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epenergy.sharepoint.com/sites/regsvcs/Regulatory Base Cases/AEP Texas/2024 Base Rate Case/Schedule Drafts/Electronic/"/>
    </mc:Choice>
  </mc:AlternateContent>
  <xr:revisionPtr revIDLastSave="0" documentId="14_{C6039677-C066-40A9-8BF3-D8088FE2B51F}" xr6:coauthVersionLast="47" xr6:coauthVersionMax="47" xr10:uidLastSave="{00000000-0000-0000-0000-000000000000}"/>
  <bookViews>
    <workbookView xWindow="29820" yWindow="390" windowWidth="27615" windowHeight="14880" tabRatio="747" firstSheet="2" activeTab="5" xr2:uid="{00000000-000D-0000-FFFF-FFFF00000000}"/>
  </bookViews>
  <sheets>
    <sheet name="II-H-1" sheetId="72" r:id="rId1"/>
    <sheet name="II-H-1.1" sheetId="65" r:id="rId2"/>
    <sheet name="II-H-1.2" sheetId="70" r:id="rId3"/>
    <sheet name="II-H-1.3" sheetId="73" r:id="rId4"/>
    <sheet name="Sch II-H-1.5" sheetId="78" r:id="rId5"/>
    <sheet name="II-H-3.1-3" sheetId="44" r:id="rId6"/>
    <sheet name="II-H-4.1 Monthly" sheetId="74" r:id="rId7"/>
    <sheet name="II-H-4.1 Functions" sheetId="76" r:id="rId8"/>
    <sheet name="II-H-4.1 Tran kW" sheetId="75" r:id="rId9"/>
    <sheet name="II-H-4.1 Dist kW" sheetId="10" r:id="rId10"/>
    <sheet name="Sch II-H-4.2" sheetId="79" r:id="rId11"/>
    <sheet name="Primary Sub" sheetId="82" r:id="rId12"/>
    <sheet name="Riders" sheetId="77" r:id="rId13"/>
    <sheet name="Prm Sb Rev Rider" sheetId="84" r:id="rId14"/>
    <sheet name="TCRF and DCRF Rider Revenues" sheetId="83" r:id="rId15"/>
    <sheet name="Tariff Mapping" sheetId="80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a" localSheetId="7">#REF!</definedName>
    <definedName name="a">#REF!</definedName>
    <definedName name="_xlnm.Criteria" localSheetId="7">[1]DECAPAR!#REF!</definedName>
    <definedName name="_xlnm.Criteria">[1]DECAPAR!#REF!</definedName>
    <definedName name="_xlnm.Data_Form" localSheetId="7">[1]DECAPAR!#REF!</definedName>
    <definedName name="_xlnm.Data_Form">[1]DECAPAR!#REF!</definedName>
    <definedName name="_xlnm.Extract" localSheetId="7">[1]DECAPAR!#REF!</definedName>
    <definedName name="_xlnm.Extract">[1]DECAPAR!#REF!</definedName>
    <definedName name="H_Rate_Class">'Tariff Mapping'!$E$5:$E$114</definedName>
    <definedName name="page1">#REF!</definedName>
    <definedName name="page10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_xlnm.Print_Area" localSheetId="2">'II-H-1.2'!$A$1:$P$337</definedName>
    <definedName name="_xlnm.Print_Area" localSheetId="5">'II-H-3.1-3'!$A$1:$Q$181</definedName>
    <definedName name="_xlnm.Print_Area" localSheetId="9">'II-H-4.1 Dist kW'!$A$1:$P$170</definedName>
    <definedName name="_xlnm.Print_Area" localSheetId="7">'II-H-4.1 Functions'!$A$1:$T$213</definedName>
    <definedName name="_xlnm.Print_Area" localSheetId="6">'II-H-4.1 Monthly'!$A$1:$P$411</definedName>
    <definedName name="_xlnm.Print_Area" localSheetId="8">'II-H-4.1 Tran kW'!$A$1:$P$169</definedName>
    <definedName name="_xlnm.Print_Area" localSheetId="11">'Primary Sub'!$A$1:$P$30</definedName>
    <definedName name="_xlnm.Print_Area" localSheetId="12">Riders!$B$1:$Q$358</definedName>
    <definedName name="_xlnm.Print_Area" localSheetId="4">'Sch II-H-1.5'!$A$1:$B$28</definedName>
    <definedName name="_xlnm.Print_Area" localSheetId="10">'Sch II-H-4.2'!$A$1:$B$34</definedName>
    <definedName name="_xlnm.Print_Titles" localSheetId="2">'II-H-1.2'!$1:$6</definedName>
    <definedName name="_xlnm.Print_Titles" localSheetId="5">'II-H-3.1-3'!$1:$6</definedName>
    <definedName name="_xlnm.Print_Titles" localSheetId="9">'II-H-4.1 Dist kW'!$1:$6</definedName>
    <definedName name="_xlnm.Print_Titles" localSheetId="7">'II-H-4.1 Functions'!$1:$6</definedName>
    <definedName name="_xlnm.Print_Titles" localSheetId="6">'II-H-4.1 Monthly'!$1:$6</definedName>
    <definedName name="_xlnm.Print_Titles" localSheetId="8">'II-H-4.1 Tran kW'!$1:$6</definedName>
    <definedName name="_xlnm.Print_Titles" localSheetId="11">'Primary Sub'!$A:$B,'Primary Sub'!$4:$5</definedName>
    <definedName name="_xlnm.Print_Titles" localSheetId="13">'Prm Sb Rev Rider'!$A:$D,'Prm Sb Rev Rider'!$1:$2</definedName>
    <definedName name="_xlnm.Print_Titles" localSheetId="12">Riders!$1:$6</definedName>
    <definedName name="_xlnm.Print_Titles" localSheetId="15">'Tariff Mapping'!$3:$3</definedName>
    <definedName name="_xlnm.Print_Titles" localSheetId="14">'TCRF and DCRF Rider Revenues'!$C:$C,'TCRF and DCRF Rider Revenues'!$2:$4</definedName>
    <definedName name="q" localSheetId="7">[2]Summary!#REF!</definedName>
    <definedName name="q">[2]Summary!#REF!</definedName>
    <definedName name="Rate_Class2">'[3]Tariff Mapping'!$E$5:$E$59</definedName>
    <definedName name="ResBasic" localSheetId="7">[4]Summary!#REF!</definedName>
    <definedName name="ResBasic">[4]Summary!#REF!</definedName>
    <definedName name="ResEconomy1" localSheetId="7">[4]Summary!#REF!</definedName>
    <definedName name="ResEconomy1">[4]Summary!#REF!</definedName>
    <definedName name="ResEconomy2" localSheetId="7">[4]Summary!#REF!</definedName>
    <definedName name="ResEconomy2">[4]Summary!#REF!</definedName>
    <definedName name="ResWaterHeating" localSheetId="7">[4]Summary!#REF!</definedName>
    <definedName name="ResWaterHeating">[4]Summary!#REF!</definedName>
    <definedName name="test" localSheetId="7">[2]Summary!#REF!</definedName>
    <definedName name="test">[2]Summary!#REF!</definedName>
    <definedName name="test1" localSheetId="7">[2]Summary!#REF!</definedName>
    <definedName name="test1">[2]Summary!#REF!</definedName>
    <definedName name="total">#REF!</definedName>
    <definedName name="w" localSheetId="7">[2]Summary!#REF!</definedName>
    <definedName name="w">[2]Summary!#REF!</definedName>
  </definedNames>
  <calcPr calcId="191029" calcMode="manual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1" i="70" l="1"/>
  <c r="N177" i="70"/>
  <c r="C6" i="77"/>
  <c r="B6" i="10"/>
  <c r="B6" i="75"/>
  <c r="B6" i="76"/>
  <c r="B6" i="74"/>
  <c r="B6" i="44"/>
  <c r="B6" i="78"/>
  <c r="B6" i="73"/>
  <c r="B6" i="70"/>
  <c r="B6" i="65"/>
  <c r="B213" i="74" l="1"/>
  <c r="B247" i="74" s="1"/>
  <c r="B179" i="74" l="1"/>
  <c r="H209" i="76" l="1"/>
  <c r="H210" i="76"/>
  <c r="H211" i="76" s="1"/>
  <c r="E334" i="74" l="1"/>
  <c r="F334" i="74"/>
  <c r="G334" i="74"/>
  <c r="H334" i="74"/>
  <c r="I334" i="74"/>
  <c r="J334" i="74"/>
  <c r="K334" i="74"/>
  <c r="L334" i="74"/>
  <c r="M334" i="74"/>
  <c r="N334" i="74"/>
  <c r="O334" i="74"/>
  <c r="D334" i="74"/>
  <c r="E332" i="74"/>
  <c r="F332" i="74"/>
  <c r="G332" i="74"/>
  <c r="H332" i="74"/>
  <c r="I332" i="74"/>
  <c r="J332" i="74"/>
  <c r="K332" i="74"/>
  <c r="L332" i="74"/>
  <c r="M332" i="74"/>
  <c r="N332" i="74"/>
  <c r="O332" i="74"/>
  <c r="D332" i="74"/>
  <c r="E326" i="74"/>
  <c r="F326" i="74"/>
  <c r="G326" i="74"/>
  <c r="H326" i="74"/>
  <c r="I326" i="74"/>
  <c r="J326" i="74"/>
  <c r="K326" i="74"/>
  <c r="L326" i="74"/>
  <c r="M326" i="74"/>
  <c r="N326" i="74"/>
  <c r="O326" i="74"/>
  <c r="E327" i="74"/>
  <c r="F327" i="74"/>
  <c r="G327" i="74"/>
  <c r="H327" i="74"/>
  <c r="I327" i="74"/>
  <c r="J327" i="74"/>
  <c r="K327" i="74"/>
  <c r="L327" i="74"/>
  <c r="M327" i="74"/>
  <c r="N327" i="74"/>
  <c r="O327" i="74"/>
  <c r="D327" i="74"/>
  <c r="D326" i="74"/>
  <c r="E322" i="74"/>
  <c r="F322" i="74"/>
  <c r="G322" i="74"/>
  <c r="H322" i="74"/>
  <c r="I322" i="74"/>
  <c r="J322" i="74"/>
  <c r="K322" i="74"/>
  <c r="L322" i="74"/>
  <c r="M322" i="74"/>
  <c r="N322" i="74"/>
  <c r="O322" i="74"/>
  <c r="E323" i="74"/>
  <c r="F323" i="74"/>
  <c r="G323" i="74"/>
  <c r="H323" i="74"/>
  <c r="I323" i="74"/>
  <c r="J323" i="74"/>
  <c r="K323" i="74"/>
  <c r="L323" i="74"/>
  <c r="M323" i="74"/>
  <c r="N323" i="74"/>
  <c r="O323" i="74"/>
  <c r="D323" i="74"/>
  <c r="D322" i="74"/>
  <c r="E320" i="74"/>
  <c r="F320" i="74"/>
  <c r="G320" i="74"/>
  <c r="H320" i="74"/>
  <c r="I320" i="74"/>
  <c r="J320" i="74"/>
  <c r="K320" i="74"/>
  <c r="L320" i="74"/>
  <c r="M320" i="74"/>
  <c r="N320" i="74"/>
  <c r="O320" i="74"/>
  <c r="D320" i="74"/>
  <c r="E318" i="74"/>
  <c r="F318" i="74"/>
  <c r="G318" i="74"/>
  <c r="H318" i="74"/>
  <c r="I318" i="74"/>
  <c r="J318" i="74"/>
  <c r="K318" i="74"/>
  <c r="L318" i="74"/>
  <c r="M318" i="74"/>
  <c r="N318" i="74"/>
  <c r="O318" i="74"/>
  <c r="D318" i="74"/>
  <c r="E300" i="74"/>
  <c r="F300" i="74"/>
  <c r="G300" i="74"/>
  <c r="H300" i="74"/>
  <c r="I300" i="74"/>
  <c r="J300" i="74"/>
  <c r="K300" i="74"/>
  <c r="L300" i="74"/>
  <c r="M300" i="74"/>
  <c r="N300" i="74"/>
  <c r="O300" i="74"/>
  <c r="E302" i="74"/>
  <c r="F302" i="74"/>
  <c r="G302" i="74"/>
  <c r="H302" i="74"/>
  <c r="I302" i="74"/>
  <c r="J302" i="74"/>
  <c r="K302" i="74"/>
  <c r="L302" i="74"/>
  <c r="M302" i="74"/>
  <c r="N302" i="74"/>
  <c r="O302" i="74"/>
  <c r="D302" i="74"/>
  <c r="D300" i="74"/>
  <c r="E294" i="74"/>
  <c r="F294" i="74"/>
  <c r="G294" i="74"/>
  <c r="H294" i="74"/>
  <c r="I294" i="74"/>
  <c r="J294" i="74"/>
  <c r="K294" i="74"/>
  <c r="L294" i="74"/>
  <c r="M294" i="74"/>
  <c r="N294" i="74"/>
  <c r="O294" i="74"/>
  <c r="E295" i="74"/>
  <c r="F295" i="74"/>
  <c r="G295" i="74"/>
  <c r="H295" i="74"/>
  <c r="I295" i="74"/>
  <c r="J295" i="74"/>
  <c r="K295" i="74"/>
  <c r="L295" i="74"/>
  <c r="M295" i="74"/>
  <c r="N295" i="74"/>
  <c r="O295" i="74"/>
  <c r="D295" i="74"/>
  <c r="D294" i="74"/>
  <c r="E286" i="74"/>
  <c r="F286" i="74"/>
  <c r="G286" i="74"/>
  <c r="H286" i="74"/>
  <c r="I286" i="74"/>
  <c r="J286" i="74"/>
  <c r="K286" i="74"/>
  <c r="L286" i="74"/>
  <c r="M286" i="74"/>
  <c r="N286" i="74"/>
  <c r="O286" i="74"/>
  <c r="D286" i="74"/>
  <c r="E288" i="74"/>
  <c r="F288" i="74"/>
  <c r="G288" i="74"/>
  <c r="H288" i="74"/>
  <c r="I288" i="74"/>
  <c r="J288" i="74"/>
  <c r="K288" i="74"/>
  <c r="L288" i="74"/>
  <c r="M288" i="74"/>
  <c r="N288" i="74"/>
  <c r="O288" i="74"/>
  <c r="E290" i="74"/>
  <c r="F290" i="74"/>
  <c r="G290" i="74"/>
  <c r="H290" i="74"/>
  <c r="I290" i="74"/>
  <c r="J290" i="74"/>
  <c r="K290" i="74"/>
  <c r="L290" i="74"/>
  <c r="M290" i="74"/>
  <c r="N290" i="74"/>
  <c r="O290" i="74"/>
  <c r="E291" i="74"/>
  <c r="F291" i="74"/>
  <c r="G291" i="74"/>
  <c r="H291" i="74"/>
  <c r="I291" i="74"/>
  <c r="J291" i="74"/>
  <c r="K291" i="74"/>
  <c r="L291" i="74"/>
  <c r="M291" i="74"/>
  <c r="N291" i="74"/>
  <c r="O291" i="74"/>
  <c r="D291" i="74"/>
  <c r="D290" i="74"/>
  <c r="D288" i="74"/>
  <c r="G191" i="76" l="1"/>
  <c r="G193" i="76"/>
  <c r="G194" i="76"/>
  <c r="G189" i="76"/>
  <c r="E132" i="76"/>
  <c r="G132" i="76"/>
  <c r="H132" i="76"/>
  <c r="I132" i="76"/>
  <c r="D132" i="76"/>
  <c r="R110" i="76"/>
  <c r="T108" i="76"/>
  <c r="Q104" i="76"/>
  <c r="R104" i="76"/>
  <c r="M98" i="76"/>
  <c r="N98" i="76"/>
  <c r="O98" i="76"/>
  <c r="P98" i="76"/>
  <c r="Q98" i="76"/>
  <c r="R98" i="76"/>
  <c r="L98" i="76"/>
  <c r="R96" i="76"/>
  <c r="R97" i="76"/>
  <c r="G98" i="76"/>
  <c r="H98" i="76"/>
  <c r="I98" i="76"/>
  <c r="H73" i="76"/>
  <c r="K14" i="70" l="1" a="1"/>
  <c r="K14" i="70" s="1"/>
  <c r="J14" i="70" l="1" a="1"/>
  <c r="J14" i="70" s="1"/>
  <c r="H14" i="70" a="1"/>
  <c r="H14" i="70" s="1"/>
  <c r="GN79" i="84" l="1"/>
  <c r="GN78" i="84"/>
  <c r="GN77" i="84"/>
  <c r="GN75" i="84"/>
  <c r="F119" i="77"/>
  <c r="G119" i="77"/>
  <c r="H119" i="77"/>
  <c r="I119" i="77"/>
  <c r="J119" i="77"/>
  <c r="K119" i="77"/>
  <c r="L119" i="77"/>
  <c r="M119" i="77"/>
  <c r="N119" i="77"/>
  <c r="O119" i="77"/>
  <c r="P119" i="77"/>
  <c r="Q119" i="77"/>
  <c r="E119" i="77"/>
  <c r="F113" i="77"/>
  <c r="G113" i="77"/>
  <c r="H113" i="77"/>
  <c r="I113" i="77"/>
  <c r="J113" i="77"/>
  <c r="K113" i="77"/>
  <c r="L113" i="77"/>
  <c r="M113" i="77"/>
  <c r="N113" i="77"/>
  <c r="O113" i="77"/>
  <c r="P113" i="77"/>
  <c r="Q113" i="77"/>
  <c r="E113" i="77"/>
  <c r="F107" i="77"/>
  <c r="G107" i="77"/>
  <c r="H107" i="77"/>
  <c r="I107" i="77"/>
  <c r="J107" i="77"/>
  <c r="K107" i="77"/>
  <c r="L107" i="77"/>
  <c r="M107" i="77"/>
  <c r="N107" i="77"/>
  <c r="O107" i="77"/>
  <c r="P107" i="77"/>
  <c r="Q107" i="77"/>
  <c r="E107" i="77"/>
  <c r="Q117" i="77"/>
  <c r="Q111" i="77"/>
  <c r="Q112" i="77"/>
  <c r="Q110" i="77"/>
  <c r="Q109" i="77"/>
  <c r="Q106" i="77"/>
  <c r="Q105" i="77"/>
  <c r="Q103" i="77"/>
  <c r="Q101" i="77"/>
  <c r="F61" i="77"/>
  <c r="G61" i="77"/>
  <c r="H61" i="77"/>
  <c r="I61" i="77"/>
  <c r="J61" i="77"/>
  <c r="K61" i="77"/>
  <c r="L61" i="77"/>
  <c r="M61" i="77"/>
  <c r="N61" i="77"/>
  <c r="O61" i="77"/>
  <c r="P61" i="77"/>
  <c r="E61" i="77"/>
  <c r="Q59" i="77"/>
  <c r="Q57" i="77"/>
  <c r="Q54" i="77"/>
  <c r="Q53" i="77"/>
  <c r="Q52" i="77"/>
  <c r="Q51" i="77"/>
  <c r="Q48" i="77"/>
  <c r="Q47" i="77"/>
  <c r="Q45" i="77"/>
  <c r="Q43" i="77"/>
  <c r="F264" i="77"/>
  <c r="G264" i="77"/>
  <c r="H264" i="77"/>
  <c r="I264" i="77"/>
  <c r="J264" i="77"/>
  <c r="K264" i="77"/>
  <c r="L264" i="77"/>
  <c r="M264" i="77"/>
  <c r="N264" i="77"/>
  <c r="O264" i="77"/>
  <c r="P264" i="77"/>
  <c r="Q264" i="77"/>
  <c r="E264" i="77"/>
  <c r="F258" i="77"/>
  <c r="G258" i="77"/>
  <c r="H258" i="77"/>
  <c r="I258" i="77"/>
  <c r="J258" i="77"/>
  <c r="K258" i="77"/>
  <c r="L258" i="77"/>
  <c r="M258" i="77"/>
  <c r="N258" i="77"/>
  <c r="O258" i="77"/>
  <c r="P258" i="77"/>
  <c r="Q258" i="77"/>
  <c r="E258" i="77"/>
  <c r="F252" i="77"/>
  <c r="G252" i="77"/>
  <c r="H252" i="77"/>
  <c r="I252" i="77"/>
  <c r="J252" i="77"/>
  <c r="K252" i="77"/>
  <c r="L252" i="77"/>
  <c r="M252" i="77"/>
  <c r="N252" i="77"/>
  <c r="O252" i="77"/>
  <c r="P252" i="77"/>
  <c r="Q252" i="77"/>
  <c r="E252" i="77"/>
  <c r="Q262" i="77"/>
  <c r="Q256" i="77"/>
  <c r="Q257" i="77"/>
  <c r="Q255" i="77"/>
  <c r="Q254" i="77"/>
  <c r="Q251" i="77"/>
  <c r="Q250" i="77"/>
  <c r="Q248" i="77"/>
  <c r="Q246" i="77"/>
  <c r="P226" i="77"/>
  <c r="L226" i="77"/>
  <c r="K225" i="77"/>
  <c r="I226" i="77"/>
  <c r="H226" i="77"/>
  <c r="E226" i="77"/>
  <c r="F223" i="77"/>
  <c r="G223" i="77"/>
  <c r="H223" i="77"/>
  <c r="I223" i="77"/>
  <c r="J223" i="77"/>
  <c r="K223" i="77"/>
  <c r="L223" i="77"/>
  <c r="M223" i="77"/>
  <c r="N223" i="77"/>
  <c r="O223" i="77"/>
  <c r="P223" i="77"/>
  <c r="Q223" i="77"/>
  <c r="E223" i="77"/>
  <c r="Q233" i="77"/>
  <c r="Q231" i="77"/>
  <c r="Q222" i="77"/>
  <c r="Q221" i="77"/>
  <c r="F228" i="77"/>
  <c r="F226" i="77" s="1"/>
  <c r="F229" i="77" s="1"/>
  <c r="F235" i="77" s="1"/>
  <c r="G228" i="77"/>
  <c r="G226" i="77" s="1"/>
  <c r="H228" i="77"/>
  <c r="I228" i="77"/>
  <c r="J228" i="77"/>
  <c r="J226" i="77" s="1"/>
  <c r="K228" i="77"/>
  <c r="K226" i="77" s="1"/>
  <c r="L228" i="77"/>
  <c r="M228" i="77"/>
  <c r="M226" i="77" s="1"/>
  <c r="N228" i="77"/>
  <c r="N226" i="77" s="1"/>
  <c r="N229" i="77" s="1"/>
  <c r="N235" i="77" s="1"/>
  <c r="O228" i="77"/>
  <c r="O226" i="77" s="1"/>
  <c r="P228" i="77"/>
  <c r="E228" i="77"/>
  <c r="Q228" i="77" s="1"/>
  <c r="Q219" i="77"/>
  <c r="Q217" i="77"/>
  <c r="F227" i="77"/>
  <c r="F225" i="77" s="1"/>
  <c r="G227" i="77"/>
  <c r="G225" i="77" s="1"/>
  <c r="H227" i="77"/>
  <c r="H225" i="77" s="1"/>
  <c r="I227" i="77"/>
  <c r="I225" i="77" s="1"/>
  <c r="I229" i="77" s="1"/>
  <c r="I235" i="77" s="1"/>
  <c r="J227" i="77"/>
  <c r="J225" i="77" s="1"/>
  <c r="J229" i="77" s="1"/>
  <c r="J235" i="77" s="1"/>
  <c r="K227" i="77"/>
  <c r="L227" i="77"/>
  <c r="Q227" i="77" s="1"/>
  <c r="M227" i="77"/>
  <c r="M225" i="77" s="1"/>
  <c r="M229" i="77" s="1"/>
  <c r="M235" i="77" s="1"/>
  <c r="N227" i="77"/>
  <c r="N225" i="77" s="1"/>
  <c r="O227" i="77"/>
  <c r="O225" i="77" s="1"/>
  <c r="P227" i="77"/>
  <c r="P225" i="77" s="1"/>
  <c r="P229" i="77" s="1"/>
  <c r="P235" i="77" s="1"/>
  <c r="E227" i="77"/>
  <c r="E225" i="77" s="1"/>
  <c r="F32" i="77"/>
  <c r="H32" i="77"/>
  <c r="K32" i="77"/>
  <c r="N32" i="77"/>
  <c r="P32" i="77"/>
  <c r="F26" i="77"/>
  <c r="G26" i="77"/>
  <c r="H26" i="77"/>
  <c r="I26" i="77"/>
  <c r="J26" i="77"/>
  <c r="K26" i="77"/>
  <c r="L26" i="77"/>
  <c r="M26" i="77"/>
  <c r="N26" i="77"/>
  <c r="O26" i="77"/>
  <c r="P26" i="77"/>
  <c r="Q26" i="77"/>
  <c r="E26" i="77"/>
  <c r="Q24" i="77"/>
  <c r="Q25" i="77"/>
  <c r="F20" i="77"/>
  <c r="G20" i="77"/>
  <c r="G32" i="77" s="1"/>
  <c r="H20" i="77"/>
  <c r="I20" i="77"/>
  <c r="I32" i="77" s="1"/>
  <c r="J20" i="77"/>
  <c r="J32" i="77" s="1"/>
  <c r="K20" i="77"/>
  <c r="L20" i="77"/>
  <c r="L32" i="77" s="1"/>
  <c r="M20" i="77"/>
  <c r="M32" i="77" s="1"/>
  <c r="N20" i="77"/>
  <c r="O20" i="77"/>
  <c r="O32" i="77" s="1"/>
  <c r="P20" i="77"/>
  <c r="Q20" i="77"/>
  <c r="Q32" i="77" s="1"/>
  <c r="E20" i="77"/>
  <c r="E32" i="77" s="1"/>
  <c r="Q30" i="77"/>
  <c r="Q28" i="77"/>
  <c r="Q23" i="77"/>
  <c r="Q22" i="77"/>
  <c r="Q18" i="77"/>
  <c r="Q16" i="77"/>
  <c r="Q14" i="77"/>
  <c r="O81" i="77"/>
  <c r="L81" i="77"/>
  <c r="K81" i="77"/>
  <c r="J80" i="77"/>
  <c r="G81" i="77"/>
  <c r="F78" i="77"/>
  <c r="G78" i="77"/>
  <c r="H78" i="77"/>
  <c r="I78" i="77"/>
  <c r="J78" i="77"/>
  <c r="K78" i="77"/>
  <c r="L78" i="77"/>
  <c r="M78" i="77"/>
  <c r="N78" i="77"/>
  <c r="O78" i="77"/>
  <c r="P78" i="77"/>
  <c r="Q78" i="77"/>
  <c r="E78" i="77"/>
  <c r="Q88" i="77"/>
  <c r="Q86" i="77"/>
  <c r="Q77" i="77"/>
  <c r="Q76" i="77"/>
  <c r="Q74" i="77"/>
  <c r="Q72" i="77"/>
  <c r="F83" i="77"/>
  <c r="F81" i="77" s="1"/>
  <c r="F84" i="77" s="1"/>
  <c r="F90" i="77" s="1"/>
  <c r="G83" i="77"/>
  <c r="H83" i="77"/>
  <c r="H81" i="77" s="1"/>
  <c r="I83" i="77"/>
  <c r="I81" i="77" s="1"/>
  <c r="J83" i="77"/>
  <c r="J81" i="77" s="1"/>
  <c r="J84" i="77" s="1"/>
  <c r="J90" i="77" s="1"/>
  <c r="K83" i="77"/>
  <c r="L83" i="77"/>
  <c r="M83" i="77"/>
  <c r="M81" i="77" s="1"/>
  <c r="N83" i="77"/>
  <c r="N81" i="77" s="1"/>
  <c r="O83" i="77"/>
  <c r="P83" i="77"/>
  <c r="P81" i="77" s="1"/>
  <c r="E83" i="77"/>
  <c r="E81" i="77" s="1"/>
  <c r="F82" i="77"/>
  <c r="F80" i="77" s="1"/>
  <c r="G82" i="77"/>
  <c r="G80" i="77" s="1"/>
  <c r="H82" i="77"/>
  <c r="H80" i="77" s="1"/>
  <c r="I82" i="77"/>
  <c r="I80" i="77" s="1"/>
  <c r="J82" i="77"/>
  <c r="K82" i="77"/>
  <c r="K80" i="77" s="1"/>
  <c r="L82" i="77"/>
  <c r="L80" i="77" s="1"/>
  <c r="M82" i="77"/>
  <c r="M80" i="77" s="1"/>
  <c r="M84" i="77" s="1"/>
  <c r="M90" i="77" s="1"/>
  <c r="N82" i="77"/>
  <c r="N80" i="77" s="1"/>
  <c r="O82" i="77"/>
  <c r="O80" i="77" s="1"/>
  <c r="P82" i="77"/>
  <c r="P80" i="77" s="1"/>
  <c r="E82" i="77"/>
  <c r="E80" i="77" s="1"/>
  <c r="P141" i="77"/>
  <c r="Q141" i="77" s="1"/>
  <c r="P140" i="77"/>
  <c r="Q140" i="77" s="1"/>
  <c r="F148" i="77"/>
  <c r="G148" i="77"/>
  <c r="H148" i="77"/>
  <c r="I148" i="77"/>
  <c r="J148" i="77"/>
  <c r="K148" i="77"/>
  <c r="L148" i="77"/>
  <c r="M148" i="77"/>
  <c r="N148" i="77"/>
  <c r="O148" i="77"/>
  <c r="E148" i="77"/>
  <c r="F142" i="77"/>
  <c r="G142" i="77"/>
  <c r="H142" i="77"/>
  <c r="I142" i="77"/>
  <c r="J142" i="77"/>
  <c r="K142" i="77"/>
  <c r="L142" i="77"/>
  <c r="M142" i="77"/>
  <c r="N142" i="77"/>
  <c r="O142" i="77"/>
  <c r="E142" i="77"/>
  <c r="F136" i="77"/>
  <c r="G136" i="77"/>
  <c r="H136" i="77"/>
  <c r="I136" i="77"/>
  <c r="J136" i="77"/>
  <c r="K136" i="77"/>
  <c r="L136" i="77"/>
  <c r="M136" i="77"/>
  <c r="N136" i="77"/>
  <c r="O136" i="77"/>
  <c r="P136" i="77"/>
  <c r="Q136" i="77"/>
  <c r="E136" i="77"/>
  <c r="Q146" i="77"/>
  <c r="Q135" i="77"/>
  <c r="Q134" i="77"/>
  <c r="Q132" i="77"/>
  <c r="Q130" i="77"/>
  <c r="L196" i="77"/>
  <c r="J196" i="77"/>
  <c r="F199" i="77"/>
  <c r="F197" i="77" s="1"/>
  <c r="G199" i="77"/>
  <c r="G197" i="77" s="1"/>
  <c r="H199" i="77"/>
  <c r="H197" i="77" s="1"/>
  <c r="I199" i="77"/>
  <c r="I197" i="77" s="1"/>
  <c r="J199" i="77"/>
  <c r="J197" i="77" s="1"/>
  <c r="K199" i="77"/>
  <c r="K197" i="77" s="1"/>
  <c r="L199" i="77"/>
  <c r="L197" i="77" s="1"/>
  <c r="M199" i="77"/>
  <c r="M197" i="77" s="1"/>
  <c r="N199" i="77"/>
  <c r="N197" i="77" s="1"/>
  <c r="O199" i="77"/>
  <c r="O197" i="77" s="1"/>
  <c r="P199" i="77"/>
  <c r="P197" i="77" s="1"/>
  <c r="E199" i="77"/>
  <c r="E197" i="77" s="1"/>
  <c r="F198" i="77"/>
  <c r="F196" i="77" s="1"/>
  <c r="G198" i="77"/>
  <c r="G196" i="77" s="1"/>
  <c r="H198" i="77"/>
  <c r="H196" i="77" s="1"/>
  <c r="I198" i="77"/>
  <c r="I196" i="77" s="1"/>
  <c r="J198" i="77"/>
  <c r="K198" i="77"/>
  <c r="K196" i="77" s="1"/>
  <c r="L198" i="77"/>
  <c r="M198" i="77"/>
  <c r="M196" i="77" s="1"/>
  <c r="N198" i="77"/>
  <c r="N196" i="77" s="1"/>
  <c r="O198" i="77"/>
  <c r="O196" i="77" s="1"/>
  <c r="P198" i="77"/>
  <c r="P196" i="77" s="1"/>
  <c r="E198" i="77"/>
  <c r="E196" i="77" s="1"/>
  <c r="F194" i="77"/>
  <c r="G194" i="77"/>
  <c r="H194" i="77"/>
  <c r="I194" i="77"/>
  <c r="J194" i="77"/>
  <c r="K194" i="77"/>
  <c r="L194" i="77"/>
  <c r="M194" i="77"/>
  <c r="N194" i="77"/>
  <c r="O194" i="77"/>
  <c r="P194" i="77"/>
  <c r="Q194" i="77"/>
  <c r="E194" i="77"/>
  <c r="Q204" i="77"/>
  <c r="Q202" i="77"/>
  <c r="Q193" i="77"/>
  <c r="Q192" i="77"/>
  <c r="Q190" i="77"/>
  <c r="Q188" i="77"/>
  <c r="O284" i="77"/>
  <c r="N283" i="77"/>
  <c r="M283" i="77"/>
  <c r="J283" i="77"/>
  <c r="I283" i="77"/>
  <c r="G284" i="77"/>
  <c r="F283" i="77"/>
  <c r="E283" i="77"/>
  <c r="F281" i="77"/>
  <c r="G281" i="77"/>
  <c r="H281" i="77"/>
  <c r="I281" i="77"/>
  <c r="J281" i="77"/>
  <c r="K281" i="77"/>
  <c r="L281" i="77"/>
  <c r="M281" i="77"/>
  <c r="N281" i="77"/>
  <c r="O281" i="77"/>
  <c r="P281" i="77"/>
  <c r="E281" i="77"/>
  <c r="Q291" i="77"/>
  <c r="Q289" i="77"/>
  <c r="Q280" i="77"/>
  <c r="Q279" i="77"/>
  <c r="Q281" i="77" s="1"/>
  <c r="Q277" i="77"/>
  <c r="Q275" i="77"/>
  <c r="F286" i="77"/>
  <c r="F284" i="77" s="1"/>
  <c r="G286" i="77"/>
  <c r="H286" i="77"/>
  <c r="H284" i="77" s="1"/>
  <c r="I286" i="77"/>
  <c r="I284" i="77" s="1"/>
  <c r="J286" i="77"/>
  <c r="J284" i="77" s="1"/>
  <c r="K286" i="77"/>
  <c r="K284" i="77" s="1"/>
  <c r="L286" i="77"/>
  <c r="L284" i="77" s="1"/>
  <c r="M286" i="77"/>
  <c r="M284" i="77" s="1"/>
  <c r="N286" i="77"/>
  <c r="N284" i="77" s="1"/>
  <c r="O286" i="77"/>
  <c r="P286" i="77"/>
  <c r="P284" i="77" s="1"/>
  <c r="E286" i="77"/>
  <c r="F285" i="77"/>
  <c r="G285" i="77"/>
  <c r="G283" i="77" s="1"/>
  <c r="H285" i="77"/>
  <c r="H283" i="77" s="1"/>
  <c r="I285" i="77"/>
  <c r="J285" i="77"/>
  <c r="K285" i="77"/>
  <c r="L285" i="77"/>
  <c r="L283" i="77" s="1"/>
  <c r="M285" i="77"/>
  <c r="N285" i="77"/>
  <c r="O285" i="77"/>
  <c r="O283" i="77" s="1"/>
  <c r="P285" i="77"/>
  <c r="P283" i="77" s="1"/>
  <c r="E285" i="77"/>
  <c r="P138" i="77" l="1"/>
  <c r="Q138" i="77" s="1"/>
  <c r="P139" i="77"/>
  <c r="Q139" i="77" s="1"/>
  <c r="L287" i="77"/>
  <c r="L293" i="77" s="1"/>
  <c r="O229" i="77"/>
  <c r="O235" i="77" s="1"/>
  <c r="G229" i="77"/>
  <c r="G235" i="77" s="1"/>
  <c r="H84" i="77"/>
  <c r="H90" i="77" s="1"/>
  <c r="H229" i="77"/>
  <c r="H235" i="77" s="1"/>
  <c r="Q286" i="77"/>
  <c r="L225" i="77"/>
  <c r="L229" i="77" s="1"/>
  <c r="L235" i="77" s="1"/>
  <c r="E284" i="77"/>
  <c r="Q82" i="77"/>
  <c r="Q83" i="77"/>
  <c r="Q285" i="77"/>
  <c r="K283" i="77"/>
  <c r="J287" i="77"/>
  <c r="J293" i="77" s="1"/>
  <c r="K229" i="77"/>
  <c r="K235" i="77" s="1"/>
  <c r="Q226" i="77"/>
  <c r="E229" i="77"/>
  <c r="E235" i="77" s="1"/>
  <c r="P84" i="77"/>
  <c r="P90" i="77" s="1"/>
  <c r="O84" i="77"/>
  <c r="O90" i="77" s="1"/>
  <c r="N84" i="77"/>
  <c r="N90" i="77" s="1"/>
  <c r="L84" i="77"/>
  <c r="L90" i="77" s="1"/>
  <c r="K84" i="77"/>
  <c r="K90" i="77" s="1"/>
  <c r="I84" i="77"/>
  <c r="I90" i="77" s="1"/>
  <c r="Q80" i="77"/>
  <c r="G84" i="77"/>
  <c r="G90" i="77" s="1"/>
  <c r="Q81" i="77"/>
  <c r="E84" i="77"/>
  <c r="E90" i="77" s="1"/>
  <c r="P200" i="77"/>
  <c r="P206" i="77" s="1"/>
  <c r="O200" i="77"/>
  <c r="O206" i="77" s="1"/>
  <c r="N200" i="77"/>
  <c r="N206" i="77" s="1"/>
  <c r="M200" i="77"/>
  <c r="M206" i="77" s="1"/>
  <c r="L200" i="77"/>
  <c r="L206" i="77" s="1"/>
  <c r="K200" i="77"/>
  <c r="K206" i="77" s="1"/>
  <c r="J200" i="77"/>
  <c r="J206" i="77" s="1"/>
  <c r="I200" i="77"/>
  <c r="I206" i="77" s="1"/>
  <c r="H200" i="77"/>
  <c r="H206" i="77" s="1"/>
  <c r="Q197" i="77"/>
  <c r="G200" i="77"/>
  <c r="G206" i="77" s="1"/>
  <c r="F200" i="77"/>
  <c r="F206" i="77" s="1"/>
  <c r="Q196" i="77"/>
  <c r="Q199" i="77"/>
  <c r="E200" i="77"/>
  <c r="E206" i="77" s="1"/>
  <c r="Q198" i="77"/>
  <c r="P287" i="77"/>
  <c r="P293" i="77" s="1"/>
  <c r="O287" i="77"/>
  <c r="O293" i="77" s="1"/>
  <c r="N287" i="77"/>
  <c r="N293" i="77" s="1"/>
  <c r="M287" i="77"/>
  <c r="M293" i="77" s="1"/>
  <c r="K287" i="77"/>
  <c r="K293" i="77" s="1"/>
  <c r="I287" i="77"/>
  <c r="I293" i="77" s="1"/>
  <c r="H287" i="77"/>
  <c r="H293" i="77" s="1"/>
  <c r="G287" i="77"/>
  <c r="G293" i="77" s="1"/>
  <c r="F287" i="77"/>
  <c r="F293" i="77" s="1"/>
  <c r="Q284" i="77"/>
  <c r="E287" i="77"/>
  <c r="E293" i="77" s="1"/>
  <c r="Q283" i="77"/>
  <c r="P167" i="77"/>
  <c r="H167" i="77"/>
  <c r="F169" i="77"/>
  <c r="F167" i="77" s="1"/>
  <c r="G169" i="77"/>
  <c r="G167" i="77" s="1"/>
  <c r="H169" i="77"/>
  <c r="I169" i="77"/>
  <c r="J169" i="77"/>
  <c r="J167" i="77" s="1"/>
  <c r="K169" i="77"/>
  <c r="K167" i="77" s="1"/>
  <c r="L169" i="77"/>
  <c r="L167" i="77" s="1"/>
  <c r="M169" i="77"/>
  <c r="M167" i="77" s="1"/>
  <c r="N169" i="77"/>
  <c r="N167" i="77" s="1"/>
  <c r="O169" i="77"/>
  <c r="O167" i="77" s="1"/>
  <c r="P169" i="77"/>
  <c r="E169" i="77"/>
  <c r="E167" i="77" s="1"/>
  <c r="H168" i="77"/>
  <c r="F165" i="77"/>
  <c r="G165" i="77"/>
  <c r="H165" i="77"/>
  <c r="I165" i="77"/>
  <c r="J165" i="77"/>
  <c r="K165" i="77"/>
  <c r="L165" i="77"/>
  <c r="M165" i="77"/>
  <c r="N165" i="77"/>
  <c r="O165" i="77"/>
  <c r="P165" i="77"/>
  <c r="E165" i="77"/>
  <c r="Q175" i="77"/>
  <c r="Q173" i="77"/>
  <c r="Q164" i="77"/>
  <c r="Q163" i="77"/>
  <c r="Q165" i="77" s="1"/>
  <c r="Q161" i="77"/>
  <c r="Q159" i="77"/>
  <c r="F170" i="77"/>
  <c r="F168" i="77" s="1"/>
  <c r="G170" i="77"/>
  <c r="G168" i="77" s="1"/>
  <c r="H170" i="77"/>
  <c r="I170" i="77"/>
  <c r="I168" i="77" s="1"/>
  <c r="J170" i="77"/>
  <c r="J168" i="77" s="1"/>
  <c r="K170" i="77"/>
  <c r="K168" i="77" s="1"/>
  <c r="L170" i="77"/>
  <c r="L168" i="77" s="1"/>
  <c r="M170" i="77"/>
  <c r="M168" i="77" s="1"/>
  <c r="N170" i="77"/>
  <c r="N168" i="77" s="1"/>
  <c r="O170" i="77"/>
  <c r="O168" i="77" s="1"/>
  <c r="P170" i="77"/>
  <c r="P168" i="77" s="1"/>
  <c r="E170" i="77"/>
  <c r="E168" i="77" s="1"/>
  <c r="Q142" i="77" l="1"/>
  <c r="Q148" i="77" s="1"/>
  <c r="P142" i="77"/>
  <c r="P148" i="77" s="1"/>
  <c r="Q225" i="77"/>
  <c r="Q229" i="77"/>
  <c r="Q235" i="77" s="1"/>
  <c r="Q84" i="77"/>
  <c r="Q90" i="77" s="1"/>
  <c r="N171" i="77"/>
  <c r="Q200" i="77"/>
  <c r="Q206" i="77" s="1"/>
  <c r="Q287" i="77"/>
  <c r="Q293" i="77" s="1"/>
  <c r="F171" i="77"/>
  <c r="O171" i="77"/>
  <c r="Q170" i="77"/>
  <c r="H171" i="77"/>
  <c r="Q169" i="77"/>
  <c r="I167" i="77"/>
  <c r="I171" i="77" s="1"/>
  <c r="P171" i="77"/>
  <c r="K171" i="77"/>
  <c r="G171" i="77"/>
  <c r="M171" i="77"/>
  <c r="J171" i="77"/>
  <c r="L171" i="77"/>
  <c r="Q168" i="77"/>
  <c r="E171" i="77"/>
  <c r="Q167" i="77" l="1"/>
  <c r="Q171" i="77" s="1"/>
  <c r="F55" i="77" l="1"/>
  <c r="G55" i="77"/>
  <c r="H55" i="77"/>
  <c r="I55" i="77"/>
  <c r="J55" i="77"/>
  <c r="K55" i="77"/>
  <c r="L55" i="77"/>
  <c r="M55" i="77"/>
  <c r="N55" i="77"/>
  <c r="O55" i="77"/>
  <c r="P55" i="77"/>
  <c r="Q55" i="77"/>
  <c r="Q61" i="77" s="1"/>
  <c r="E55" i="77"/>
  <c r="OF73" i="84"/>
  <c r="NX73" i="84"/>
  <c r="NW73" i="84"/>
  <c r="NV73" i="84"/>
  <c r="NP73" i="84"/>
  <c r="NH73" i="84"/>
  <c r="MZ73" i="84"/>
  <c r="MY73" i="84"/>
  <c r="MX73" i="84"/>
  <c r="MR73" i="84"/>
  <c r="MJ73" i="84"/>
  <c r="MI73" i="84"/>
  <c r="MH73" i="84"/>
  <c r="MB73" i="84"/>
  <c r="MA73" i="84"/>
  <c r="LT73" i="84"/>
  <c r="LL73" i="84"/>
  <c r="LK73" i="84"/>
  <c r="LJ73" i="84"/>
  <c r="LD73" i="84"/>
  <c r="KV73" i="84"/>
  <c r="KN73" i="84"/>
  <c r="KM73" i="84"/>
  <c r="KL73" i="84"/>
  <c r="KF73" i="84"/>
  <c r="JX73" i="84"/>
  <c r="JW73" i="84"/>
  <c r="JV73" i="84"/>
  <c r="JP73" i="84"/>
  <c r="JO73" i="84"/>
  <c r="JH73" i="84"/>
  <c r="IZ73" i="84"/>
  <c r="IY73" i="84"/>
  <c r="IX73" i="84"/>
  <c r="IR73" i="84"/>
  <c r="IJ73" i="84"/>
  <c r="IB73" i="84"/>
  <c r="IA73" i="84"/>
  <c r="HZ73" i="84"/>
  <c r="HT73" i="84"/>
  <c r="HL73" i="84"/>
  <c r="HK73" i="84"/>
  <c r="HJ73" i="84"/>
  <c r="HD73" i="84"/>
  <c r="HC73" i="84"/>
  <c r="GV73" i="84"/>
  <c r="GN73" i="84"/>
  <c r="GM73" i="84"/>
  <c r="GL73" i="84"/>
  <c r="GF73" i="84"/>
  <c r="FX73" i="84"/>
  <c r="FP73" i="84"/>
  <c r="FO73" i="84"/>
  <c r="FN73" i="84"/>
  <c r="FH73" i="84"/>
  <c r="EZ73" i="84"/>
  <c r="EY73" i="84"/>
  <c r="EX73" i="84"/>
  <c r="ER73" i="84"/>
  <c r="EQ73" i="84"/>
  <c r="EJ73" i="84"/>
  <c r="EB73" i="84"/>
  <c r="EA73" i="84"/>
  <c r="DZ73" i="84"/>
  <c r="DT73" i="84"/>
  <c r="DL73" i="84"/>
  <c r="DK73" i="84"/>
  <c r="DJ73" i="84"/>
  <c r="DD73" i="84"/>
  <c r="CV73" i="84"/>
  <c r="CU73" i="84"/>
  <c r="CT73" i="84"/>
  <c r="CN73" i="84"/>
  <c r="CF73" i="84"/>
  <c r="CE73" i="84"/>
  <c r="CD73" i="84"/>
  <c r="BY73" i="84"/>
  <c r="BX73" i="84"/>
  <c r="BP73" i="84"/>
  <c r="BO73" i="84"/>
  <c r="BN73" i="84"/>
  <c r="BH73" i="84"/>
  <c r="AZ73" i="84"/>
  <c r="AY73" i="84"/>
  <c r="AX73" i="84"/>
  <c r="AR73" i="84"/>
  <c r="AJ73" i="84"/>
  <c r="AI73" i="84"/>
  <c r="AH73" i="84"/>
  <c r="AC73" i="84"/>
  <c r="AB73" i="84"/>
  <c r="T73" i="84"/>
  <c r="S73" i="84"/>
  <c r="R73" i="84"/>
  <c r="L73" i="84"/>
  <c r="OK72" i="84"/>
  <c r="OJ72" i="84"/>
  <c r="OI72" i="84"/>
  <c r="OH72" i="84"/>
  <c r="OG72" i="84"/>
  <c r="OF72" i="84"/>
  <c r="OE72" i="84"/>
  <c r="OE73" i="84" s="1"/>
  <c r="OD72" i="84"/>
  <c r="OC72" i="84"/>
  <c r="OB72" i="84"/>
  <c r="OA72" i="84"/>
  <c r="NZ72" i="84"/>
  <c r="NY72" i="84"/>
  <c r="NX72" i="84"/>
  <c r="NW72" i="84"/>
  <c r="NV72" i="84"/>
  <c r="NU72" i="84"/>
  <c r="NT72" i="84"/>
  <c r="NS72" i="84"/>
  <c r="NR72" i="84"/>
  <c r="NQ72" i="84"/>
  <c r="NP72" i="84"/>
  <c r="NO72" i="84"/>
  <c r="NO73" i="84" s="1"/>
  <c r="NN72" i="84"/>
  <c r="NM72" i="84"/>
  <c r="NL72" i="84"/>
  <c r="NK72" i="84"/>
  <c r="NJ72" i="84"/>
  <c r="NI72" i="84"/>
  <c r="NH72" i="84"/>
  <c r="NG72" i="84"/>
  <c r="NG73" i="84" s="1"/>
  <c r="NF72" i="84"/>
  <c r="NF73" i="84" s="1"/>
  <c r="NE72" i="84"/>
  <c r="ND72" i="84"/>
  <c r="NC72" i="84"/>
  <c r="NB72" i="84"/>
  <c r="NA72" i="84"/>
  <c r="MZ72" i="84"/>
  <c r="MY72" i="84"/>
  <c r="MX72" i="84"/>
  <c r="MW72" i="84"/>
  <c r="MV72" i="84"/>
  <c r="MU72" i="84"/>
  <c r="MT72" i="84"/>
  <c r="MS72" i="84"/>
  <c r="MR72" i="84"/>
  <c r="MQ72" i="84"/>
  <c r="MQ73" i="84" s="1"/>
  <c r="MP72" i="84"/>
  <c r="MO72" i="84"/>
  <c r="MN72" i="84"/>
  <c r="MM72" i="84"/>
  <c r="ML72" i="84"/>
  <c r="MK72" i="84"/>
  <c r="MJ72" i="84"/>
  <c r="MI72" i="84"/>
  <c r="MH72" i="84"/>
  <c r="MG72" i="84"/>
  <c r="MF72" i="84"/>
  <c r="ME72" i="84"/>
  <c r="MD72" i="84"/>
  <c r="MC72" i="84"/>
  <c r="MB72" i="84"/>
  <c r="MA72" i="84"/>
  <c r="LZ72" i="84"/>
  <c r="LY72" i="84"/>
  <c r="LX72" i="84"/>
  <c r="LW72" i="84"/>
  <c r="LV72" i="84"/>
  <c r="LU72" i="84"/>
  <c r="LT72" i="84"/>
  <c r="LS72" i="84"/>
  <c r="LS73" i="84" s="1"/>
  <c r="LR72" i="84"/>
  <c r="LQ72" i="84"/>
  <c r="LP72" i="84"/>
  <c r="LO72" i="84"/>
  <c r="LN72" i="84"/>
  <c r="LM72" i="84"/>
  <c r="LL72" i="84"/>
  <c r="LK72" i="84"/>
  <c r="LJ72" i="84"/>
  <c r="LI72" i="84"/>
  <c r="LH72" i="84"/>
  <c r="LG72" i="84"/>
  <c r="LF72" i="84"/>
  <c r="LE72" i="84"/>
  <c r="LD72" i="84"/>
  <c r="LC72" i="84"/>
  <c r="LC73" i="84" s="1"/>
  <c r="LB72" i="84"/>
  <c r="LA72" i="84"/>
  <c r="KZ72" i="84"/>
  <c r="KY72" i="84"/>
  <c r="KX72" i="84"/>
  <c r="KW72" i="84"/>
  <c r="KV72" i="84"/>
  <c r="KU72" i="84"/>
  <c r="KU73" i="84" s="1"/>
  <c r="KT72" i="84"/>
  <c r="KT73" i="84" s="1"/>
  <c r="KS72" i="84"/>
  <c r="KR72" i="84"/>
  <c r="KQ72" i="84"/>
  <c r="KP72" i="84"/>
  <c r="KO72" i="84"/>
  <c r="KN72" i="84"/>
  <c r="KM72" i="84"/>
  <c r="KL72" i="84"/>
  <c r="KK72" i="84"/>
  <c r="KJ72" i="84"/>
  <c r="KI72" i="84"/>
  <c r="KH72" i="84"/>
  <c r="KG72" i="84"/>
  <c r="KF72" i="84"/>
  <c r="KE72" i="84"/>
  <c r="KE73" i="84" s="1"/>
  <c r="KD72" i="84"/>
  <c r="KC72" i="84"/>
  <c r="KB72" i="84"/>
  <c r="KA72" i="84"/>
  <c r="JZ72" i="84"/>
  <c r="JY72" i="84"/>
  <c r="JX72" i="84"/>
  <c r="JW72" i="84"/>
  <c r="JV72" i="84"/>
  <c r="JU72" i="84"/>
  <c r="JT72" i="84"/>
  <c r="JS72" i="84"/>
  <c r="JR72" i="84"/>
  <c r="JQ72" i="84"/>
  <c r="JP72" i="84"/>
  <c r="JO72" i="84"/>
  <c r="JN72" i="84"/>
  <c r="JM72" i="84"/>
  <c r="JL72" i="84"/>
  <c r="JK72" i="84"/>
  <c r="JJ72" i="84"/>
  <c r="JI72" i="84"/>
  <c r="JH72" i="84"/>
  <c r="JG72" i="84"/>
  <c r="JG73" i="84" s="1"/>
  <c r="JF72" i="84"/>
  <c r="JE72" i="84"/>
  <c r="JD72" i="84"/>
  <c r="JC72" i="84"/>
  <c r="JB72" i="84"/>
  <c r="JA72" i="84"/>
  <c r="IZ72" i="84"/>
  <c r="IY72" i="84"/>
  <c r="IX72" i="84"/>
  <c r="IW72" i="84"/>
  <c r="IV72" i="84"/>
  <c r="IU72" i="84"/>
  <c r="IT72" i="84"/>
  <c r="IS72" i="84"/>
  <c r="IR72" i="84"/>
  <c r="IQ72" i="84"/>
  <c r="IQ73" i="84" s="1"/>
  <c r="IP72" i="84"/>
  <c r="IO72" i="84"/>
  <c r="IN72" i="84"/>
  <c r="IM72" i="84"/>
  <c r="IL72" i="84"/>
  <c r="IK72" i="84"/>
  <c r="IJ72" i="84"/>
  <c r="II72" i="84"/>
  <c r="II73" i="84" s="1"/>
  <c r="IH72" i="84"/>
  <c r="IH73" i="84" s="1"/>
  <c r="IG72" i="84"/>
  <c r="IF72" i="84"/>
  <c r="IE72" i="84"/>
  <c r="ID72" i="84"/>
  <c r="IC72" i="84"/>
  <c r="IB72" i="84"/>
  <c r="IA72" i="84"/>
  <c r="HZ72" i="84"/>
  <c r="HY72" i="84"/>
  <c r="HX72" i="84"/>
  <c r="HW72" i="84"/>
  <c r="HV72" i="84"/>
  <c r="HU72" i="84"/>
  <c r="HT72" i="84"/>
  <c r="HS72" i="84"/>
  <c r="HS73" i="84" s="1"/>
  <c r="HR72" i="84"/>
  <c r="HQ72" i="84"/>
  <c r="HP72" i="84"/>
  <c r="HO72" i="84"/>
  <c r="HN72" i="84"/>
  <c r="HM72" i="84"/>
  <c r="HL72" i="84"/>
  <c r="HK72" i="84"/>
  <c r="HJ72" i="84"/>
  <c r="HI72" i="84"/>
  <c r="HH72" i="84"/>
  <c r="HG72" i="84"/>
  <c r="HF72" i="84"/>
  <c r="HE72" i="84"/>
  <c r="HD72" i="84"/>
  <c r="HC72" i="84"/>
  <c r="HB72" i="84"/>
  <c r="HA72" i="84"/>
  <c r="GZ72" i="84"/>
  <c r="GY72" i="84"/>
  <c r="GX72" i="84"/>
  <c r="GW72" i="84"/>
  <c r="GV72" i="84"/>
  <c r="GU72" i="84"/>
  <c r="GU73" i="84" s="1"/>
  <c r="GT72" i="84"/>
  <c r="GS72" i="84"/>
  <c r="GR72" i="84"/>
  <c r="GQ72" i="84"/>
  <c r="GP72" i="84"/>
  <c r="GO72" i="84"/>
  <c r="GN72" i="84"/>
  <c r="GM72" i="84"/>
  <c r="GL72" i="84"/>
  <c r="GK72" i="84"/>
  <c r="GJ72" i="84"/>
  <c r="GI72" i="84"/>
  <c r="GH72" i="84"/>
  <c r="GG72" i="84"/>
  <c r="GF72" i="84"/>
  <c r="GE72" i="84"/>
  <c r="GE73" i="84" s="1"/>
  <c r="GD72" i="84"/>
  <c r="GC72" i="84"/>
  <c r="GB72" i="84"/>
  <c r="GA72" i="84"/>
  <c r="FZ72" i="84"/>
  <c r="FY72" i="84"/>
  <c r="FX72" i="84"/>
  <c r="FW72" i="84"/>
  <c r="FW73" i="84" s="1"/>
  <c r="FV72" i="84"/>
  <c r="FV73" i="84" s="1"/>
  <c r="FU72" i="84"/>
  <c r="FT72" i="84"/>
  <c r="FS72" i="84"/>
  <c r="FR72" i="84"/>
  <c r="FQ72" i="84"/>
  <c r="FP72" i="84"/>
  <c r="FO72" i="84"/>
  <c r="FN72" i="84"/>
  <c r="FM72" i="84"/>
  <c r="FL72" i="84"/>
  <c r="FK72" i="84"/>
  <c r="FJ72" i="84"/>
  <c r="FI72" i="84"/>
  <c r="FH72" i="84"/>
  <c r="FG72" i="84"/>
  <c r="FG73" i="84" s="1"/>
  <c r="FF72" i="84"/>
  <c r="FE72" i="84"/>
  <c r="FD72" i="84"/>
  <c r="FC72" i="84"/>
  <c r="FB72" i="84"/>
  <c r="FA72" i="84"/>
  <c r="EZ72" i="84"/>
  <c r="EY72" i="84"/>
  <c r="EX72" i="84"/>
  <c r="EW72" i="84"/>
  <c r="EV72" i="84"/>
  <c r="EU72" i="84"/>
  <c r="ET72" i="84"/>
  <c r="ES72" i="84"/>
  <c r="ER72" i="84"/>
  <c r="EQ72" i="84"/>
  <c r="EP72" i="84"/>
  <c r="EO72" i="84"/>
  <c r="EN72" i="84"/>
  <c r="EM72" i="84"/>
  <c r="EL72" i="84"/>
  <c r="EK72" i="84"/>
  <c r="EJ72" i="84"/>
  <c r="EI72" i="84"/>
  <c r="EI73" i="84" s="1"/>
  <c r="EH72" i="84"/>
  <c r="EG72" i="84"/>
  <c r="EF72" i="84"/>
  <c r="EE72" i="84"/>
  <c r="ED72" i="84"/>
  <c r="EC72" i="84"/>
  <c r="EB72" i="84"/>
  <c r="EA72" i="84"/>
  <c r="DZ72" i="84"/>
  <c r="DY72" i="84"/>
  <c r="DX72" i="84"/>
  <c r="DW72" i="84"/>
  <c r="DV72" i="84"/>
  <c r="DU72" i="84"/>
  <c r="DT72" i="84"/>
  <c r="DS72" i="84"/>
  <c r="DS73" i="84" s="1"/>
  <c r="DR72" i="84"/>
  <c r="DQ72" i="84"/>
  <c r="DP72" i="84"/>
  <c r="DO72" i="84"/>
  <c r="DN72" i="84"/>
  <c r="DM72" i="84"/>
  <c r="DL72" i="84"/>
  <c r="DK72" i="84"/>
  <c r="DJ72" i="84"/>
  <c r="DI72" i="84"/>
  <c r="DH72" i="84"/>
  <c r="DG72" i="84"/>
  <c r="DF72" i="84"/>
  <c r="DE72" i="84"/>
  <c r="DD72" i="84"/>
  <c r="DC72" i="84"/>
  <c r="DC73" i="84" s="1"/>
  <c r="DB72" i="84"/>
  <c r="DA72" i="84"/>
  <c r="CZ72" i="84"/>
  <c r="CY72" i="84"/>
  <c r="CX72" i="84"/>
  <c r="CW72" i="84"/>
  <c r="CV72" i="84"/>
  <c r="CU72" i="84"/>
  <c r="CT72" i="84"/>
  <c r="CS72" i="84"/>
  <c r="CR72" i="84"/>
  <c r="CQ72" i="84"/>
  <c r="CP72" i="84"/>
  <c r="CO72" i="84"/>
  <c r="CN72" i="84"/>
  <c r="CM72" i="84"/>
  <c r="CM73" i="84" s="1"/>
  <c r="CL72" i="84"/>
  <c r="CK72" i="84"/>
  <c r="CJ72" i="84"/>
  <c r="CI72" i="84"/>
  <c r="CH72" i="84"/>
  <c r="CG72" i="84"/>
  <c r="CF72" i="84"/>
  <c r="CE72" i="84"/>
  <c r="CD72" i="84"/>
  <c r="CC72" i="84"/>
  <c r="CB72" i="84"/>
  <c r="CA72" i="84"/>
  <c r="BZ72" i="84"/>
  <c r="BY72" i="84"/>
  <c r="BX72" i="84"/>
  <c r="BW72" i="84"/>
  <c r="BW73" i="84" s="1"/>
  <c r="BV72" i="84"/>
  <c r="BU72" i="84"/>
  <c r="BT72" i="84"/>
  <c r="BS72" i="84"/>
  <c r="BR72" i="84"/>
  <c r="BQ72" i="84"/>
  <c r="BP72" i="84"/>
  <c r="BO72" i="84"/>
  <c r="BN72" i="84"/>
  <c r="BM72" i="84"/>
  <c r="BL72" i="84"/>
  <c r="BK72" i="84"/>
  <c r="BJ72" i="84"/>
  <c r="BI72" i="84"/>
  <c r="BH72" i="84"/>
  <c r="BG72" i="84"/>
  <c r="BG73" i="84" s="1"/>
  <c r="BF72" i="84"/>
  <c r="BE72" i="84"/>
  <c r="BD72" i="84"/>
  <c r="BC72" i="84"/>
  <c r="BB72" i="84"/>
  <c r="BA72" i="84"/>
  <c r="AZ72" i="84"/>
  <c r="AY72" i="84"/>
  <c r="AX72" i="84"/>
  <c r="AW72" i="84"/>
  <c r="AV72" i="84"/>
  <c r="AU72" i="84"/>
  <c r="AT72" i="84"/>
  <c r="AS72" i="84"/>
  <c r="AR72" i="84"/>
  <c r="AQ72" i="84"/>
  <c r="AQ73" i="84" s="1"/>
  <c r="AP72" i="84"/>
  <c r="AO72" i="84"/>
  <c r="AN72" i="84"/>
  <c r="AM72" i="84"/>
  <c r="AL72" i="84"/>
  <c r="AK72" i="84"/>
  <c r="AJ72" i="84"/>
  <c r="AI72" i="84"/>
  <c r="AH72" i="84"/>
  <c r="AG72" i="84"/>
  <c r="AF72" i="84"/>
  <c r="AE72" i="84"/>
  <c r="AD72" i="84"/>
  <c r="AC72" i="84"/>
  <c r="AB72" i="84"/>
  <c r="AA72" i="84"/>
  <c r="AA73" i="84" s="1"/>
  <c r="Z72" i="84"/>
  <c r="Y72" i="84"/>
  <c r="X72" i="84"/>
  <c r="W72" i="84"/>
  <c r="V72" i="84"/>
  <c r="U72" i="84"/>
  <c r="T72" i="84"/>
  <c r="S72" i="84"/>
  <c r="R72" i="84"/>
  <c r="Q72" i="84"/>
  <c r="P72" i="84"/>
  <c r="O72" i="84"/>
  <c r="N72" i="84"/>
  <c r="M72" i="84"/>
  <c r="L72" i="84"/>
  <c r="K72" i="84"/>
  <c r="K73" i="84" s="1"/>
  <c r="J72" i="84"/>
  <c r="I72" i="84"/>
  <c r="H72" i="84"/>
  <c r="OL72" i="84" s="1"/>
  <c r="G72" i="84"/>
  <c r="F72" i="84"/>
  <c r="E72" i="84"/>
  <c r="OL71" i="84"/>
  <c r="OL70" i="84"/>
  <c r="OL69" i="84"/>
  <c r="OL68" i="84"/>
  <c r="OL67" i="84"/>
  <c r="OL66" i="84"/>
  <c r="OL65" i="84"/>
  <c r="OL64" i="84"/>
  <c r="OL63" i="84"/>
  <c r="OK62" i="84"/>
  <c r="OJ62" i="84"/>
  <c r="OI62" i="84"/>
  <c r="OH62" i="84"/>
  <c r="OG62" i="84"/>
  <c r="OF62" i="84"/>
  <c r="OE62" i="84"/>
  <c r="OD62" i="84"/>
  <c r="OD73" i="84" s="1"/>
  <c r="OC62" i="84"/>
  <c r="OB62" i="84"/>
  <c r="OA62" i="84"/>
  <c r="NZ62" i="84"/>
  <c r="NY62" i="84"/>
  <c r="NX62" i="84"/>
  <c r="NW62" i="84"/>
  <c r="NV62" i="84"/>
  <c r="NU62" i="84"/>
  <c r="NT62" i="84"/>
  <c r="NS62" i="84"/>
  <c r="NR62" i="84"/>
  <c r="NQ62" i="84"/>
  <c r="NP62" i="84"/>
  <c r="NO62" i="84"/>
  <c r="NN62" i="84"/>
  <c r="NN73" i="84" s="1"/>
  <c r="NM62" i="84"/>
  <c r="NL62" i="84"/>
  <c r="NK62" i="84"/>
  <c r="NJ62" i="84"/>
  <c r="NI62" i="84"/>
  <c r="NH62" i="84"/>
  <c r="NG62" i="84"/>
  <c r="NF62" i="84"/>
  <c r="NE62" i="84"/>
  <c r="ND62" i="84"/>
  <c r="NC62" i="84"/>
  <c r="NB62" i="84"/>
  <c r="NA62" i="84"/>
  <c r="MZ62" i="84"/>
  <c r="MY62" i="84"/>
  <c r="MX62" i="84"/>
  <c r="MW62" i="84"/>
  <c r="MV62" i="84"/>
  <c r="MU62" i="84"/>
  <c r="MT62" i="84"/>
  <c r="MS62" i="84"/>
  <c r="MR62" i="84"/>
  <c r="MQ62" i="84"/>
  <c r="MP62" i="84"/>
  <c r="MP73" i="84" s="1"/>
  <c r="MO62" i="84"/>
  <c r="MN62" i="84"/>
  <c r="MM62" i="84"/>
  <c r="ML62" i="84"/>
  <c r="MK62" i="84"/>
  <c r="MJ62" i="84"/>
  <c r="MI62" i="84"/>
  <c r="MH62" i="84"/>
  <c r="MG62" i="84"/>
  <c r="MF62" i="84"/>
  <c r="ME62" i="84"/>
  <c r="MD62" i="84"/>
  <c r="MC62" i="84"/>
  <c r="MB62" i="84"/>
  <c r="MA62" i="84"/>
  <c r="LZ62" i="84"/>
  <c r="LZ73" i="84" s="1"/>
  <c r="LY62" i="84"/>
  <c r="LX62" i="84"/>
  <c r="LW62" i="84"/>
  <c r="LV62" i="84"/>
  <c r="LU62" i="84"/>
  <c r="LT62" i="84"/>
  <c r="LS62" i="84"/>
  <c r="LR62" i="84"/>
  <c r="LR73" i="84" s="1"/>
  <c r="LQ62" i="84"/>
  <c r="LP62" i="84"/>
  <c r="LO62" i="84"/>
  <c r="LN62" i="84"/>
  <c r="LM62" i="84"/>
  <c r="LL62" i="84"/>
  <c r="LK62" i="84"/>
  <c r="LJ62" i="84"/>
  <c r="LI62" i="84"/>
  <c r="LH62" i="84"/>
  <c r="LG62" i="84"/>
  <c r="LF62" i="84"/>
  <c r="LE62" i="84"/>
  <c r="LD62" i="84"/>
  <c r="LC62" i="84"/>
  <c r="LB62" i="84"/>
  <c r="LB73" i="84" s="1"/>
  <c r="LA62" i="84"/>
  <c r="KZ62" i="84"/>
  <c r="KY62" i="84"/>
  <c r="KX62" i="84"/>
  <c r="KW62" i="84"/>
  <c r="KV62" i="84"/>
  <c r="KU62" i="84"/>
  <c r="KT62" i="84"/>
  <c r="KS62" i="84"/>
  <c r="KR62" i="84"/>
  <c r="KQ62" i="84"/>
  <c r="KP62" i="84"/>
  <c r="KO62" i="84"/>
  <c r="KN62" i="84"/>
  <c r="KM62" i="84"/>
  <c r="KL62" i="84"/>
  <c r="KK62" i="84"/>
  <c r="KJ62" i="84"/>
  <c r="KI62" i="84"/>
  <c r="KH62" i="84"/>
  <c r="KG62" i="84"/>
  <c r="KF62" i="84"/>
  <c r="KE62" i="84"/>
  <c r="KD62" i="84"/>
  <c r="KD73" i="84" s="1"/>
  <c r="KC62" i="84"/>
  <c r="KB62" i="84"/>
  <c r="KA62" i="84"/>
  <c r="JZ62" i="84"/>
  <c r="JY62" i="84"/>
  <c r="JX62" i="84"/>
  <c r="JW62" i="84"/>
  <c r="JV62" i="84"/>
  <c r="JU62" i="84"/>
  <c r="JT62" i="84"/>
  <c r="JS62" i="84"/>
  <c r="JR62" i="84"/>
  <c r="JQ62" i="84"/>
  <c r="JP62" i="84"/>
  <c r="JO62" i="84"/>
  <c r="JN62" i="84"/>
  <c r="JN73" i="84" s="1"/>
  <c r="JM62" i="84"/>
  <c r="JL62" i="84"/>
  <c r="JK62" i="84"/>
  <c r="JJ62" i="84"/>
  <c r="JI62" i="84"/>
  <c r="JH62" i="84"/>
  <c r="JG62" i="84"/>
  <c r="JF62" i="84"/>
  <c r="JF73" i="84" s="1"/>
  <c r="JE62" i="84"/>
  <c r="JD62" i="84"/>
  <c r="JC62" i="84"/>
  <c r="JB62" i="84"/>
  <c r="JA62" i="84"/>
  <c r="IZ62" i="84"/>
  <c r="IY62" i="84"/>
  <c r="IX62" i="84"/>
  <c r="IW62" i="84"/>
  <c r="IV62" i="84"/>
  <c r="IU62" i="84"/>
  <c r="IT62" i="84"/>
  <c r="IS62" i="84"/>
  <c r="IR62" i="84"/>
  <c r="IQ62" i="84"/>
  <c r="IP62" i="84"/>
  <c r="IP73" i="84" s="1"/>
  <c r="IO62" i="84"/>
  <c r="IN62" i="84"/>
  <c r="IM62" i="84"/>
  <c r="IL62" i="84"/>
  <c r="IK62" i="84"/>
  <c r="IJ62" i="84"/>
  <c r="II62" i="84"/>
  <c r="IH62" i="84"/>
  <c r="IG62" i="84"/>
  <c r="IF62" i="84"/>
  <c r="IE62" i="84"/>
  <c r="ID62" i="84"/>
  <c r="IC62" i="84"/>
  <c r="IB62" i="84"/>
  <c r="IA62" i="84"/>
  <c r="HZ62" i="84"/>
  <c r="HY62" i="84"/>
  <c r="HX62" i="84"/>
  <c r="HW62" i="84"/>
  <c r="HV62" i="84"/>
  <c r="HU62" i="84"/>
  <c r="HT62" i="84"/>
  <c r="HS62" i="84"/>
  <c r="HR62" i="84"/>
  <c r="HR73" i="84" s="1"/>
  <c r="HQ62" i="84"/>
  <c r="HP62" i="84"/>
  <c r="HO62" i="84"/>
  <c r="HN62" i="84"/>
  <c r="HM62" i="84"/>
  <c r="HL62" i="84"/>
  <c r="HK62" i="84"/>
  <c r="HJ62" i="84"/>
  <c r="HI62" i="84"/>
  <c r="HH62" i="84"/>
  <c r="HG62" i="84"/>
  <c r="HF62" i="84"/>
  <c r="HE62" i="84"/>
  <c r="HD62" i="84"/>
  <c r="HC62" i="84"/>
  <c r="HB62" i="84"/>
  <c r="HB73" i="84" s="1"/>
  <c r="HA62" i="84"/>
  <c r="GZ62" i="84"/>
  <c r="GY62" i="84"/>
  <c r="GX62" i="84"/>
  <c r="GW62" i="84"/>
  <c r="GV62" i="84"/>
  <c r="GU62" i="84"/>
  <c r="GT62" i="84"/>
  <c r="GT73" i="84" s="1"/>
  <c r="GS62" i="84"/>
  <c r="GR62" i="84"/>
  <c r="GQ62" i="84"/>
  <c r="GP62" i="84"/>
  <c r="GO62" i="84"/>
  <c r="GN62" i="84"/>
  <c r="GM62" i="84"/>
  <c r="GL62" i="84"/>
  <c r="GK62" i="84"/>
  <c r="GJ62" i="84"/>
  <c r="GI62" i="84"/>
  <c r="GH62" i="84"/>
  <c r="GG62" i="84"/>
  <c r="GF62" i="84"/>
  <c r="GE62" i="84"/>
  <c r="GD62" i="84"/>
  <c r="GD73" i="84" s="1"/>
  <c r="GC62" i="84"/>
  <c r="GB62" i="84"/>
  <c r="GA62" i="84"/>
  <c r="FZ62" i="84"/>
  <c r="FY62" i="84"/>
  <c r="FX62" i="84"/>
  <c r="FW62" i="84"/>
  <c r="FV62" i="84"/>
  <c r="FU62" i="84"/>
  <c r="FT62" i="84"/>
  <c r="FS62" i="84"/>
  <c r="FR62" i="84"/>
  <c r="FQ62" i="84"/>
  <c r="FP62" i="84"/>
  <c r="FO62" i="84"/>
  <c r="FN62" i="84"/>
  <c r="FM62" i="84"/>
  <c r="FL62" i="84"/>
  <c r="FK62" i="84"/>
  <c r="FJ62" i="84"/>
  <c r="FI62" i="84"/>
  <c r="FH62" i="84"/>
  <c r="FG62" i="84"/>
  <c r="FF62" i="84"/>
  <c r="FF73" i="84" s="1"/>
  <c r="FE62" i="84"/>
  <c r="FD62" i="84"/>
  <c r="FC62" i="84"/>
  <c r="FB62" i="84"/>
  <c r="FA62" i="84"/>
  <c r="EZ62" i="84"/>
  <c r="EY62" i="84"/>
  <c r="EX62" i="84"/>
  <c r="EW62" i="84"/>
  <c r="EV62" i="84"/>
  <c r="EU62" i="84"/>
  <c r="ET62" i="84"/>
  <c r="ES62" i="84"/>
  <c r="ER62" i="84"/>
  <c r="EQ62" i="84"/>
  <c r="EP62" i="84"/>
  <c r="EP73" i="84" s="1"/>
  <c r="EO62" i="84"/>
  <c r="EN62" i="84"/>
  <c r="EM62" i="84"/>
  <c r="EL62" i="84"/>
  <c r="EK62" i="84"/>
  <c r="EJ62" i="84"/>
  <c r="EI62" i="84"/>
  <c r="EH62" i="84"/>
  <c r="EH73" i="84" s="1"/>
  <c r="EG62" i="84"/>
  <c r="EF62" i="84"/>
  <c r="EE62" i="84"/>
  <c r="ED62" i="84"/>
  <c r="EC62" i="84"/>
  <c r="EB62" i="84"/>
  <c r="EA62" i="84"/>
  <c r="DZ62" i="84"/>
  <c r="DY62" i="84"/>
  <c r="DX62" i="84"/>
  <c r="DW62" i="84"/>
  <c r="DV62" i="84"/>
  <c r="DU62" i="84"/>
  <c r="DT62" i="84"/>
  <c r="DS62" i="84"/>
  <c r="DR62" i="84"/>
  <c r="DR73" i="84" s="1"/>
  <c r="DQ62" i="84"/>
  <c r="DP62" i="84"/>
  <c r="DO62" i="84"/>
  <c r="DN62" i="84"/>
  <c r="DM62" i="84"/>
  <c r="DL62" i="84"/>
  <c r="DK62" i="84"/>
  <c r="DJ62" i="84"/>
  <c r="DI62" i="84"/>
  <c r="DH62" i="84"/>
  <c r="DG62" i="84"/>
  <c r="DF62" i="84"/>
  <c r="DE62" i="84"/>
  <c r="DD62" i="84"/>
  <c r="DC62" i="84"/>
  <c r="DB62" i="84"/>
  <c r="DB73" i="84" s="1"/>
  <c r="DA62" i="84"/>
  <c r="CZ62" i="84"/>
  <c r="CY62" i="84"/>
  <c r="CX62" i="84"/>
  <c r="CW62" i="84"/>
  <c r="CV62" i="84"/>
  <c r="CU62" i="84"/>
  <c r="CT62" i="84"/>
  <c r="CS62" i="84"/>
  <c r="CR62" i="84"/>
  <c r="CQ62" i="84"/>
  <c r="CP62" i="84"/>
  <c r="CO62" i="84"/>
  <c r="CN62" i="84"/>
  <c r="CM62" i="84"/>
  <c r="CL62" i="84"/>
  <c r="CL73" i="84" s="1"/>
  <c r="CK62" i="84"/>
  <c r="CJ62" i="84"/>
  <c r="CI62" i="84"/>
  <c r="CH62" i="84"/>
  <c r="CG62" i="84"/>
  <c r="CF62" i="84"/>
  <c r="CE62" i="84"/>
  <c r="CD62" i="84"/>
  <c r="CC62" i="84"/>
  <c r="CB62" i="84"/>
  <c r="CA62" i="84"/>
  <c r="BZ62" i="84"/>
  <c r="BY62" i="84"/>
  <c r="BX62" i="84"/>
  <c r="BW62" i="84"/>
  <c r="BV62" i="84"/>
  <c r="BV73" i="84" s="1"/>
  <c r="BU62" i="84"/>
  <c r="BT62" i="84"/>
  <c r="BS62" i="84"/>
  <c r="BR62" i="84"/>
  <c r="BQ62" i="84"/>
  <c r="BP62" i="84"/>
  <c r="BO62" i="84"/>
  <c r="BN62" i="84"/>
  <c r="BM62" i="84"/>
  <c r="BL62" i="84"/>
  <c r="BK62" i="84"/>
  <c r="BJ62" i="84"/>
  <c r="BI62" i="84"/>
  <c r="BH62" i="84"/>
  <c r="BG62" i="84"/>
  <c r="BF62" i="84"/>
  <c r="BF73" i="84" s="1"/>
  <c r="BE62" i="84"/>
  <c r="BD62" i="84"/>
  <c r="BC62" i="84"/>
  <c r="BB62" i="84"/>
  <c r="BA62" i="84"/>
  <c r="AZ62" i="84"/>
  <c r="AY62" i="84"/>
  <c r="AX62" i="84"/>
  <c r="AW62" i="84"/>
  <c r="AV62" i="84"/>
  <c r="AU62" i="84"/>
  <c r="AT62" i="84"/>
  <c r="AS62" i="84"/>
  <c r="AR62" i="84"/>
  <c r="AQ62" i="84"/>
  <c r="AP62" i="84"/>
  <c r="AP73" i="84" s="1"/>
  <c r="AO62" i="84"/>
  <c r="AN62" i="84"/>
  <c r="AM62" i="84"/>
  <c r="AL62" i="84"/>
  <c r="AK62" i="84"/>
  <c r="AJ62" i="84"/>
  <c r="AI62" i="84"/>
  <c r="AH62" i="84"/>
  <c r="AG62" i="84"/>
  <c r="AF62" i="84"/>
  <c r="AE62" i="84"/>
  <c r="AD62" i="84"/>
  <c r="AC62" i="84"/>
  <c r="AB62" i="84"/>
  <c r="AA62" i="84"/>
  <c r="Z62" i="84"/>
  <c r="Z73" i="84" s="1"/>
  <c r="Y62" i="84"/>
  <c r="X62" i="84"/>
  <c r="W62" i="84"/>
  <c r="V62" i="84"/>
  <c r="U62" i="84"/>
  <c r="T62" i="84"/>
  <c r="S62" i="84"/>
  <c r="R62" i="84"/>
  <c r="Q62" i="84"/>
  <c r="P62" i="84"/>
  <c r="O62" i="84"/>
  <c r="N62" i="84"/>
  <c r="M62" i="84"/>
  <c r="L62" i="84"/>
  <c r="K62" i="84"/>
  <c r="J62" i="84"/>
  <c r="J73" i="84" s="1"/>
  <c r="I62" i="84"/>
  <c r="H62" i="84"/>
  <c r="G62" i="84"/>
  <c r="OL62" i="84" s="1"/>
  <c r="F62" i="84"/>
  <c r="E62" i="84"/>
  <c r="OL61" i="84"/>
  <c r="OK60" i="84"/>
  <c r="OJ60" i="84"/>
  <c r="OI60" i="84"/>
  <c r="OH60" i="84"/>
  <c r="OH73" i="84" s="1"/>
  <c r="OG60" i="84"/>
  <c r="OG73" i="84" s="1"/>
  <c r="OF60" i="84"/>
  <c r="OE60" i="84"/>
  <c r="OD60" i="84"/>
  <c r="OC60" i="84"/>
  <c r="OB60" i="84"/>
  <c r="OA60" i="84"/>
  <c r="NZ60" i="84"/>
  <c r="NZ73" i="84" s="1"/>
  <c r="NY60" i="84"/>
  <c r="NY73" i="84" s="1"/>
  <c r="NX60" i="84"/>
  <c r="NW60" i="84"/>
  <c r="NV60" i="84"/>
  <c r="NU60" i="84"/>
  <c r="NT60" i="84"/>
  <c r="NS60" i="84"/>
  <c r="NR60" i="84"/>
  <c r="NR73" i="84" s="1"/>
  <c r="NQ60" i="84"/>
  <c r="NQ73" i="84" s="1"/>
  <c r="NP60" i="84"/>
  <c r="NO60" i="84"/>
  <c r="NN60" i="84"/>
  <c r="NM60" i="84"/>
  <c r="NL60" i="84"/>
  <c r="NK60" i="84"/>
  <c r="NJ60" i="84"/>
  <c r="NJ73" i="84" s="1"/>
  <c r="NI60" i="84"/>
  <c r="NI73" i="84" s="1"/>
  <c r="NH60" i="84"/>
  <c r="NG60" i="84"/>
  <c r="NF60" i="84"/>
  <c r="NE60" i="84"/>
  <c r="ND60" i="84"/>
  <c r="NC60" i="84"/>
  <c r="NB60" i="84"/>
  <c r="NB73" i="84" s="1"/>
  <c r="NA60" i="84"/>
  <c r="NA73" i="84" s="1"/>
  <c r="MZ60" i="84"/>
  <c r="MY60" i="84"/>
  <c r="MX60" i="84"/>
  <c r="MW60" i="84"/>
  <c r="MV60" i="84"/>
  <c r="MU60" i="84"/>
  <c r="MT60" i="84"/>
  <c r="MT73" i="84" s="1"/>
  <c r="MS60" i="84"/>
  <c r="MS73" i="84" s="1"/>
  <c r="MR60" i="84"/>
  <c r="MQ60" i="84"/>
  <c r="MP60" i="84"/>
  <c r="MO60" i="84"/>
  <c r="MN60" i="84"/>
  <c r="MM60" i="84"/>
  <c r="ML60" i="84"/>
  <c r="ML73" i="84" s="1"/>
  <c r="MK60" i="84"/>
  <c r="MK73" i="84" s="1"/>
  <c r="MJ60" i="84"/>
  <c r="MI60" i="84"/>
  <c r="MH60" i="84"/>
  <c r="MG60" i="84"/>
  <c r="MF60" i="84"/>
  <c r="ME60" i="84"/>
  <c r="MD60" i="84"/>
  <c r="MD73" i="84" s="1"/>
  <c r="MC60" i="84"/>
  <c r="MC73" i="84" s="1"/>
  <c r="MB60" i="84"/>
  <c r="MA60" i="84"/>
  <c r="LZ60" i="84"/>
  <c r="LY60" i="84"/>
  <c r="LX60" i="84"/>
  <c r="LW60" i="84"/>
  <c r="LV60" i="84"/>
  <c r="LV73" i="84" s="1"/>
  <c r="LU60" i="84"/>
  <c r="LU73" i="84" s="1"/>
  <c r="LT60" i="84"/>
  <c r="LS60" i="84"/>
  <c r="LR60" i="84"/>
  <c r="LQ60" i="84"/>
  <c r="LP60" i="84"/>
  <c r="LO60" i="84"/>
  <c r="LN60" i="84"/>
  <c r="LN73" i="84" s="1"/>
  <c r="LM60" i="84"/>
  <c r="LM73" i="84" s="1"/>
  <c r="LL60" i="84"/>
  <c r="LK60" i="84"/>
  <c r="LJ60" i="84"/>
  <c r="LI60" i="84"/>
  <c r="LH60" i="84"/>
  <c r="LG60" i="84"/>
  <c r="LF60" i="84"/>
  <c r="LF73" i="84" s="1"/>
  <c r="LE60" i="84"/>
  <c r="LE73" i="84" s="1"/>
  <c r="LD60" i="84"/>
  <c r="LC60" i="84"/>
  <c r="LB60" i="84"/>
  <c r="LA60" i="84"/>
  <c r="KZ60" i="84"/>
  <c r="KY60" i="84"/>
  <c r="KX60" i="84"/>
  <c r="KX73" i="84" s="1"/>
  <c r="KW60" i="84"/>
  <c r="KW73" i="84" s="1"/>
  <c r="KV60" i="84"/>
  <c r="KU60" i="84"/>
  <c r="KT60" i="84"/>
  <c r="KS60" i="84"/>
  <c r="KR60" i="84"/>
  <c r="KQ60" i="84"/>
  <c r="KP60" i="84"/>
  <c r="KP73" i="84" s="1"/>
  <c r="KO60" i="84"/>
  <c r="KO73" i="84" s="1"/>
  <c r="KN60" i="84"/>
  <c r="KM60" i="84"/>
  <c r="KL60" i="84"/>
  <c r="KK60" i="84"/>
  <c r="KJ60" i="84"/>
  <c r="KI60" i="84"/>
  <c r="KH60" i="84"/>
  <c r="KH73" i="84" s="1"/>
  <c r="KG60" i="84"/>
  <c r="KG73" i="84" s="1"/>
  <c r="KF60" i="84"/>
  <c r="KE60" i="84"/>
  <c r="KD60" i="84"/>
  <c r="KC60" i="84"/>
  <c r="KB60" i="84"/>
  <c r="KA60" i="84"/>
  <c r="JZ60" i="84"/>
  <c r="JZ73" i="84" s="1"/>
  <c r="JY60" i="84"/>
  <c r="JY73" i="84" s="1"/>
  <c r="JX60" i="84"/>
  <c r="JW60" i="84"/>
  <c r="JV60" i="84"/>
  <c r="JU60" i="84"/>
  <c r="JT60" i="84"/>
  <c r="JS60" i="84"/>
  <c r="JR60" i="84"/>
  <c r="JR73" i="84" s="1"/>
  <c r="JQ60" i="84"/>
  <c r="JQ73" i="84" s="1"/>
  <c r="JP60" i="84"/>
  <c r="JO60" i="84"/>
  <c r="JN60" i="84"/>
  <c r="JM60" i="84"/>
  <c r="JL60" i="84"/>
  <c r="JK60" i="84"/>
  <c r="JJ60" i="84"/>
  <c r="JJ73" i="84" s="1"/>
  <c r="JI60" i="84"/>
  <c r="JI73" i="84" s="1"/>
  <c r="JH60" i="84"/>
  <c r="JG60" i="84"/>
  <c r="JF60" i="84"/>
  <c r="JE60" i="84"/>
  <c r="JD60" i="84"/>
  <c r="JC60" i="84"/>
  <c r="JB60" i="84"/>
  <c r="JB73" i="84" s="1"/>
  <c r="JA60" i="84"/>
  <c r="JA73" i="84" s="1"/>
  <c r="IZ60" i="84"/>
  <c r="IY60" i="84"/>
  <c r="IX60" i="84"/>
  <c r="IW60" i="84"/>
  <c r="IV60" i="84"/>
  <c r="IU60" i="84"/>
  <c r="IT60" i="84"/>
  <c r="IT73" i="84" s="1"/>
  <c r="IS60" i="84"/>
  <c r="IS73" i="84" s="1"/>
  <c r="IR60" i="84"/>
  <c r="IQ60" i="84"/>
  <c r="IP60" i="84"/>
  <c r="IO60" i="84"/>
  <c r="IN60" i="84"/>
  <c r="IM60" i="84"/>
  <c r="IL60" i="84"/>
  <c r="IL73" i="84" s="1"/>
  <c r="IK60" i="84"/>
  <c r="IK73" i="84" s="1"/>
  <c r="IJ60" i="84"/>
  <c r="II60" i="84"/>
  <c r="IH60" i="84"/>
  <c r="IG60" i="84"/>
  <c r="IF60" i="84"/>
  <c r="IE60" i="84"/>
  <c r="ID60" i="84"/>
  <c r="ID73" i="84" s="1"/>
  <c r="IC60" i="84"/>
  <c r="IC73" i="84" s="1"/>
  <c r="IB60" i="84"/>
  <c r="IA60" i="84"/>
  <c r="HZ60" i="84"/>
  <c r="HY60" i="84"/>
  <c r="HX60" i="84"/>
  <c r="HW60" i="84"/>
  <c r="HV60" i="84"/>
  <c r="HV73" i="84" s="1"/>
  <c r="HU60" i="84"/>
  <c r="HU73" i="84" s="1"/>
  <c r="HT60" i="84"/>
  <c r="HS60" i="84"/>
  <c r="HR60" i="84"/>
  <c r="HQ60" i="84"/>
  <c r="HP60" i="84"/>
  <c r="HO60" i="84"/>
  <c r="HN60" i="84"/>
  <c r="HN73" i="84" s="1"/>
  <c r="HM60" i="84"/>
  <c r="HM73" i="84" s="1"/>
  <c r="HL60" i="84"/>
  <c r="HK60" i="84"/>
  <c r="HJ60" i="84"/>
  <c r="HI60" i="84"/>
  <c r="HH60" i="84"/>
  <c r="HG60" i="84"/>
  <c r="HF60" i="84"/>
  <c r="HF73" i="84" s="1"/>
  <c r="HE60" i="84"/>
  <c r="HE73" i="84" s="1"/>
  <c r="HD60" i="84"/>
  <c r="HC60" i="84"/>
  <c r="HB60" i="84"/>
  <c r="HA60" i="84"/>
  <c r="GZ60" i="84"/>
  <c r="GY60" i="84"/>
  <c r="GX60" i="84"/>
  <c r="GX73" i="84" s="1"/>
  <c r="GW60" i="84"/>
  <c r="GW73" i="84" s="1"/>
  <c r="GV60" i="84"/>
  <c r="GU60" i="84"/>
  <c r="GT60" i="84"/>
  <c r="GS60" i="84"/>
  <c r="GR60" i="84"/>
  <c r="GQ60" i="84"/>
  <c r="GP60" i="84"/>
  <c r="GP73" i="84" s="1"/>
  <c r="GO60" i="84"/>
  <c r="GO73" i="84" s="1"/>
  <c r="GN60" i="84"/>
  <c r="GM60" i="84"/>
  <c r="GL60" i="84"/>
  <c r="GK60" i="84"/>
  <c r="GJ60" i="84"/>
  <c r="GI60" i="84"/>
  <c r="GH60" i="84"/>
  <c r="GH73" i="84" s="1"/>
  <c r="GG60" i="84"/>
  <c r="GG73" i="84" s="1"/>
  <c r="GF60" i="84"/>
  <c r="GE60" i="84"/>
  <c r="GD60" i="84"/>
  <c r="GC60" i="84"/>
  <c r="GB60" i="84"/>
  <c r="GA60" i="84"/>
  <c r="FZ60" i="84"/>
  <c r="FZ73" i="84" s="1"/>
  <c r="FY60" i="84"/>
  <c r="FY73" i="84" s="1"/>
  <c r="FX60" i="84"/>
  <c r="FW60" i="84"/>
  <c r="FV60" i="84"/>
  <c r="FU60" i="84"/>
  <c r="FT60" i="84"/>
  <c r="FS60" i="84"/>
  <c r="FR60" i="84"/>
  <c r="FR73" i="84" s="1"/>
  <c r="FQ60" i="84"/>
  <c r="FQ73" i="84" s="1"/>
  <c r="FP60" i="84"/>
  <c r="FO60" i="84"/>
  <c r="FN60" i="84"/>
  <c r="FM60" i="84"/>
  <c r="FL60" i="84"/>
  <c r="FK60" i="84"/>
  <c r="FJ60" i="84"/>
  <c r="FJ73" i="84" s="1"/>
  <c r="FI60" i="84"/>
  <c r="FI73" i="84" s="1"/>
  <c r="FH60" i="84"/>
  <c r="FG60" i="84"/>
  <c r="FF60" i="84"/>
  <c r="FE60" i="84"/>
  <c r="FD60" i="84"/>
  <c r="FC60" i="84"/>
  <c r="FB60" i="84"/>
  <c r="FB73" i="84" s="1"/>
  <c r="FA60" i="84"/>
  <c r="FA73" i="84" s="1"/>
  <c r="EZ60" i="84"/>
  <c r="EY60" i="84"/>
  <c r="EX60" i="84"/>
  <c r="EW60" i="84"/>
  <c r="EV60" i="84"/>
  <c r="EU60" i="84"/>
  <c r="ET60" i="84"/>
  <c r="ET73" i="84" s="1"/>
  <c r="ES60" i="84"/>
  <c r="ES73" i="84" s="1"/>
  <c r="ER60" i="84"/>
  <c r="EQ60" i="84"/>
  <c r="EP60" i="84"/>
  <c r="EO60" i="84"/>
  <c r="EN60" i="84"/>
  <c r="EM60" i="84"/>
  <c r="EL60" i="84"/>
  <c r="EL73" i="84" s="1"/>
  <c r="EK60" i="84"/>
  <c r="EK73" i="84" s="1"/>
  <c r="EJ60" i="84"/>
  <c r="EI60" i="84"/>
  <c r="EH60" i="84"/>
  <c r="EG60" i="84"/>
  <c r="EF60" i="84"/>
  <c r="EE60" i="84"/>
  <c r="ED60" i="84"/>
  <c r="ED73" i="84" s="1"/>
  <c r="EC60" i="84"/>
  <c r="EC73" i="84" s="1"/>
  <c r="EB60" i="84"/>
  <c r="EA60" i="84"/>
  <c r="DZ60" i="84"/>
  <c r="DY60" i="84"/>
  <c r="DX60" i="84"/>
  <c r="DW60" i="84"/>
  <c r="DV60" i="84"/>
  <c r="DV73" i="84" s="1"/>
  <c r="DU60" i="84"/>
  <c r="DU73" i="84" s="1"/>
  <c r="DT60" i="84"/>
  <c r="DS60" i="84"/>
  <c r="DR60" i="84"/>
  <c r="DQ60" i="84"/>
  <c r="DP60" i="84"/>
  <c r="DO60" i="84"/>
  <c r="DN60" i="84"/>
  <c r="DN73" i="84" s="1"/>
  <c r="DM60" i="84"/>
  <c r="DM73" i="84" s="1"/>
  <c r="DL60" i="84"/>
  <c r="DK60" i="84"/>
  <c r="DJ60" i="84"/>
  <c r="DI60" i="84"/>
  <c r="DH60" i="84"/>
  <c r="DG60" i="84"/>
  <c r="DF60" i="84"/>
  <c r="DF73" i="84" s="1"/>
  <c r="DE60" i="84"/>
  <c r="DE73" i="84" s="1"/>
  <c r="DD60" i="84"/>
  <c r="DC60" i="84"/>
  <c r="DB60" i="84"/>
  <c r="DA60" i="84"/>
  <c r="CZ60" i="84"/>
  <c r="CY60" i="84"/>
  <c r="CX60" i="84"/>
  <c r="CX73" i="84" s="1"/>
  <c r="CW60" i="84"/>
  <c r="CW73" i="84" s="1"/>
  <c r="CV60" i="84"/>
  <c r="CU60" i="84"/>
  <c r="CT60" i="84"/>
  <c r="CS60" i="84"/>
  <c r="CR60" i="84"/>
  <c r="CQ60" i="84"/>
  <c r="CP60" i="84"/>
  <c r="CP73" i="84" s="1"/>
  <c r="CO60" i="84"/>
  <c r="CO73" i="84" s="1"/>
  <c r="CN60" i="84"/>
  <c r="CM60" i="84"/>
  <c r="CL60" i="84"/>
  <c r="CK60" i="84"/>
  <c r="CJ60" i="84"/>
  <c r="CI60" i="84"/>
  <c r="CH60" i="84"/>
  <c r="CH73" i="84" s="1"/>
  <c r="CG60" i="84"/>
  <c r="CG73" i="84" s="1"/>
  <c r="CF60" i="84"/>
  <c r="CE60" i="84"/>
  <c r="CD60" i="84"/>
  <c r="CC60" i="84"/>
  <c r="CB60" i="84"/>
  <c r="CA60" i="84"/>
  <c r="BZ60" i="84"/>
  <c r="BZ73" i="84" s="1"/>
  <c r="BY60" i="84"/>
  <c r="BX60" i="84"/>
  <c r="BW60" i="84"/>
  <c r="BV60" i="84"/>
  <c r="BU60" i="84"/>
  <c r="BT60" i="84"/>
  <c r="BS60" i="84"/>
  <c r="BR60" i="84"/>
  <c r="BR73" i="84" s="1"/>
  <c r="BQ60" i="84"/>
  <c r="BQ73" i="84" s="1"/>
  <c r="BP60" i="84"/>
  <c r="BO60" i="84"/>
  <c r="BN60" i="84"/>
  <c r="BM60" i="84"/>
  <c r="BL60" i="84"/>
  <c r="BK60" i="84"/>
  <c r="BJ60" i="84"/>
  <c r="BJ73" i="84" s="1"/>
  <c r="BI60" i="84"/>
  <c r="BI73" i="84" s="1"/>
  <c r="BH60" i="84"/>
  <c r="BG60" i="84"/>
  <c r="BF60" i="84"/>
  <c r="BE60" i="84"/>
  <c r="BD60" i="84"/>
  <c r="BC60" i="84"/>
  <c r="BB60" i="84"/>
  <c r="BB73" i="84" s="1"/>
  <c r="BA60" i="84"/>
  <c r="BA73" i="84" s="1"/>
  <c r="AZ60" i="84"/>
  <c r="AY60" i="84"/>
  <c r="AX60" i="84"/>
  <c r="AW60" i="84"/>
  <c r="AV60" i="84"/>
  <c r="AU60" i="84"/>
  <c r="AT60" i="84"/>
  <c r="AT73" i="84" s="1"/>
  <c r="AS60" i="84"/>
  <c r="AS73" i="84" s="1"/>
  <c r="AR60" i="84"/>
  <c r="AQ60" i="84"/>
  <c r="AP60" i="84"/>
  <c r="AO60" i="84"/>
  <c r="AN60" i="84"/>
  <c r="AM60" i="84"/>
  <c r="AL60" i="84"/>
  <c r="AL73" i="84" s="1"/>
  <c r="AK60" i="84"/>
  <c r="AK73" i="84" s="1"/>
  <c r="AJ60" i="84"/>
  <c r="AI60" i="84"/>
  <c r="AH60" i="84"/>
  <c r="AG60" i="84"/>
  <c r="AF60" i="84"/>
  <c r="AE60" i="84"/>
  <c r="AD60" i="84"/>
  <c r="AD73" i="84" s="1"/>
  <c r="AC60" i="84"/>
  <c r="AB60" i="84"/>
  <c r="AA60" i="84"/>
  <c r="Z60" i="84"/>
  <c r="Y60" i="84"/>
  <c r="X60" i="84"/>
  <c r="W60" i="84"/>
  <c r="V60" i="84"/>
  <c r="V73" i="84" s="1"/>
  <c r="U60" i="84"/>
  <c r="U73" i="84" s="1"/>
  <c r="T60" i="84"/>
  <c r="S60" i="84"/>
  <c r="R60" i="84"/>
  <c r="Q60" i="84"/>
  <c r="P60" i="84"/>
  <c r="O60" i="84"/>
  <c r="N60" i="84"/>
  <c r="N73" i="84" s="1"/>
  <c r="M60" i="84"/>
  <c r="M73" i="84" s="1"/>
  <c r="L60" i="84"/>
  <c r="K60" i="84"/>
  <c r="J60" i="84"/>
  <c r="I60" i="84"/>
  <c r="H60" i="84"/>
  <c r="G60" i="84"/>
  <c r="F60" i="84"/>
  <c r="F73" i="84" s="1"/>
  <c r="E60" i="84"/>
  <c r="OL59" i="84"/>
  <c r="OL58" i="84"/>
  <c r="OL57" i="84"/>
  <c r="OL56" i="84"/>
  <c r="OL55" i="84"/>
  <c r="OL54" i="84"/>
  <c r="OL53" i="84"/>
  <c r="OL52" i="84"/>
  <c r="OL51" i="84"/>
  <c r="OL50" i="84"/>
  <c r="OL49" i="84"/>
  <c r="OL48" i="84"/>
  <c r="OL47" i="84"/>
  <c r="OL46" i="84"/>
  <c r="OL45" i="84"/>
  <c r="OL44" i="84"/>
  <c r="OL43" i="84"/>
  <c r="OL42" i="84"/>
  <c r="OL41" i="84"/>
  <c r="OL40" i="84"/>
  <c r="OL39" i="84"/>
  <c r="OL38" i="84"/>
  <c r="OL37" i="84"/>
  <c r="OL36" i="84"/>
  <c r="OL35" i="84"/>
  <c r="OL34" i="84"/>
  <c r="OL33" i="84"/>
  <c r="OL32" i="84"/>
  <c r="OL31" i="84"/>
  <c r="OL30" i="84"/>
  <c r="OL29" i="84"/>
  <c r="OL28" i="84"/>
  <c r="OL27" i="84"/>
  <c r="OL26" i="84"/>
  <c r="OL25" i="84"/>
  <c r="OL24" i="84"/>
  <c r="OL23" i="84"/>
  <c r="OL22" i="84"/>
  <c r="OL21" i="84"/>
  <c r="OL20" i="84"/>
  <c r="OL19" i="84"/>
  <c r="OL18" i="84"/>
  <c r="OL17" i="84"/>
  <c r="OL16" i="84"/>
  <c r="OL15" i="84"/>
  <c r="OL14" i="84"/>
  <c r="OL13" i="84"/>
  <c r="OL12" i="84"/>
  <c r="OL11" i="84"/>
  <c r="OL10" i="84"/>
  <c r="OL9" i="84"/>
  <c r="OL8" i="84"/>
  <c r="OL7" i="84"/>
  <c r="OL6" i="84"/>
  <c r="OL5" i="84"/>
  <c r="OL4" i="84"/>
  <c r="OL3" i="84"/>
  <c r="J25" i="75" l="1"/>
  <c r="J23" i="75" s="1" a="1"/>
  <c r="J23" i="75" s="1"/>
  <c r="L25" i="75"/>
  <c r="L23" i="75" s="1" a="1"/>
  <c r="L23" i="75" s="1"/>
  <c r="D25" i="75"/>
  <c r="D23" i="75" s="1" a="1"/>
  <c r="D23" i="75" s="1"/>
  <c r="E26" i="75"/>
  <c r="E24" i="75" s="1" a="1"/>
  <c r="E24" i="75" s="1"/>
  <c r="F26" i="75"/>
  <c r="F24" i="75" s="1" a="1"/>
  <c r="F24" i="75" s="1"/>
  <c r="G26" i="75"/>
  <c r="G24" i="75" s="1" a="1"/>
  <c r="G24" i="75" s="1"/>
  <c r="H26" i="75"/>
  <c r="H24" i="75" s="1" a="1"/>
  <c r="H24" i="75" s="1"/>
  <c r="I26" i="75"/>
  <c r="I24" i="75" s="1" a="1"/>
  <c r="I24" i="75" s="1"/>
  <c r="J26" i="75"/>
  <c r="J24" i="75" s="1" a="1"/>
  <c r="J24" i="75" s="1"/>
  <c r="K25" i="75"/>
  <c r="K23" i="75" s="1" a="1"/>
  <c r="K23" i="75" s="1"/>
  <c r="L26" i="75"/>
  <c r="L24" i="75" s="1" a="1"/>
  <c r="L24" i="75" s="1"/>
  <c r="M26" i="75"/>
  <c r="M24" i="75" s="1" a="1"/>
  <c r="M24" i="75" s="1"/>
  <c r="N25" i="75"/>
  <c r="N23" i="75" s="1" a="1"/>
  <c r="N23" i="75" s="1"/>
  <c r="N26" i="75"/>
  <c r="N24" i="75" s="1" a="1"/>
  <c r="N24" i="75" s="1"/>
  <c r="O26" i="75"/>
  <c r="O24" i="75" s="1" a="1"/>
  <c r="O24" i="75" s="1"/>
  <c r="K26" i="75"/>
  <c r="K24" i="75" s="1" a="1"/>
  <c r="K24" i="75" s="1"/>
  <c r="O25" i="75"/>
  <c r="O23" i="75" s="1" a="1"/>
  <c r="O23" i="75" s="1"/>
  <c r="F25" i="75"/>
  <c r="F23" i="75" s="1" a="1"/>
  <c r="F23" i="75" s="1"/>
  <c r="G25" i="75"/>
  <c r="G23" i="75" s="1" a="1"/>
  <c r="G23" i="75" s="1"/>
  <c r="H25" i="75"/>
  <c r="H23" i="75" s="1" a="1"/>
  <c r="H23" i="75" s="1"/>
  <c r="I25" i="75"/>
  <c r="I23" i="75" s="1" a="1"/>
  <c r="I23" i="75" s="1"/>
  <c r="M25" i="75"/>
  <c r="M23" i="75" s="1" a="1"/>
  <c r="M23" i="75" s="1"/>
  <c r="E25" i="75"/>
  <c r="E23" i="75" s="1" a="1"/>
  <c r="E23" i="75" s="1"/>
  <c r="W73" i="84"/>
  <c r="AM73" i="84"/>
  <c r="BK73" i="84"/>
  <c r="CI73" i="84"/>
  <c r="DG73" i="84"/>
  <c r="EE73" i="84"/>
  <c r="EU73" i="84"/>
  <c r="FS73" i="84"/>
  <c r="GQ73" i="84"/>
  <c r="HO73" i="84"/>
  <c r="HW73" i="84"/>
  <c r="O73" i="84"/>
  <c r="AU73" i="84"/>
  <c r="CA73" i="84"/>
  <c r="CY73" i="84"/>
  <c r="DW73" i="84"/>
  <c r="FC73" i="84"/>
  <c r="GI73" i="84"/>
  <c r="HG73" i="84"/>
  <c r="IM73" i="84"/>
  <c r="OL60" i="84"/>
  <c r="OL73" i="84" s="1"/>
  <c r="E73" i="84"/>
  <c r="G73" i="84"/>
  <c r="AE73" i="84"/>
  <c r="BC73" i="84"/>
  <c r="BS73" i="84"/>
  <c r="CQ73" i="84"/>
  <c r="DO73" i="84"/>
  <c r="EM73" i="84"/>
  <c r="FK73" i="84"/>
  <c r="GA73" i="84"/>
  <c r="GY73" i="84"/>
  <c r="IE73" i="84"/>
  <c r="JC73" i="84"/>
  <c r="KA73" i="84"/>
  <c r="KY73" i="84"/>
  <c r="LO73" i="84"/>
  <c r="MM73" i="84"/>
  <c r="NK73" i="84"/>
  <c r="OA73" i="84"/>
  <c r="H73" i="84"/>
  <c r="AF73" i="84"/>
  <c r="BD73" i="84"/>
  <c r="BL73" i="84"/>
  <c r="CJ73" i="84"/>
  <c r="DP73" i="84"/>
  <c r="EN73" i="84"/>
  <c r="FD73" i="84"/>
  <c r="GB73" i="84"/>
  <c r="HH73" i="84"/>
  <c r="HX73" i="84"/>
  <c r="IN73" i="84"/>
  <c r="JL73" i="84"/>
  <c r="KJ73" i="84"/>
  <c r="KZ73" i="84"/>
  <c r="LX73" i="84"/>
  <c r="MV73" i="84"/>
  <c r="NT73" i="84"/>
  <c r="Q73" i="84"/>
  <c r="AG73" i="84"/>
  <c r="AW73" i="84"/>
  <c r="BM73" i="84"/>
  <c r="CC73" i="84"/>
  <c r="DA73" i="84"/>
  <c r="DQ73" i="84"/>
  <c r="EG73" i="84"/>
  <c r="EW73" i="84"/>
  <c r="FU73" i="84"/>
  <c r="GS73" i="84"/>
  <c r="HI73" i="84"/>
  <c r="HY73" i="84"/>
  <c r="IO73" i="84"/>
  <c r="IW73" i="84"/>
  <c r="JE73" i="84"/>
  <c r="JM73" i="84"/>
  <c r="JU73" i="84"/>
  <c r="KK73" i="84"/>
  <c r="KS73" i="84"/>
  <c r="LA73" i="84"/>
  <c r="LI73" i="84"/>
  <c r="LQ73" i="84"/>
  <c r="LY73" i="84"/>
  <c r="MG73" i="84"/>
  <c r="MO73" i="84"/>
  <c r="MW73" i="84"/>
  <c r="NE73" i="84"/>
  <c r="NM73" i="84"/>
  <c r="NU73" i="84"/>
  <c r="OC73" i="84"/>
  <c r="OK73" i="84"/>
  <c r="JK73" i="84"/>
  <c r="KI73" i="84"/>
  <c r="LW73" i="84"/>
  <c r="MU73" i="84"/>
  <c r="NS73" i="84"/>
  <c r="P73" i="84"/>
  <c r="AN73" i="84"/>
  <c r="CB73" i="84"/>
  <c r="CZ73" i="84"/>
  <c r="DX73" i="84"/>
  <c r="EV73" i="84"/>
  <c r="FT73" i="84"/>
  <c r="GR73" i="84"/>
  <c r="IF73" i="84"/>
  <c r="JD73" i="84"/>
  <c r="KB73" i="84"/>
  <c r="LH73" i="84"/>
  <c r="MN73" i="84"/>
  <c r="NL73" i="84"/>
  <c r="OJ73" i="84"/>
  <c r="I73" i="84"/>
  <c r="Y73" i="84"/>
  <c r="AO73" i="84"/>
  <c r="BE73" i="84"/>
  <c r="BU73" i="84"/>
  <c r="CK73" i="84"/>
  <c r="CS73" i="84"/>
  <c r="DI73" i="84"/>
  <c r="DY73" i="84"/>
  <c r="EO73" i="84"/>
  <c r="FE73" i="84"/>
  <c r="FM73" i="84"/>
  <c r="GC73" i="84"/>
  <c r="GK73" i="84"/>
  <c r="HA73" i="84"/>
  <c r="HQ73" i="84"/>
  <c r="IG73" i="84"/>
  <c r="KC73" i="84"/>
  <c r="IU73" i="84"/>
  <c r="JS73" i="84"/>
  <c r="KQ73" i="84"/>
  <c r="LG73" i="84"/>
  <c r="ME73" i="84"/>
  <c r="NC73" i="84"/>
  <c r="OI73" i="84"/>
  <c r="X73" i="84"/>
  <c r="AV73" i="84"/>
  <c r="BT73" i="84"/>
  <c r="CR73" i="84"/>
  <c r="DH73" i="84"/>
  <c r="EF73" i="84"/>
  <c r="FL73" i="84"/>
  <c r="GJ73" i="84"/>
  <c r="GZ73" i="84"/>
  <c r="HP73" i="84"/>
  <c r="IV73" i="84"/>
  <c r="JT73" i="84"/>
  <c r="KR73" i="84"/>
  <c r="LP73" i="84"/>
  <c r="MF73" i="84"/>
  <c r="ND73" i="84"/>
  <c r="OB73" i="84"/>
  <c r="O26" i="10"/>
  <c r="O25" i="10"/>
  <c r="N25" i="10"/>
  <c r="N26" i="10"/>
  <c r="M25" i="10"/>
  <c r="M26" i="10"/>
  <c r="L25" i="10"/>
  <c r="L26" i="10"/>
  <c r="K25" i="10"/>
  <c r="K26" i="10"/>
  <c r="J26" i="10"/>
  <c r="J25" i="10"/>
  <c r="I25" i="10"/>
  <c r="I26" i="10"/>
  <c r="H25" i="10"/>
  <c r="H26" i="10"/>
  <c r="G25" i="10"/>
  <c r="G26" i="10"/>
  <c r="F25" i="10"/>
  <c r="F26" i="10"/>
  <c r="E26" i="10"/>
  <c r="E25" i="10"/>
  <c r="O12" i="82"/>
  <c r="O13" i="82"/>
  <c r="C27" i="82" l="1"/>
  <c r="C26" i="82"/>
  <c r="E27" i="75"/>
  <c r="G27" i="75"/>
  <c r="H27" i="75"/>
  <c r="F27" i="75"/>
  <c r="O27" i="75"/>
  <c r="M27" i="75"/>
  <c r="I27" i="75"/>
  <c r="K27" i="75"/>
  <c r="N27" i="75"/>
  <c r="L27" i="75"/>
  <c r="J27" i="75"/>
  <c r="O7" i="82"/>
  <c r="O8" i="82"/>
  <c r="O14" i="82"/>
  <c r="D26" i="75"/>
  <c r="D24" i="75" s="1" a="1"/>
  <c r="D24" i="75" s="1"/>
  <c r="D27" i="75" s="1"/>
  <c r="O9" i="82"/>
  <c r="O11" i="82"/>
  <c r="D26" i="10"/>
  <c r="P26" i="10" s="1"/>
  <c r="O6" i="82"/>
  <c r="O10" i="82"/>
  <c r="D25" i="10"/>
  <c r="P25" i="10" s="1"/>
  <c r="O23" i="82"/>
  <c r="O22" i="82"/>
  <c r="P25" i="75" s="1"/>
  <c r="O21" i="82"/>
  <c r="O20" i="82"/>
  <c r="O19" i="82"/>
  <c r="O18" i="82"/>
  <c r="O17" i="82"/>
  <c r="O16" i="82"/>
  <c r="O15" i="82"/>
  <c r="GO79" i="84" l="1"/>
  <c r="GP79" i="84" s="1"/>
  <c r="H26" i="76" s="1"/>
  <c r="I26" i="76"/>
  <c r="I62" i="76" s="1"/>
  <c r="I200" i="76" s="1"/>
  <c r="I25" i="76"/>
  <c r="I61" i="76" s="1"/>
  <c r="GO75" i="84"/>
  <c r="GP75" i="84" s="1"/>
  <c r="H25" i="76" s="1"/>
  <c r="P26" i="75"/>
  <c r="G199" i="76"/>
  <c r="G200" i="76"/>
  <c r="E63" i="76"/>
  <c r="G63" i="76"/>
  <c r="D63" i="76"/>
  <c r="H61" i="76" l="1"/>
  <c r="H199" i="76" s="1"/>
  <c r="H62" i="76"/>
  <c r="H200" i="76" s="1"/>
  <c r="I199" i="76"/>
  <c r="J30" i="76"/>
  <c r="O24" i="83"/>
  <c r="N24" i="83"/>
  <c r="M24" i="83"/>
  <c r="L24" i="83"/>
  <c r="K24" i="83"/>
  <c r="J24" i="83"/>
  <c r="I24" i="83"/>
  <c r="H24" i="83"/>
  <c r="G24" i="83"/>
  <c r="F24" i="83"/>
  <c r="E24" i="83"/>
  <c r="D24" i="83"/>
  <c r="O23" i="83"/>
  <c r="N23" i="83"/>
  <c r="M23" i="83"/>
  <c r="L23" i="83"/>
  <c r="K23" i="83"/>
  <c r="J23" i="83"/>
  <c r="I23" i="83"/>
  <c r="H23" i="83"/>
  <c r="G23" i="83"/>
  <c r="F23" i="83"/>
  <c r="E23" i="83"/>
  <c r="D23" i="83"/>
  <c r="O22" i="83"/>
  <c r="N22" i="83"/>
  <c r="M22" i="83"/>
  <c r="L22" i="83"/>
  <c r="K22" i="83"/>
  <c r="J22" i="83"/>
  <c r="I22" i="83"/>
  <c r="H22" i="83"/>
  <c r="G22" i="83"/>
  <c r="F22" i="83"/>
  <c r="E22" i="83"/>
  <c r="D22" i="83"/>
  <c r="O21" i="83"/>
  <c r="N21" i="83"/>
  <c r="M21" i="83"/>
  <c r="L21" i="83"/>
  <c r="K21" i="83"/>
  <c r="J21" i="83"/>
  <c r="I21" i="83"/>
  <c r="H21" i="83"/>
  <c r="G21" i="83"/>
  <c r="F21" i="83"/>
  <c r="E21" i="83"/>
  <c r="D21" i="83"/>
  <c r="O20" i="83"/>
  <c r="N20" i="83"/>
  <c r="M20" i="83"/>
  <c r="L20" i="83"/>
  <c r="K20" i="83"/>
  <c r="J20" i="83"/>
  <c r="I20" i="83"/>
  <c r="H20" i="83"/>
  <c r="G20" i="83"/>
  <c r="F20" i="83"/>
  <c r="E20" i="83"/>
  <c r="D20" i="83"/>
  <c r="O19" i="83"/>
  <c r="N19" i="83"/>
  <c r="M19" i="83"/>
  <c r="L19" i="83"/>
  <c r="K19" i="83"/>
  <c r="J19" i="83"/>
  <c r="I19" i="83"/>
  <c r="H19" i="83"/>
  <c r="G19" i="83"/>
  <c r="F19" i="83"/>
  <c r="E19" i="83"/>
  <c r="D19" i="83"/>
  <c r="O18" i="83"/>
  <c r="N18" i="83"/>
  <c r="M18" i="83"/>
  <c r="L18" i="83"/>
  <c r="K18" i="83"/>
  <c r="J18" i="83"/>
  <c r="I18" i="83"/>
  <c r="H18" i="83"/>
  <c r="G18" i="83"/>
  <c r="F18" i="83"/>
  <c r="E18" i="83"/>
  <c r="D18" i="83"/>
  <c r="O17" i="83"/>
  <c r="N17" i="83"/>
  <c r="M17" i="83"/>
  <c r="L17" i="83"/>
  <c r="K17" i="83"/>
  <c r="J17" i="83"/>
  <c r="I17" i="83"/>
  <c r="H17" i="83"/>
  <c r="G17" i="83"/>
  <c r="F17" i="83"/>
  <c r="E17" i="83"/>
  <c r="D17" i="83"/>
  <c r="O12" i="83"/>
  <c r="N12" i="83"/>
  <c r="M12" i="83"/>
  <c r="L12" i="83"/>
  <c r="K12" i="83"/>
  <c r="J12" i="83"/>
  <c r="I12" i="83"/>
  <c r="H12" i="83"/>
  <c r="G12" i="83"/>
  <c r="F12" i="83"/>
  <c r="E12" i="83"/>
  <c r="D12" i="83"/>
  <c r="O11" i="83"/>
  <c r="N11" i="83"/>
  <c r="M11" i="83"/>
  <c r="L11" i="83"/>
  <c r="K11" i="83"/>
  <c r="J11" i="83"/>
  <c r="I11" i="83"/>
  <c r="H11" i="83"/>
  <c r="G11" i="83"/>
  <c r="F11" i="83"/>
  <c r="E11" i="83"/>
  <c r="D11" i="83"/>
  <c r="O10" i="83"/>
  <c r="N10" i="83"/>
  <c r="M10" i="83"/>
  <c r="L10" i="83"/>
  <c r="K10" i="83"/>
  <c r="J10" i="83"/>
  <c r="I10" i="83"/>
  <c r="H10" i="83"/>
  <c r="G10" i="83"/>
  <c r="F10" i="83"/>
  <c r="E10" i="83"/>
  <c r="D10" i="83"/>
  <c r="O9" i="83"/>
  <c r="N9" i="83"/>
  <c r="M9" i="83"/>
  <c r="L9" i="83"/>
  <c r="K9" i="83"/>
  <c r="J9" i="83"/>
  <c r="I9" i="83"/>
  <c r="H9" i="83"/>
  <c r="G9" i="83"/>
  <c r="F9" i="83"/>
  <c r="E9" i="83"/>
  <c r="D9" i="83"/>
  <c r="O8" i="83"/>
  <c r="N8" i="83"/>
  <c r="M8" i="83"/>
  <c r="L8" i="83"/>
  <c r="K8" i="83"/>
  <c r="J8" i="83"/>
  <c r="I8" i="83"/>
  <c r="H8" i="83"/>
  <c r="G8" i="83"/>
  <c r="F8" i="83"/>
  <c r="E8" i="83"/>
  <c r="D8" i="83"/>
  <c r="O7" i="83"/>
  <c r="N7" i="83"/>
  <c r="M7" i="83"/>
  <c r="L7" i="83"/>
  <c r="K7" i="83"/>
  <c r="J7" i="83"/>
  <c r="I7" i="83"/>
  <c r="H7" i="83"/>
  <c r="G7" i="83"/>
  <c r="F7" i="83"/>
  <c r="E7" i="83"/>
  <c r="D7" i="83"/>
  <c r="O6" i="83"/>
  <c r="N6" i="83"/>
  <c r="M6" i="83"/>
  <c r="L6" i="83"/>
  <c r="K6" i="83"/>
  <c r="J6" i="83"/>
  <c r="I6" i="83"/>
  <c r="H6" i="83"/>
  <c r="G6" i="83"/>
  <c r="F6" i="83"/>
  <c r="E6" i="83"/>
  <c r="D6" i="83"/>
  <c r="O5" i="83"/>
  <c r="N5" i="83"/>
  <c r="M5" i="83"/>
  <c r="L5" i="83"/>
  <c r="K5" i="83"/>
  <c r="J5" i="83"/>
  <c r="I5" i="83"/>
  <c r="H5" i="83"/>
  <c r="G5" i="83"/>
  <c r="F5" i="83"/>
  <c r="E5" i="83"/>
  <c r="D5" i="83"/>
  <c r="E25" i="83" l="1"/>
  <c r="M25" i="83"/>
  <c r="E13" i="83"/>
  <c r="E28" i="83" s="1"/>
  <c r="P9" i="83"/>
  <c r="I23" i="76" s="1"/>
  <c r="I59" i="76" s="1"/>
  <c r="F13" i="83"/>
  <c r="N13" i="83"/>
  <c r="P20" i="83"/>
  <c r="H20" i="76" s="1"/>
  <c r="H56" i="76" s="1"/>
  <c r="H194" i="76" s="1"/>
  <c r="I25" i="83"/>
  <c r="J13" i="83"/>
  <c r="P11" i="83"/>
  <c r="I29" i="76" s="1"/>
  <c r="I65" i="76" s="1"/>
  <c r="D25" i="83"/>
  <c r="L25" i="83"/>
  <c r="P19" i="83"/>
  <c r="H19" i="76" s="1"/>
  <c r="J62" i="76"/>
  <c r="J61" i="76"/>
  <c r="P21" i="83"/>
  <c r="H23" i="76" s="1"/>
  <c r="H59" i="76" s="1"/>
  <c r="H197" i="76" s="1"/>
  <c r="H201" i="76" s="1"/>
  <c r="P23" i="83"/>
  <c r="H29" i="76" s="1"/>
  <c r="H65" i="76" s="1"/>
  <c r="H203" i="76" s="1"/>
  <c r="G13" i="83"/>
  <c r="O13" i="83"/>
  <c r="F25" i="83"/>
  <c r="N25" i="83"/>
  <c r="N28" i="83" s="1"/>
  <c r="H13" i="83"/>
  <c r="O25" i="83"/>
  <c r="I13" i="83"/>
  <c r="I28" i="83" s="1"/>
  <c r="P10" i="83"/>
  <c r="I24" i="76" s="1"/>
  <c r="I60" i="76" s="1"/>
  <c r="P12" i="83"/>
  <c r="I31" i="76" s="1"/>
  <c r="I67" i="76" s="1"/>
  <c r="H25" i="83"/>
  <c r="P18" i="83"/>
  <c r="H17" i="76" s="1"/>
  <c r="H53" i="76" s="1"/>
  <c r="H191" i="76" s="1"/>
  <c r="P22" i="83"/>
  <c r="H24" i="76" s="1"/>
  <c r="H60" i="76" s="1"/>
  <c r="H198" i="76" s="1"/>
  <c r="P24" i="83"/>
  <c r="H31" i="76" s="1"/>
  <c r="H67" i="76" s="1"/>
  <c r="H205" i="76" s="1"/>
  <c r="M13" i="83"/>
  <c r="M28" i="83" s="1"/>
  <c r="P8" i="83"/>
  <c r="I20" i="76" s="1"/>
  <c r="I56" i="76" s="1"/>
  <c r="I194" i="76" s="1"/>
  <c r="P17" i="83"/>
  <c r="H15" i="76" s="1"/>
  <c r="H51" i="76" s="1"/>
  <c r="H189" i="76" s="1"/>
  <c r="K13" i="83"/>
  <c r="P6" i="83"/>
  <c r="I17" i="76" s="1"/>
  <c r="I53" i="76" s="1"/>
  <c r="I191" i="76" s="1"/>
  <c r="J25" i="83"/>
  <c r="P5" i="83"/>
  <c r="I15" i="76" s="1"/>
  <c r="I51" i="76" s="1"/>
  <c r="I189" i="76" s="1"/>
  <c r="L13" i="83"/>
  <c r="P7" i="83"/>
  <c r="I19" i="76" s="1"/>
  <c r="I55" i="76" s="1"/>
  <c r="I193" i="76" s="1"/>
  <c r="K25" i="83"/>
  <c r="G25" i="83"/>
  <c r="D13" i="83"/>
  <c r="D28" i="83" s="1"/>
  <c r="F28" i="83" l="1"/>
  <c r="K28" i="83"/>
  <c r="G28" i="83"/>
  <c r="L28" i="83"/>
  <c r="H28" i="83"/>
  <c r="J59" i="76"/>
  <c r="J28" i="83"/>
  <c r="O28" i="83"/>
  <c r="J67" i="76"/>
  <c r="H63" i="76"/>
  <c r="J65" i="76"/>
  <c r="H21" i="76"/>
  <c r="H55" i="76"/>
  <c r="H193" i="76" s="1"/>
  <c r="H195" i="76" s="1"/>
  <c r="H207" i="76" s="1"/>
  <c r="H213" i="76" s="1"/>
  <c r="J53" i="76"/>
  <c r="J60" i="76"/>
  <c r="J51" i="76"/>
  <c r="J56" i="76"/>
  <c r="P25" i="83"/>
  <c r="H27" i="76"/>
  <c r="P13" i="83"/>
  <c r="J55" i="76" l="1"/>
  <c r="H57" i="76"/>
  <c r="H69" i="76" s="1"/>
  <c r="H75" i="76" s="1"/>
  <c r="P28" i="83"/>
  <c r="H33" i="76"/>
  <c r="H39" i="76" s="1"/>
  <c r="O24" i="10" a="1"/>
  <c r="O24" i="10" s="1"/>
  <c r="N24" i="10" a="1"/>
  <c r="N24" i="10" s="1"/>
  <c r="M24" i="10" a="1"/>
  <c r="M24" i="10" s="1"/>
  <c r="L24" i="10" a="1"/>
  <c r="L24" i="10" s="1"/>
  <c r="K24" i="10" a="1"/>
  <c r="K24" i="10" s="1"/>
  <c r="J24" i="10" a="1"/>
  <c r="J24" i="10" s="1"/>
  <c r="I24" i="10" a="1"/>
  <c r="I24" i="10" s="1"/>
  <c r="H24" i="10" a="1"/>
  <c r="H24" i="10" s="1"/>
  <c r="G24" i="10" a="1"/>
  <c r="G24" i="10" s="1"/>
  <c r="F24" i="10" a="1"/>
  <c r="F24" i="10" s="1"/>
  <c r="E24" i="10" a="1"/>
  <c r="E24" i="10" s="1"/>
  <c r="D24" i="10" a="1"/>
  <c r="D24" i="10" s="1"/>
  <c r="N22" i="44" l="1" a="1"/>
  <c r="N22" i="44" s="1"/>
  <c r="M22" i="44" a="1"/>
  <c r="M22" i="44" s="1"/>
  <c r="L22" i="44" a="1"/>
  <c r="L22" i="44" s="1"/>
  <c r="K22" i="44" a="1"/>
  <c r="K22" i="44" s="1"/>
  <c r="J22" i="44" a="1"/>
  <c r="J22" i="44" s="1"/>
  <c r="I22" i="44" a="1"/>
  <c r="I22" i="44" s="1"/>
  <c r="H22" i="44" a="1"/>
  <c r="H22" i="44" s="1"/>
  <c r="G22" i="44" a="1"/>
  <c r="G22" i="44" s="1"/>
  <c r="F22" i="44" a="1"/>
  <c r="F22" i="44" s="1"/>
  <c r="E22" i="44" a="1"/>
  <c r="E22" i="44" s="1"/>
  <c r="O22" i="44" a="1"/>
  <c r="O22" i="44" s="1"/>
  <c r="O23" i="44" a="1"/>
  <c r="O23" i="44" s="1"/>
  <c r="N23" i="44" a="1"/>
  <c r="N23" i="44" s="1"/>
  <c r="M23" i="44" a="1"/>
  <c r="M23" i="44" s="1"/>
  <c r="L23" i="44" a="1"/>
  <c r="L23" i="44" s="1"/>
  <c r="K23" i="44" a="1"/>
  <c r="K23" i="44" s="1"/>
  <c r="J23" i="44" a="1"/>
  <c r="J23" i="44" s="1"/>
  <c r="I23" i="44" a="1"/>
  <c r="I23" i="44" s="1"/>
  <c r="H23" i="44" a="1"/>
  <c r="H23" i="44" s="1"/>
  <c r="G23" i="44" a="1"/>
  <c r="G23" i="44" s="1"/>
  <c r="F23" i="44" a="1"/>
  <c r="F23" i="44" s="1"/>
  <c r="E23" i="44" a="1"/>
  <c r="E23" i="44" s="1"/>
  <c r="D23" i="44" a="1"/>
  <c r="D23" i="44" s="1"/>
  <c r="D22" i="44" a="1"/>
  <c r="D22" i="44" s="1"/>
  <c r="P24" i="44" l="1"/>
  <c r="P25" i="44"/>
  <c r="Q25" i="44" l="1"/>
  <c r="Q24" i="44"/>
  <c r="D24" i="70"/>
  <c r="G24" i="70"/>
  <c r="G22" i="70" s="1" a="1"/>
  <c r="G22" i="70" s="1"/>
  <c r="E24" i="70"/>
  <c r="E22" i="70" s="1" a="1"/>
  <c r="E22" i="70" s="1"/>
  <c r="F24" i="70"/>
  <c r="F22" i="70" s="1" a="1"/>
  <c r="F22" i="70" s="1"/>
  <c r="H24" i="70"/>
  <c r="H22" i="70" s="1" a="1"/>
  <c r="H22" i="70" s="1"/>
  <c r="I24" i="70"/>
  <c r="I22" i="70" s="1" a="1"/>
  <c r="I22" i="70" s="1"/>
  <c r="J24" i="70"/>
  <c r="J22" i="70" s="1" a="1"/>
  <c r="J22" i="70" s="1"/>
  <c r="K24" i="70"/>
  <c r="K22" i="70" s="1" a="1"/>
  <c r="K22" i="70" s="1"/>
  <c r="L24" i="70"/>
  <c r="L22" i="70" s="1" a="1"/>
  <c r="L22" i="70" s="1"/>
  <c r="M24" i="70"/>
  <c r="M22" i="70" s="1" a="1"/>
  <c r="M22" i="70" s="1"/>
  <c r="N24" i="70"/>
  <c r="N22" i="70" s="1" a="1"/>
  <c r="N22" i="70" s="1"/>
  <c r="O24" i="70"/>
  <c r="O22" i="70" s="1" a="1"/>
  <c r="O22" i="70" s="1"/>
  <c r="D25" i="70"/>
  <c r="E25" i="70"/>
  <c r="E23" i="70" s="1" a="1"/>
  <c r="E23" i="70" s="1"/>
  <c r="F25" i="70"/>
  <c r="F23" i="70" s="1" a="1"/>
  <c r="F23" i="70" s="1"/>
  <c r="G25" i="70"/>
  <c r="G23" i="70" s="1" a="1"/>
  <c r="G23" i="70" s="1"/>
  <c r="H25" i="70"/>
  <c r="H23" i="70" s="1" a="1"/>
  <c r="H23" i="70" s="1"/>
  <c r="I25" i="70"/>
  <c r="I23" i="70" s="1" a="1"/>
  <c r="I23" i="70" s="1"/>
  <c r="J25" i="70"/>
  <c r="J23" i="70" s="1" a="1"/>
  <c r="J23" i="70" s="1"/>
  <c r="K25" i="70"/>
  <c r="K23" i="70" s="1" a="1"/>
  <c r="K23" i="70" s="1"/>
  <c r="L25" i="70"/>
  <c r="L23" i="70" s="1" a="1"/>
  <c r="L23" i="70" s="1"/>
  <c r="M25" i="70"/>
  <c r="M23" i="70" s="1" a="1"/>
  <c r="M23" i="70" s="1"/>
  <c r="N25" i="70"/>
  <c r="N23" i="70" s="1" a="1"/>
  <c r="N23" i="70" s="1"/>
  <c r="O25" i="70"/>
  <c r="O23" i="70" s="1" a="1"/>
  <c r="O23" i="70" s="1"/>
  <c r="D23" i="70" l="1" a="1"/>
  <c r="D23" i="70" s="1"/>
  <c r="P25" i="70"/>
  <c r="D22" i="70" a="1"/>
  <c r="D22" i="70" s="1"/>
  <c r="P24" i="70"/>
  <c r="G19" i="76" l="1"/>
  <c r="H187" i="76"/>
  <c r="H153" i="76"/>
  <c r="H118" i="76"/>
  <c r="H84" i="76"/>
  <c r="H49" i="76"/>
  <c r="G21" i="76" l="1"/>
  <c r="G159" i="76"/>
  <c r="D25" i="74"/>
  <c r="E25" i="74"/>
  <c r="E23" i="74" s="1"/>
  <c r="G25" i="74"/>
  <c r="G23" i="74" s="1"/>
  <c r="H25" i="74"/>
  <c r="H23" i="74" s="1"/>
  <c r="I25" i="74"/>
  <c r="I23" i="74" s="1"/>
  <c r="J25" i="74"/>
  <c r="J23" i="74" s="1"/>
  <c r="K25" i="74"/>
  <c r="K23" i="74" s="1"/>
  <c r="L25" i="74"/>
  <c r="L23" i="74" s="1"/>
  <c r="M25" i="74"/>
  <c r="M23" i="74" s="1"/>
  <c r="N25" i="74"/>
  <c r="N23" i="74" s="1"/>
  <c r="O25" i="74"/>
  <c r="O23" i="74" s="1"/>
  <c r="F25" i="74"/>
  <c r="F23" i="74" s="1"/>
  <c r="D26" i="74"/>
  <c r="E26" i="74"/>
  <c r="E24" i="74" s="1"/>
  <c r="F26" i="74"/>
  <c r="F24" i="74" s="1"/>
  <c r="G26" i="74"/>
  <c r="G24" i="74" s="1"/>
  <c r="H26" i="74"/>
  <c r="H24" i="74" s="1"/>
  <c r="I26" i="74"/>
  <c r="I24" i="74" s="1"/>
  <c r="J26" i="74"/>
  <c r="J24" i="74" s="1"/>
  <c r="K26" i="74"/>
  <c r="K24" i="74" s="1"/>
  <c r="L26" i="74"/>
  <c r="L24" i="74" s="1"/>
  <c r="M26" i="74"/>
  <c r="M24" i="74" s="1"/>
  <c r="N26" i="74"/>
  <c r="N24" i="74" s="1"/>
  <c r="O26" i="74"/>
  <c r="O24" i="74" s="1"/>
  <c r="D26" i="82"/>
  <c r="E26" i="82"/>
  <c r="F26" i="82"/>
  <c r="G26" i="82"/>
  <c r="H26" i="82"/>
  <c r="I26" i="82"/>
  <c r="J26" i="82"/>
  <c r="K26" i="82"/>
  <c r="L26" i="82"/>
  <c r="M26" i="82"/>
  <c r="N26" i="82"/>
  <c r="D27" i="82"/>
  <c r="E27" i="82"/>
  <c r="F27" i="82"/>
  <c r="G27" i="82"/>
  <c r="H27" i="82"/>
  <c r="I27" i="82"/>
  <c r="J27" i="82"/>
  <c r="K27" i="82"/>
  <c r="L27" i="82"/>
  <c r="M27" i="82"/>
  <c r="N27" i="82"/>
  <c r="N28" i="82" l="1"/>
  <c r="G28" i="82"/>
  <c r="M28" i="82"/>
  <c r="E28" i="82"/>
  <c r="H28" i="82"/>
  <c r="P26" i="74"/>
  <c r="D24" i="74"/>
  <c r="D23" i="74"/>
  <c r="C28" i="82"/>
  <c r="I28" i="82"/>
  <c r="K28" i="82"/>
  <c r="J28" i="82"/>
  <c r="F28" i="82"/>
  <c r="L28" i="82"/>
  <c r="D28" i="82"/>
  <c r="P25" i="74"/>
  <c r="O26" i="82" l="1"/>
  <c r="O27" i="82"/>
  <c r="F29" i="82" l="1"/>
  <c r="H29" i="82"/>
  <c r="G29" i="82"/>
  <c r="J29" i="82"/>
  <c r="D29" i="82"/>
  <c r="N29" i="82"/>
  <c r="E29" i="82"/>
  <c r="C29" i="82"/>
  <c r="K29" i="82"/>
  <c r="I29" i="82"/>
  <c r="L29" i="82"/>
  <c r="M29" i="82"/>
  <c r="O28" i="82"/>
  <c r="O29" i="82" s="1"/>
  <c r="Q13" i="76" l="1"/>
  <c r="G27" i="76"/>
  <c r="Q49" i="76" l="1"/>
  <c r="Q84" i="76"/>
  <c r="Q153" i="76"/>
  <c r="Q118" i="76"/>
  <c r="Q187" i="76"/>
  <c r="O409" i="74"/>
  <c r="N409" i="74"/>
  <c r="M409" i="74"/>
  <c r="L409" i="74"/>
  <c r="K409" i="74"/>
  <c r="J409" i="74"/>
  <c r="I409" i="74"/>
  <c r="H409" i="74"/>
  <c r="G409" i="74"/>
  <c r="F409" i="74"/>
  <c r="E409" i="74"/>
  <c r="D409" i="74"/>
  <c r="P408" i="74"/>
  <c r="P407" i="74"/>
  <c r="O367" i="74" a="1"/>
  <c r="O367" i="74" s="1"/>
  <c r="N367" i="74" a="1"/>
  <c r="N367" i="74" s="1"/>
  <c r="M367" i="74" a="1"/>
  <c r="M367" i="74" s="1"/>
  <c r="L367" i="74" a="1"/>
  <c r="L367" i="74" s="1"/>
  <c r="K367" i="74" a="1"/>
  <c r="K367" i="74" s="1"/>
  <c r="J367" i="74" a="1"/>
  <c r="J367" i="74" s="1"/>
  <c r="I367" i="74" a="1"/>
  <c r="I367" i="74" s="1"/>
  <c r="H367" i="74" a="1"/>
  <c r="H367" i="74" s="1"/>
  <c r="G367" i="74" a="1"/>
  <c r="G367" i="74" s="1"/>
  <c r="F367" i="74" a="1"/>
  <c r="F367" i="74" s="1"/>
  <c r="E367" i="74" a="1"/>
  <c r="E367" i="74" s="1"/>
  <c r="D367" i="74" a="1"/>
  <c r="D367" i="74" s="1"/>
  <c r="O365" i="74" a="1"/>
  <c r="O365" i="74" s="1"/>
  <c r="N365" i="74" a="1"/>
  <c r="N365" i="74" s="1"/>
  <c r="M365" i="74" a="1"/>
  <c r="M365" i="74" s="1"/>
  <c r="L365" i="74" a="1"/>
  <c r="L365" i="74" s="1"/>
  <c r="K365" i="74" a="1"/>
  <c r="K365" i="74" s="1"/>
  <c r="J365" i="74" a="1"/>
  <c r="J365" i="74" s="1"/>
  <c r="I365" i="74" a="1"/>
  <c r="I365" i="74" s="1"/>
  <c r="H365" i="74" a="1"/>
  <c r="H365" i="74" s="1"/>
  <c r="G365" i="74" a="1"/>
  <c r="G365" i="74" s="1"/>
  <c r="F365" i="74" a="1"/>
  <c r="F365" i="74" s="1"/>
  <c r="E365" i="74" a="1"/>
  <c r="E365" i="74" s="1"/>
  <c r="D365" i="74" a="1"/>
  <c r="D365" i="74" s="1"/>
  <c r="O362" i="74" a="1"/>
  <c r="O362" i="74" s="1"/>
  <c r="N362" i="74" a="1"/>
  <c r="N362" i="74" s="1"/>
  <c r="M362" i="74" a="1"/>
  <c r="M362" i="74" s="1"/>
  <c r="L362" i="74" a="1"/>
  <c r="L362" i="74" s="1"/>
  <c r="K362" i="74" a="1"/>
  <c r="K362" i="74" s="1"/>
  <c r="J362" i="74" a="1"/>
  <c r="J362" i="74" s="1"/>
  <c r="I362" i="74" a="1"/>
  <c r="I362" i="74" s="1"/>
  <c r="H362" i="74" a="1"/>
  <c r="H362" i="74" s="1"/>
  <c r="G362" i="74" a="1"/>
  <c r="G362" i="74" s="1"/>
  <c r="F362" i="74" a="1"/>
  <c r="F362" i="74" s="1"/>
  <c r="E362" i="74" a="1"/>
  <c r="E362" i="74" s="1"/>
  <c r="D362" i="74" a="1"/>
  <c r="D362" i="74" s="1"/>
  <c r="O361" i="74" a="1"/>
  <c r="O361" i="74" s="1"/>
  <c r="N361" i="74" a="1"/>
  <c r="N361" i="74" s="1"/>
  <c r="M361" i="74" a="1"/>
  <c r="M361" i="74" s="1"/>
  <c r="L361" i="74" a="1"/>
  <c r="L361" i="74" s="1"/>
  <c r="K361" i="74" a="1"/>
  <c r="K361" i="74" s="1"/>
  <c r="J361" i="74" a="1"/>
  <c r="J361" i="74" s="1"/>
  <c r="I361" i="74" a="1"/>
  <c r="I361" i="74" s="1"/>
  <c r="H361" i="74" a="1"/>
  <c r="H361" i="74" s="1"/>
  <c r="G361" i="74" a="1"/>
  <c r="G361" i="74" s="1"/>
  <c r="F361" i="74" a="1"/>
  <c r="F361" i="74" s="1"/>
  <c r="E361" i="74" a="1"/>
  <c r="E361" i="74" s="1"/>
  <c r="D361" i="74" a="1"/>
  <c r="D361" i="74" s="1"/>
  <c r="O360" i="74" a="1"/>
  <c r="O360" i="74" s="1"/>
  <c r="N360" i="74" a="1"/>
  <c r="N360" i="74" s="1"/>
  <c r="M360" i="74" a="1"/>
  <c r="M360" i="74" s="1"/>
  <c r="L360" i="74" a="1"/>
  <c r="L360" i="74" s="1"/>
  <c r="K360" i="74" a="1"/>
  <c r="K360" i="74" s="1"/>
  <c r="J360" i="74" a="1"/>
  <c r="J360" i="74" s="1"/>
  <c r="I360" i="74" a="1"/>
  <c r="I360" i="74" s="1"/>
  <c r="H360" i="74" a="1"/>
  <c r="H360" i="74" s="1"/>
  <c r="G360" i="74" a="1"/>
  <c r="G360" i="74" s="1"/>
  <c r="F360" i="74" a="1"/>
  <c r="F360" i="74" s="1"/>
  <c r="E360" i="74" a="1"/>
  <c r="E360" i="74" s="1"/>
  <c r="D360" i="74" a="1"/>
  <c r="D360" i="74" s="1"/>
  <c r="O359" i="74" a="1"/>
  <c r="O359" i="74" s="1"/>
  <c r="N359" i="74" a="1"/>
  <c r="N359" i="74" s="1"/>
  <c r="M359" i="74" a="1"/>
  <c r="M359" i="74" s="1"/>
  <c r="L359" i="74" a="1"/>
  <c r="L359" i="74" s="1"/>
  <c r="K359" i="74" a="1"/>
  <c r="K359" i="74" s="1"/>
  <c r="J359" i="74" a="1"/>
  <c r="J359" i="74" s="1"/>
  <c r="I359" i="74" a="1"/>
  <c r="I359" i="74" s="1"/>
  <c r="H359" i="74" a="1"/>
  <c r="H359" i="74" s="1"/>
  <c r="G359" i="74" a="1"/>
  <c r="G359" i="74" s="1"/>
  <c r="F359" i="74" a="1"/>
  <c r="F359" i="74" s="1"/>
  <c r="E359" i="74" a="1"/>
  <c r="E359" i="74" s="1"/>
  <c r="D359" i="74" a="1"/>
  <c r="D359" i="74" s="1"/>
  <c r="O356" i="74" a="1"/>
  <c r="O356" i="74" s="1"/>
  <c r="N356" i="74" a="1"/>
  <c r="N356" i="74" s="1"/>
  <c r="M356" i="74" a="1"/>
  <c r="M356" i="74" s="1"/>
  <c r="L356" i="74" a="1"/>
  <c r="L356" i="74" s="1"/>
  <c r="K356" i="74" a="1"/>
  <c r="K356" i="74" s="1"/>
  <c r="J356" i="74" a="1"/>
  <c r="J356" i="74" s="1"/>
  <c r="I356" i="74" a="1"/>
  <c r="I356" i="74" s="1"/>
  <c r="H356" i="74" a="1"/>
  <c r="H356" i="74" s="1"/>
  <c r="G356" i="74" a="1"/>
  <c r="G356" i="74" s="1"/>
  <c r="F356" i="74" a="1"/>
  <c r="F356" i="74" s="1"/>
  <c r="E356" i="74" a="1"/>
  <c r="E356" i="74" s="1"/>
  <c r="D356" i="74" a="1"/>
  <c r="D356" i="74" s="1"/>
  <c r="O353" i="74" a="1"/>
  <c r="O353" i="74" s="1"/>
  <c r="N353" i="74" a="1"/>
  <c r="N353" i="74" s="1"/>
  <c r="M353" i="74" a="1"/>
  <c r="M353" i="74" s="1"/>
  <c r="L353" i="74" a="1"/>
  <c r="L353" i="74" s="1"/>
  <c r="K353" i="74" a="1"/>
  <c r="K353" i="74" s="1"/>
  <c r="J353" i="74" a="1"/>
  <c r="J353" i="74" s="1"/>
  <c r="I353" i="74" a="1"/>
  <c r="I353" i="74" s="1"/>
  <c r="H353" i="74" a="1"/>
  <c r="H353" i="74" s="1"/>
  <c r="G353" i="74" a="1"/>
  <c r="G353" i="74" s="1"/>
  <c r="F353" i="74" a="1"/>
  <c r="F353" i="74" s="1"/>
  <c r="E353" i="74" a="1"/>
  <c r="E353" i="74" s="1"/>
  <c r="D353" i="74" a="1"/>
  <c r="D353" i="74" s="1"/>
  <c r="E351" i="74" a="1"/>
  <c r="E351" i="74" s="1"/>
  <c r="F351" i="74" a="1"/>
  <c r="F351" i="74" s="1"/>
  <c r="G351" i="74" a="1"/>
  <c r="G351" i="74" s="1"/>
  <c r="H351" i="74" a="1"/>
  <c r="H351" i="74" s="1"/>
  <c r="I351" i="74" a="1"/>
  <c r="I351" i="74" s="1"/>
  <c r="J351" i="74" a="1"/>
  <c r="J351" i="74" s="1"/>
  <c r="K351" i="74" a="1"/>
  <c r="K351" i="74" s="1"/>
  <c r="L351" i="74" a="1"/>
  <c r="L351" i="74" s="1"/>
  <c r="M351" i="74" a="1"/>
  <c r="M351" i="74" s="1"/>
  <c r="N351" i="74" a="1"/>
  <c r="N351" i="74" s="1"/>
  <c r="O351" i="74" a="1"/>
  <c r="O351" i="74" s="1"/>
  <c r="D351" i="74" a="1"/>
  <c r="D351" i="74" s="1"/>
  <c r="O373" i="74"/>
  <c r="N373" i="74"/>
  <c r="M373" i="74"/>
  <c r="L373" i="74"/>
  <c r="K373" i="74"/>
  <c r="J373" i="74"/>
  <c r="I373" i="74"/>
  <c r="H373" i="74"/>
  <c r="G373" i="74"/>
  <c r="F373" i="74"/>
  <c r="E373" i="74"/>
  <c r="D373" i="74"/>
  <c r="P372" i="74"/>
  <c r="P371" i="74"/>
  <c r="P409" i="74" l="1"/>
  <c r="P373" i="74"/>
  <c r="P361" i="74"/>
  <c r="P362" i="74"/>
  <c r="E357" i="74"/>
  <c r="M357" i="74"/>
  <c r="E363" i="74"/>
  <c r="M363" i="74"/>
  <c r="L357" i="74"/>
  <c r="L363" i="74"/>
  <c r="P355" i="74"/>
  <c r="P365" i="74"/>
  <c r="P360" i="74"/>
  <c r="I357" i="74"/>
  <c r="J357" i="74"/>
  <c r="J363" i="74"/>
  <c r="K357" i="74"/>
  <c r="K363" i="74"/>
  <c r="P351" i="74"/>
  <c r="P353" i="74"/>
  <c r="P359" i="74"/>
  <c r="D363" i="74"/>
  <c r="F363" i="74"/>
  <c r="N363" i="74"/>
  <c r="F357" i="74"/>
  <c r="G357" i="74"/>
  <c r="O357" i="74"/>
  <c r="G363" i="74"/>
  <c r="O363" i="74"/>
  <c r="N357" i="74"/>
  <c r="P356" i="74"/>
  <c r="H363" i="74"/>
  <c r="P367" i="74"/>
  <c r="H357" i="74"/>
  <c r="I363" i="74"/>
  <c r="D357" i="74"/>
  <c r="O308" i="74"/>
  <c r="N308" i="74"/>
  <c r="M308" i="74"/>
  <c r="L308" i="74"/>
  <c r="K308" i="74"/>
  <c r="J308" i="74"/>
  <c r="I308" i="74"/>
  <c r="H308" i="74"/>
  <c r="G308" i="74"/>
  <c r="F308" i="74"/>
  <c r="E308" i="74"/>
  <c r="D308" i="74"/>
  <c r="P307" i="74"/>
  <c r="P306" i="74"/>
  <c r="P320" i="77"/>
  <c r="O320" i="77"/>
  <c r="N320" i="77"/>
  <c r="M320" i="77"/>
  <c r="L320" i="77"/>
  <c r="K320" i="77"/>
  <c r="J320" i="77"/>
  <c r="H320" i="77"/>
  <c r="G320" i="77"/>
  <c r="E320" i="77"/>
  <c r="P318" i="77"/>
  <c r="O318" i="77"/>
  <c r="N318" i="77"/>
  <c r="M318" i="77"/>
  <c r="L318" i="77"/>
  <c r="K318" i="77"/>
  <c r="J318" i="77"/>
  <c r="I318" i="77"/>
  <c r="H318" i="77"/>
  <c r="G318" i="77"/>
  <c r="F318" i="77"/>
  <c r="E318" i="77"/>
  <c r="P315" i="77"/>
  <c r="O315" i="77"/>
  <c r="N315" i="77"/>
  <c r="M315" i="77"/>
  <c r="L315" i="77"/>
  <c r="K315" i="77"/>
  <c r="J315" i="77"/>
  <c r="I315" i="77"/>
  <c r="H315" i="77"/>
  <c r="G315" i="77"/>
  <c r="F315" i="77"/>
  <c r="E315" i="77"/>
  <c r="P314" i="77"/>
  <c r="Q314" i="77" s="1"/>
  <c r="O314" i="77"/>
  <c r="N314" i="77"/>
  <c r="M314" i="77"/>
  <c r="L314" i="77"/>
  <c r="K314" i="77"/>
  <c r="J314" i="77"/>
  <c r="I314" i="77"/>
  <c r="H314" i="77"/>
  <c r="G314" i="77"/>
  <c r="F314" i="77"/>
  <c r="E314" i="77"/>
  <c r="P313" i="77"/>
  <c r="O313" i="77"/>
  <c r="N313" i="77"/>
  <c r="M313" i="77"/>
  <c r="L313" i="77"/>
  <c r="K313" i="77"/>
  <c r="J313" i="77"/>
  <c r="I313" i="77"/>
  <c r="H313" i="77"/>
  <c r="G313" i="77"/>
  <c r="F313" i="77"/>
  <c r="E313" i="77"/>
  <c r="P312" i="77"/>
  <c r="O312" i="77"/>
  <c r="N312" i="77"/>
  <c r="M312" i="77"/>
  <c r="L312" i="77"/>
  <c r="K312" i="77"/>
  <c r="J312" i="77"/>
  <c r="I312" i="77"/>
  <c r="H312" i="77"/>
  <c r="G312" i="77"/>
  <c r="F312" i="77"/>
  <c r="E312" i="77"/>
  <c r="P309" i="77"/>
  <c r="O309" i="77"/>
  <c r="N309" i="77"/>
  <c r="M309" i="77"/>
  <c r="L309" i="77"/>
  <c r="K309" i="77"/>
  <c r="J309" i="77"/>
  <c r="I309" i="77"/>
  <c r="H309" i="77"/>
  <c r="G309" i="77"/>
  <c r="F309" i="77"/>
  <c r="E309" i="77"/>
  <c r="P308" i="77"/>
  <c r="O308" i="77"/>
  <c r="N308" i="77"/>
  <c r="M308" i="77"/>
  <c r="L308" i="77"/>
  <c r="K308" i="77"/>
  <c r="J308" i="77"/>
  <c r="I308" i="77"/>
  <c r="H308" i="77"/>
  <c r="G308" i="77"/>
  <c r="F308" i="77"/>
  <c r="E308" i="77"/>
  <c r="P306" i="77"/>
  <c r="O306" i="77"/>
  <c r="N306" i="77"/>
  <c r="M306" i="77"/>
  <c r="L306" i="77"/>
  <c r="K306" i="77"/>
  <c r="J306" i="77"/>
  <c r="I306" i="77"/>
  <c r="H306" i="77"/>
  <c r="G306" i="77"/>
  <c r="F306" i="77"/>
  <c r="E306" i="77"/>
  <c r="G304" i="77"/>
  <c r="H304" i="77"/>
  <c r="J304" i="77"/>
  <c r="K304" i="77"/>
  <c r="L304" i="77"/>
  <c r="M304" i="77"/>
  <c r="N304" i="77"/>
  <c r="O304" i="77"/>
  <c r="P304" i="77"/>
  <c r="A270" i="77"/>
  <c r="A269" i="77"/>
  <c r="A268" i="77"/>
  <c r="A267" i="77"/>
  <c r="A266" i="77"/>
  <c r="A265" i="77"/>
  <c r="A264" i="77"/>
  <c r="A263" i="77"/>
  <c r="A262" i="77"/>
  <c r="A261" i="77"/>
  <c r="A260" i="77"/>
  <c r="A259" i="77"/>
  <c r="A258" i="77"/>
  <c r="A257" i="77"/>
  <c r="A256" i="77"/>
  <c r="A255" i="77"/>
  <c r="A254" i="77"/>
  <c r="A253" i="77"/>
  <c r="A252" i="77"/>
  <c r="A251" i="77"/>
  <c r="A250" i="77"/>
  <c r="A249" i="77"/>
  <c r="A248" i="77"/>
  <c r="A247" i="77"/>
  <c r="A246" i="77"/>
  <c r="A125" i="77"/>
  <c r="A124" i="77"/>
  <c r="A123" i="77"/>
  <c r="A122" i="77"/>
  <c r="A121" i="77"/>
  <c r="A120" i="77"/>
  <c r="A119" i="77"/>
  <c r="A118" i="77"/>
  <c r="A117" i="77"/>
  <c r="A116" i="77"/>
  <c r="A115" i="77"/>
  <c r="A114" i="77"/>
  <c r="A113" i="77"/>
  <c r="A112" i="77"/>
  <c r="A111" i="77"/>
  <c r="A110" i="77"/>
  <c r="A109" i="77"/>
  <c r="A108" i="77"/>
  <c r="A107" i="77"/>
  <c r="A106" i="77"/>
  <c r="A105" i="77"/>
  <c r="A104" i="77"/>
  <c r="A103" i="77"/>
  <c r="A102" i="77"/>
  <c r="A101" i="77"/>
  <c r="A44" i="77"/>
  <c r="A45" i="77"/>
  <c r="A46" i="77"/>
  <c r="A47" i="77"/>
  <c r="A48" i="77"/>
  <c r="A49" i="77"/>
  <c r="A50" i="77"/>
  <c r="A51" i="77"/>
  <c r="A52" i="77"/>
  <c r="A53" i="77"/>
  <c r="A54" i="77"/>
  <c r="A55" i="77"/>
  <c r="A56" i="77"/>
  <c r="A57" i="77"/>
  <c r="A58" i="77"/>
  <c r="A59" i="77"/>
  <c r="A60" i="77"/>
  <c r="A61" i="77"/>
  <c r="A62" i="77"/>
  <c r="A63" i="77"/>
  <c r="A64" i="77"/>
  <c r="A65" i="77"/>
  <c r="A66" i="77"/>
  <c r="A67" i="77"/>
  <c r="A43" i="77"/>
  <c r="A15" i="77"/>
  <c r="A16" i="77"/>
  <c r="A17" i="77"/>
  <c r="A18" i="77"/>
  <c r="A19" i="77"/>
  <c r="A20" i="77"/>
  <c r="A21" i="77"/>
  <c r="A22" i="77"/>
  <c r="A23" i="77"/>
  <c r="A24" i="77"/>
  <c r="A25" i="77"/>
  <c r="A26" i="77"/>
  <c r="A27" i="77"/>
  <c r="A28" i="77"/>
  <c r="A29" i="77"/>
  <c r="A30" i="77"/>
  <c r="A31" i="77"/>
  <c r="A32" i="77"/>
  <c r="A33" i="77"/>
  <c r="A34" i="77"/>
  <c r="A35" i="77"/>
  <c r="A36" i="77"/>
  <c r="A37" i="77"/>
  <c r="A38" i="77"/>
  <c r="A14" i="77"/>
  <c r="O274" i="74"/>
  <c r="N274" i="74"/>
  <c r="M274" i="74"/>
  <c r="L274" i="74"/>
  <c r="K274" i="74"/>
  <c r="J274" i="74"/>
  <c r="I274" i="74"/>
  <c r="H274" i="74"/>
  <c r="G274" i="74"/>
  <c r="F274" i="74"/>
  <c r="E274" i="74"/>
  <c r="D274" i="74"/>
  <c r="P273" i="74"/>
  <c r="P272" i="74"/>
  <c r="B215" i="74"/>
  <c r="O240" i="74"/>
  <c r="N240" i="74"/>
  <c r="M240" i="74"/>
  <c r="L240" i="74"/>
  <c r="K240" i="74"/>
  <c r="J240" i="74"/>
  <c r="I240" i="74"/>
  <c r="H240" i="74"/>
  <c r="G240" i="74"/>
  <c r="F240" i="74"/>
  <c r="E240" i="74"/>
  <c r="D240" i="74"/>
  <c r="P239" i="74"/>
  <c r="P238" i="74"/>
  <c r="B181" i="74"/>
  <c r="P13" i="76" s="1"/>
  <c r="O206" i="74"/>
  <c r="N206" i="74"/>
  <c r="M206" i="74"/>
  <c r="L206" i="74"/>
  <c r="K206" i="74"/>
  <c r="J206" i="74"/>
  <c r="I206" i="74"/>
  <c r="H206" i="74"/>
  <c r="G206" i="74"/>
  <c r="F206" i="74"/>
  <c r="E206" i="74"/>
  <c r="D206" i="74"/>
  <c r="P205" i="74"/>
  <c r="P204" i="74"/>
  <c r="B148" i="74"/>
  <c r="O13" i="76" s="1"/>
  <c r="O173" i="74"/>
  <c r="N173" i="74"/>
  <c r="M173" i="74"/>
  <c r="L173" i="74"/>
  <c r="K173" i="74"/>
  <c r="J173" i="74"/>
  <c r="I173" i="74"/>
  <c r="H173" i="74"/>
  <c r="G173" i="74"/>
  <c r="F173" i="74"/>
  <c r="E173" i="74"/>
  <c r="D173" i="74"/>
  <c r="P172" i="74"/>
  <c r="P171" i="74"/>
  <c r="G212" i="77"/>
  <c r="J212" i="77"/>
  <c r="O212" i="77"/>
  <c r="E304" i="77"/>
  <c r="I320" i="77"/>
  <c r="F320" i="77"/>
  <c r="F304" i="77"/>
  <c r="B114" i="74"/>
  <c r="N13" i="76" s="1"/>
  <c r="O139" i="74"/>
  <c r="N139" i="74"/>
  <c r="M139" i="74"/>
  <c r="L139" i="74"/>
  <c r="K139" i="74"/>
  <c r="J139" i="74"/>
  <c r="I139" i="74"/>
  <c r="H139" i="74"/>
  <c r="G139" i="74"/>
  <c r="F139" i="74"/>
  <c r="E139" i="74"/>
  <c r="D139" i="74"/>
  <c r="P138" i="74"/>
  <c r="P137" i="74"/>
  <c r="B80" i="74"/>
  <c r="M13" i="76" s="1"/>
  <c r="P103" i="74"/>
  <c r="P104" i="74"/>
  <c r="D105" i="74"/>
  <c r="E105" i="74"/>
  <c r="F105" i="74"/>
  <c r="G105" i="74"/>
  <c r="H105" i="74"/>
  <c r="I105" i="74"/>
  <c r="J105" i="74"/>
  <c r="K105" i="74"/>
  <c r="L105" i="74"/>
  <c r="M105" i="74"/>
  <c r="N105" i="74"/>
  <c r="O105" i="74"/>
  <c r="A305" i="77"/>
  <c r="A306" i="77"/>
  <c r="A307" i="77"/>
  <c r="A308" i="77"/>
  <c r="A309" i="77"/>
  <c r="A310" i="77"/>
  <c r="A311" i="77"/>
  <c r="A312" i="77"/>
  <c r="A313" i="77"/>
  <c r="A314" i="77"/>
  <c r="A315" i="77"/>
  <c r="A316" i="77"/>
  <c r="A317" i="77"/>
  <c r="A318" i="77"/>
  <c r="A319" i="77"/>
  <c r="A320" i="77"/>
  <c r="A321" i="77"/>
  <c r="A322" i="77"/>
  <c r="A323" i="77"/>
  <c r="A324" i="77"/>
  <c r="A325" i="77"/>
  <c r="A326" i="77"/>
  <c r="A327" i="77"/>
  <c r="A328" i="77"/>
  <c r="A304" i="77"/>
  <c r="A73" i="77"/>
  <c r="A74" i="77"/>
  <c r="A75" i="77"/>
  <c r="A76" i="77"/>
  <c r="A77" i="77"/>
  <c r="A78" i="77"/>
  <c r="A79" i="77"/>
  <c r="A80" i="77"/>
  <c r="A81" i="77"/>
  <c r="A82" i="77"/>
  <c r="A83" i="77"/>
  <c r="A84" i="77"/>
  <c r="A85" i="77"/>
  <c r="A86" i="77"/>
  <c r="A87" i="77"/>
  <c r="A88" i="77"/>
  <c r="A89" i="77"/>
  <c r="A90" i="77"/>
  <c r="A91" i="77"/>
  <c r="A92" i="77"/>
  <c r="A93" i="77"/>
  <c r="A94" i="77"/>
  <c r="A95" i="77"/>
  <c r="A96" i="77"/>
  <c r="A72" i="77"/>
  <c r="A131" i="77"/>
  <c r="A132" i="77"/>
  <c r="A133" i="77"/>
  <c r="A134" i="77"/>
  <c r="A135" i="77"/>
  <c r="A136" i="77"/>
  <c r="A137" i="77"/>
  <c r="A138" i="77"/>
  <c r="A139" i="77"/>
  <c r="A140" i="77"/>
  <c r="A141" i="77"/>
  <c r="A142" i="77"/>
  <c r="A143" i="77"/>
  <c r="A144" i="77"/>
  <c r="A145" i="77"/>
  <c r="A146" i="77"/>
  <c r="A147" i="77"/>
  <c r="A148" i="77"/>
  <c r="A149" i="77"/>
  <c r="A150" i="77"/>
  <c r="A151" i="77"/>
  <c r="A152" i="77"/>
  <c r="A153" i="77"/>
  <c r="A154" i="77"/>
  <c r="A130" i="77"/>
  <c r="A160" i="77"/>
  <c r="A161" i="77"/>
  <c r="A162" i="77"/>
  <c r="A163" i="77"/>
  <c r="A164" i="77"/>
  <c r="A165" i="77"/>
  <c r="A166" i="77"/>
  <c r="A167" i="77"/>
  <c r="A168" i="77"/>
  <c r="A169" i="77"/>
  <c r="A170" i="77"/>
  <c r="A171" i="77"/>
  <c r="A172" i="77"/>
  <c r="A173" i="77"/>
  <c r="A174" i="77"/>
  <c r="A175" i="77"/>
  <c r="A176" i="77"/>
  <c r="A177" i="77"/>
  <c r="A178" i="77"/>
  <c r="A179" i="77"/>
  <c r="A180" i="77"/>
  <c r="A181" i="77"/>
  <c r="A182" i="77"/>
  <c r="A183" i="77"/>
  <c r="A159" i="77"/>
  <c r="A189" i="77"/>
  <c r="A190" i="77"/>
  <c r="A191" i="77"/>
  <c r="A192" i="77"/>
  <c r="A193" i="77"/>
  <c r="A194" i="77"/>
  <c r="A195" i="77"/>
  <c r="A196" i="77"/>
  <c r="A197" i="77"/>
  <c r="A198" i="77"/>
  <c r="A199" i="77"/>
  <c r="A200" i="77"/>
  <c r="A201" i="77"/>
  <c r="A202" i="77"/>
  <c r="A203" i="77"/>
  <c r="A204" i="77"/>
  <c r="A205" i="77"/>
  <c r="A206" i="77"/>
  <c r="A207" i="77"/>
  <c r="A208" i="77"/>
  <c r="A209" i="77"/>
  <c r="A210" i="77"/>
  <c r="A211" i="77"/>
  <c r="A212" i="77"/>
  <c r="A188" i="77"/>
  <c r="A217" i="77"/>
  <c r="A218" i="77"/>
  <c r="A219" i="77"/>
  <c r="A220" i="77"/>
  <c r="A221" i="77"/>
  <c r="A222" i="77"/>
  <c r="A223" i="77"/>
  <c r="A224" i="77"/>
  <c r="A225" i="77"/>
  <c r="A226" i="77"/>
  <c r="A227" i="77"/>
  <c r="A228" i="77"/>
  <c r="A229" i="77"/>
  <c r="A230" i="77"/>
  <c r="A231" i="77"/>
  <c r="A232" i="77"/>
  <c r="A233" i="77"/>
  <c r="A234" i="77"/>
  <c r="A235" i="77"/>
  <c r="A236" i="77"/>
  <c r="A237" i="77"/>
  <c r="A238" i="77"/>
  <c r="A239" i="77"/>
  <c r="A240" i="77"/>
  <c r="A241" i="77"/>
  <c r="A242" i="77"/>
  <c r="A216" i="77"/>
  <c r="B5" i="70"/>
  <c r="B5" i="73" s="1"/>
  <c r="A276" i="77"/>
  <c r="A277" i="77"/>
  <c r="A278" i="77"/>
  <c r="A279" i="77"/>
  <c r="A280" i="77"/>
  <c r="A281" i="77"/>
  <c r="A282" i="77"/>
  <c r="A283" i="77"/>
  <c r="A284" i="77"/>
  <c r="A285" i="77"/>
  <c r="A286" i="77"/>
  <c r="A287" i="77"/>
  <c r="A288" i="77"/>
  <c r="A289" i="77"/>
  <c r="A290" i="77"/>
  <c r="A291" i="77"/>
  <c r="A275" i="77"/>
  <c r="Q347" i="77"/>
  <c r="O345" i="77"/>
  <c r="N345" i="77"/>
  <c r="G345" i="77"/>
  <c r="F345" i="77"/>
  <c r="Q342" i="77"/>
  <c r="P345" i="77"/>
  <c r="M345" i="77"/>
  <c r="L345" i="77"/>
  <c r="K345" i="77"/>
  <c r="J345" i="77"/>
  <c r="I345" i="77"/>
  <c r="Q341" i="77"/>
  <c r="E345" i="77"/>
  <c r="N339" i="77"/>
  <c r="M339" i="77"/>
  <c r="F339" i="77"/>
  <c r="E339" i="77"/>
  <c r="Q338" i="77"/>
  <c r="P339" i="77"/>
  <c r="O339" i="77"/>
  <c r="L339" i="77"/>
  <c r="K339" i="77"/>
  <c r="J339" i="77"/>
  <c r="I339" i="77"/>
  <c r="H339" i="77"/>
  <c r="G339" i="77"/>
  <c r="Q337" i="77"/>
  <c r="Q335" i="77"/>
  <c r="Q333" i="77"/>
  <c r="A292" i="77"/>
  <c r="A293" i="77"/>
  <c r="A294" i="77"/>
  <c r="A295" i="77"/>
  <c r="A296" i="77"/>
  <c r="A297" i="77"/>
  <c r="A298" i="77"/>
  <c r="A299" i="77"/>
  <c r="B46" i="74"/>
  <c r="L13" i="76" s="1"/>
  <c r="Q315" i="77" l="1"/>
  <c r="E369" i="74"/>
  <c r="E375" i="74" s="1"/>
  <c r="I268" i="74"/>
  <c r="M212" i="77"/>
  <c r="K268" i="74"/>
  <c r="N263" i="74"/>
  <c r="Q19" i="76"/>
  <c r="Q23" i="76"/>
  <c r="Q25" i="76"/>
  <c r="Q61" i="76" s="1"/>
  <c r="Q199" i="76" s="1"/>
  <c r="Q31" i="76"/>
  <c r="Q24" i="76"/>
  <c r="Q15" i="76"/>
  <c r="Q29" i="76"/>
  <c r="Q26" i="76"/>
  <c r="Q62" i="76" s="1"/>
  <c r="Q200" i="76" s="1"/>
  <c r="Q17" i="76"/>
  <c r="Q20" i="76"/>
  <c r="G254" i="74"/>
  <c r="P363" i="74"/>
  <c r="O49" i="76"/>
  <c r="O84" i="76"/>
  <c r="O118" i="76"/>
  <c r="O153" i="76"/>
  <c r="O187" i="76"/>
  <c r="P49" i="76"/>
  <c r="P84" i="76"/>
  <c r="P118" i="76"/>
  <c r="P153" i="76"/>
  <c r="P187" i="76"/>
  <c r="N84" i="76"/>
  <c r="N49" i="76"/>
  <c r="N118" i="76"/>
  <c r="N153" i="76"/>
  <c r="N187" i="76"/>
  <c r="L187" i="76"/>
  <c r="L49" i="76"/>
  <c r="L118" i="76"/>
  <c r="L153" i="76"/>
  <c r="L84" i="76"/>
  <c r="M118" i="76"/>
  <c r="M153" i="76"/>
  <c r="M84" i="76"/>
  <c r="M187" i="76"/>
  <c r="M49" i="76"/>
  <c r="L369" i="74"/>
  <c r="L375" i="74" s="1"/>
  <c r="N369" i="74"/>
  <c r="N375" i="74" s="1"/>
  <c r="M369" i="74"/>
  <c r="M375" i="74" s="1"/>
  <c r="P357" i="74"/>
  <c r="J369" i="74"/>
  <c r="J375" i="74" s="1"/>
  <c r="L212" i="77"/>
  <c r="N212" i="77"/>
  <c r="K212" i="77"/>
  <c r="I212" i="77"/>
  <c r="E212" i="77"/>
  <c r="H212" i="77"/>
  <c r="P212" i="77"/>
  <c r="J256" i="74"/>
  <c r="F263" i="74"/>
  <c r="K260" i="74"/>
  <c r="M26" i="76"/>
  <c r="M62" i="76" s="1"/>
  <c r="M200" i="76" s="1"/>
  <c r="M20" i="76"/>
  <c r="M25" i="76"/>
  <c r="M61" i="76" s="1"/>
  <c r="M199" i="76" s="1"/>
  <c r="M15" i="76"/>
  <c r="M29" i="76"/>
  <c r="M23" i="76"/>
  <c r="M19" i="76"/>
  <c r="M31" i="76"/>
  <c r="M24" i="76"/>
  <c r="M17" i="76"/>
  <c r="F254" i="74"/>
  <c r="N261" i="74"/>
  <c r="O254" i="74"/>
  <c r="O257" i="74"/>
  <c r="O261" i="74"/>
  <c r="K266" i="74"/>
  <c r="G268" i="74"/>
  <c r="O268" i="74"/>
  <c r="D252" i="74"/>
  <c r="H252" i="74"/>
  <c r="H254" i="74"/>
  <c r="D256" i="74"/>
  <c r="L256" i="74"/>
  <c r="H257" i="74"/>
  <c r="D260" i="74"/>
  <c r="L260" i="74"/>
  <c r="H261" i="74"/>
  <c r="D262" i="74"/>
  <c r="L262" i="74"/>
  <c r="H263" i="74"/>
  <c r="D266" i="74"/>
  <c r="L266" i="74"/>
  <c r="H268" i="74"/>
  <c r="I304" i="77"/>
  <c r="N257" i="74"/>
  <c r="F268" i="74"/>
  <c r="G257" i="74"/>
  <c r="G261" i="74"/>
  <c r="O252" i="74"/>
  <c r="E256" i="74"/>
  <c r="E260" i="74"/>
  <c r="E262" i="74"/>
  <c r="E266" i="74"/>
  <c r="J252" i="74"/>
  <c r="J260" i="74"/>
  <c r="N268" i="74"/>
  <c r="F212" i="77"/>
  <c r="I252" i="74"/>
  <c r="O263" i="74"/>
  <c r="N252" i="74"/>
  <c r="F252" i="74"/>
  <c r="J254" i="74"/>
  <c r="F256" i="74"/>
  <c r="N256" i="74"/>
  <c r="J257" i="74"/>
  <c r="F260" i="74"/>
  <c r="N260" i="74"/>
  <c r="J261" i="74"/>
  <c r="F262" i="74"/>
  <c r="N262" i="74"/>
  <c r="J263" i="74"/>
  <c r="F266" i="74"/>
  <c r="N266" i="74"/>
  <c r="J268" i="74"/>
  <c r="F257" i="74"/>
  <c r="J262" i="74"/>
  <c r="G263" i="74"/>
  <c r="G252" i="74"/>
  <c r="M256" i="74"/>
  <c r="I261" i="74"/>
  <c r="M262" i="74"/>
  <c r="M266" i="74"/>
  <c r="M252" i="74"/>
  <c r="E252" i="74"/>
  <c r="K254" i="74"/>
  <c r="G256" i="74"/>
  <c r="O256" i="74"/>
  <c r="K257" i="74"/>
  <c r="G260" i="74"/>
  <c r="O260" i="74"/>
  <c r="K261" i="74"/>
  <c r="G262" i="74"/>
  <c r="O262" i="74"/>
  <c r="K263" i="74"/>
  <c r="G266" i="74"/>
  <c r="O266" i="74"/>
  <c r="N254" i="74"/>
  <c r="J266" i="74"/>
  <c r="K256" i="74"/>
  <c r="K262" i="74"/>
  <c r="O15" i="76"/>
  <c r="O29" i="76"/>
  <c r="O23" i="76"/>
  <c r="O20" i="76"/>
  <c r="O31" i="76"/>
  <c r="O24" i="76"/>
  <c r="O17" i="76"/>
  <c r="O26" i="76"/>
  <c r="O62" i="76" s="1"/>
  <c r="O200" i="76" s="1"/>
  <c r="O25" i="76"/>
  <c r="O61" i="76" s="1"/>
  <c r="O199" i="76" s="1"/>
  <c r="O19" i="76"/>
  <c r="P15" i="76"/>
  <c r="P26" i="76"/>
  <c r="P62" i="76" s="1"/>
  <c r="P200" i="76" s="1"/>
  <c r="P20" i="76"/>
  <c r="P31" i="76"/>
  <c r="P24" i="76"/>
  <c r="P17" i="76"/>
  <c r="P25" i="76"/>
  <c r="P61" i="76" s="1"/>
  <c r="P199" i="76" s="1"/>
  <c r="P19" i="76"/>
  <c r="P23" i="76"/>
  <c r="P29" i="76"/>
  <c r="L252" i="74"/>
  <c r="D254" i="74"/>
  <c r="L254" i="74"/>
  <c r="H256" i="74"/>
  <c r="D257" i="74"/>
  <c r="L257" i="74"/>
  <c r="H260" i="74"/>
  <c r="D261" i="74"/>
  <c r="L261" i="74"/>
  <c r="H262" i="74"/>
  <c r="D263" i="74"/>
  <c r="L263" i="74"/>
  <c r="H266" i="74"/>
  <c r="D268" i="74"/>
  <c r="L268" i="74"/>
  <c r="F261" i="74"/>
  <c r="I254" i="74"/>
  <c r="I257" i="74"/>
  <c r="M260" i="74"/>
  <c r="I263" i="74"/>
  <c r="L15" i="76"/>
  <c r="L23" i="76"/>
  <c r="L26" i="76"/>
  <c r="L20" i="76"/>
  <c r="L31" i="76"/>
  <c r="L24" i="76"/>
  <c r="L17" i="76"/>
  <c r="L25" i="76"/>
  <c r="L19" i="76"/>
  <c r="L29" i="76"/>
  <c r="N24" i="76"/>
  <c r="N25" i="76"/>
  <c r="N61" i="76" s="1"/>
  <c r="N199" i="76" s="1"/>
  <c r="N19" i="76"/>
  <c r="N29" i="76"/>
  <c r="N23" i="76"/>
  <c r="N26" i="76"/>
  <c r="N62" i="76" s="1"/>
  <c r="N200" i="76" s="1"/>
  <c r="N17" i="76"/>
  <c r="N20" i="76"/>
  <c r="N15" i="76"/>
  <c r="N31" i="76"/>
  <c r="K252" i="74"/>
  <c r="E254" i="74"/>
  <c r="M254" i="74"/>
  <c r="I256" i="74"/>
  <c r="E257" i="74"/>
  <c r="M257" i="74"/>
  <c r="I260" i="74"/>
  <c r="E261" i="74"/>
  <c r="M261" i="74"/>
  <c r="I262" i="74"/>
  <c r="E263" i="74"/>
  <c r="M263" i="74"/>
  <c r="I266" i="74"/>
  <c r="E268" i="74"/>
  <c r="M268" i="74"/>
  <c r="K369" i="74"/>
  <c r="K375" i="74" s="1"/>
  <c r="I369" i="74"/>
  <c r="I375" i="74" s="1"/>
  <c r="H369" i="74"/>
  <c r="H375" i="74" s="1"/>
  <c r="F369" i="74"/>
  <c r="F375" i="74" s="1"/>
  <c r="O369" i="74"/>
  <c r="O375" i="74" s="1"/>
  <c r="D369" i="74"/>
  <c r="D375" i="74" s="1"/>
  <c r="G369" i="74"/>
  <c r="G375" i="74" s="1"/>
  <c r="P308" i="74"/>
  <c r="P206" i="74"/>
  <c r="P274" i="74"/>
  <c r="K227" i="74"/>
  <c r="K220" i="74"/>
  <c r="F222" i="74"/>
  <c r="O228" i="74"/>
  <c r="F218" i="74"/>
  <c r="D228" i="74"/>
  <c r="J117" i="74"/>
  <c r="E186" i="74"/>
  <c r="G222" i="74"/>
  <c r="J229" i="74"/>
  <c r="M99" i="74"/>
  <c r="O192" i="74"/>
  <c r="J223" i="74"/>
  <c r="K229" i="74"/>
  <c r="O65" i="74"/>
  <c r="I194" i="74"/>
  <c r="D226" i="74"/>
  <c r="N232" i="74"/>
  <c r="M218" i="74"/>
  <c r="F226" i="74"/>
  <c r="H234" i="74"/>
  <c r="G218" i="74"/>
  <c r="H227" i="74"/>
  <c r="J234" i="74"/>
  <c r="D189" i="74"/>
  <c r="H218" i="74"/>
  <c r="D222" i="74"/>
  <c r="K223" i="74"/>
  <c r="J227" i="74"/>
  <c r="H229" i="74"/>
  <c r="O232" i="74"/>
  <c r="H198" i="74"/>
  <c r="E218" i="74"/>
  <c r="L222" i="74"/>
  <c r="G226" i="74"/>
  <c r="F228" i="74"/>
  <c r="D232" i="74"/>
  <c r="K234" i="74"/>
  <c r="D218" i="74"/>
  <c r="H220" i="74"/>
  <c r="N222" i="74"/>
  <c r="L226" i="74"/>
  <c r="G228" i="74"/>
  <c r="F232" i="74"/>
  <c r="O218" i="74"/>
  <c r="I220" i="74"/>
  <c r="O222" i="74"/>
  <c r="N226" i="74"/>
  <c r="L228" i="74"/>
  <c r="G232" i="74"/>
  <c r="J153" i="74"/>
  <c r="M200" i="74"/>
  <c r="N218" i="74"/>
  <c r="J220" i="74"/>
  <c r="H223" i="74"/>
  <c r="O226" i="74"/>
  <c r="N228" i="74"/>
  <c r="L232" i="74"/>
  <c r="K186" i="74"/>
  <c r="E189" i="74"/>
  <c r="D193" i="74"/>
  <c r="O194" i="74"/>
  <c r="I198" i="74"/>
  <c r="P240" i="74"/>
  <c r="E222" i="74"/>
  <c r="M222" i="74"/>
  <c r="I223" i="74"/>
  <c r="E226" i="74"/>
  <c r="M226" i="74"/>
  <c r="I227" i="74"/>
  <c r="E228" i="74"/>
  <c r="M228" i="74"/>
  <c r="I229" i="74"/>
  <c r="E232" i="74"/>
  <c r="M232" i="74"/>
  <c r="I234" i="74"/>
  <c r="L186" i="74"/>
  <c r="D195" i="74"/>
  <c r="G184" i="74"/>
  <c r="L189" i="74"/>
  <c r="K193" i="74"/>
  <c r="D200" i="74"/>
  <c r="H184" i="74"/>
  <c r="G188" i="74"/>
  <c r="M189" i="74"/>
  <c r="L193" i="74"/>
  <c r="K195" i="74"/>
  <c r="E200" i="74"/>
  <c r="L218" i="74"/>
  <c r="D220" i="74"/>
  <c r="L220" i="74"/>
  <c r="H222" i="74"/>
  <c r="D223" i="74"/>
  <c r="L223" i="74"/>
  <c r="H226" i="74"/>
  <c r="D227" i="74"/>
  <c r="L227" i="74"/>
  <c r="H228" i="74"/>
  <c r="D229" i="74"/>
  <c r="L229" i="74"/>
  <c r="H232" i="74"/>
  <c r="D234" i="74"/>
  <c r="L234" i="74"/>
  <c r="K189" i="74"/>
  <c r="E193" i="74"/>
  <c r="O198" i="74"/>
  <c r="M186" i="74"/>
  <c r="E195" i="74"/>
  <c r="I184" i="74"/>
  <c r="H188" i="74"/>
  <c r="G192" i="74"/>
  <c r="M193" i="74"/>
  <c r="L195" i="74"/>
  <c r="K200" i="74"/>
  <c r="K218" i="74"/>
  <c r="E220" i="74"/>
  <c r="M220" i="74"/>
  <c r="I222" i="74"/>
  <c r="E223" i="74"/>
  <c r="M223" i="74"/>
  <c r="I226" i="74"/>
  <c r="E227" i="74"/>
  <c r="M227" i="74"/>
  <c r="I228" i="74"/>
  <c r="E229" i="74"/>
  <c r="M229" i="74"/>
  <c r="I232" i="74"/>
  <c r="E234" i="74"/>
  <c r="M234" i="74"/>
  <c r="O184" i="74"/>
  <c r="I188" i="74"/>
  <c r="H192" i="74"/>
  <c r="G194" i="74"/>
  <c r="M195" i="74"/>
  <c r="L200" i="74"/>
  <c r="J218" i="74"/>
  <c r="F220" i="74"/>
  <c r="N220" i="74"/>
  <c r="J222" i="74"/>
  <c r="F223" i="74"/>
  <c r="N223" i="74"/>
  <c r="J226" i="74"/>
  <c r="F227" i="74"/>
  <c r="N227" i="74"/>
  <c r="J228" i="74"/>
  <c r="F229" i="74"/>
  <c r="N229" i="74"/>
  <c r="J232" i="74"/>
  <c r="F234" i="74"/>
  <c r="N234" i="74"/>
  <c r="D186" i="74"/>
  <c r="O188" i="74"/>
  <c r="I192" i="74"/>
  <c r="H194" i="74"/>
  <c r="G198" i="74"/>
  <c r="I218" i="74"/>
  <c r="G220" i="74"/>
  <c r="O220" i="74"/>
  <c r="K222" i="74"/>
  <c r="G223" i="74"/>
  <c r="O223" i="74"/>
  <c r="K226" i="74"/>
  <c r="G227" i="74"/>
  <c r="O227" i="74"/>
  <c r="K228" i="74"/>
  <c r="G229" i="74"/>
  <c r="O229" i="74"/>
  <c r="K232" i="74"/>
  <c r="G234" i="74"/>
  <c r="O234" i="74"/>
  <c r="M151" i="74"/>
  <c r="E184" i="74"/>
  <c r="M184" i="74"/>
  <c r="I186" i="74"/>
  <c r="E188" i="74"/>
  <c r="M188" i="74"/>
  <c r="I189" i="74"/>
  <c r="E192" i="74"/>
  <c r="M192" i="74"/>
  <c r="I193" i="74"/>
  <c r="E194" i="74"/>
  <c r="M194" i="74"/>
  <c r="I195" i="74"/>
  <c r="E198" i="74"/>
  <c r="M198" i="74"/>
  <c r="I200" i="74"/>
  <c r="F184" i="74"/>
  <c r="N184" i="74"/>
  <c r="J186" i="74"/>
  <c r="F188" i="74"/>
  <c r="N188" i="74"/>
  <c r="J189" i="74"/>
  <c r="F192" i="74"/>
  <c r="N192" i="74"/>
  <c r="J193" i="74"/>
  <c r="F194" i="74"/>
  <c r="N194" i="74"/>
  <c r="J195" i="74"/>
  <c r="F198" i="74"/>
  <c r="N198" i="74"/>
  <c r="J200" i="74"/>
  <c r="E151" i="74"/>
  <c r="J184" i="74"/>
  <c r="F186" i="74"/>
  <c r="N186" i="74"/>
  <c r="J188" i="74"/>
  <c r="F189" i="74"/>
  <c r="N189" i="74"/>
  <c r="J192" i="74"/>
  <c r="F193" i="74"/>
  <c r="N193" i="74"/>
  <c r="J194" i="74"/>
  <c r="F195" i="74"/>
  <c r="N195" i="74"/>
  <c r="J198" i="74"/>
  <c r="F200" i="74"/>
  <c r="N200" i="74"/>
  <c r="K184" i="74"/>
  <c r="G186" i="74"/>
  <c r="O186" i="74"/>
  <c r="K188" i="74"/>
  <c r="G189" i="74"/>
  <c r="O189" i="74"/>
  <c r="K192" i="74"/>
  <c r="G193" i="74"/>
  <c r="O193" i="74"/>
  <c r="K194" i="74"/>
  <c r="G195" i="74"/>
  <c r="O195" i="74"/>
  <c r="K198" i="74"/>
  <c r="G200" i="74"/>
  <c r="O200" i="74"/>
  <c r="D184" i="74"/>
  <c r="L184" i="74"/>
  <c r="H186" i="74"/>
  <c r="D188" i="74"/>
  <c r="L188" i="74"/>
  <c r="H189" i="74"/>
  <c r="D192" i="74"/>
  <c r="L192" i="74"/>
  <c r="H193" i="74"/>
  <c r="D194" i="74"/>
  <c r="L194" i="74"/>
  <c r="H195" i="74"/>
  <c r="D198" i="74"/>
  <c r="L198" i="74"/>
  <c r="H200" i="74"/>
  <c r="P173" i="74"/>
  <c r="N151" i="74"/>
  <c r="F151" i="74"/>
  <c r="I153" i="74"/>
  <c r="E155" i="74"/>
  <c r="M155" i="74"/>
  <c r="I156" i="74"/>
  <c r="E159" i="74"/>
  <c r="M159" i="74"/>
  <c r="I160" i="74"/>
  <c r="E161" i="74"/>
  <c r="M161" i="74"/>
  <c r="I162" i="74"/>
  <c r="E165" i="74"/>
  <c r="M165" i="74"/>
  <c r="I167" i="74"/>
  <c r="F155" i="74"/>
  <c r="J156" i="74"/>
  <c r="J160" i="74"/>
  <c r="J162" i="74"/>
  <c r="N165" i="74"/>
  <c r="L151" i="74"/>
  <c r="D151" i="74"/>
  <c r="K153" i="74"/>
  <c r="G155" i="74"/>
  <c r="O155" i="74"/>
  <c r="K156" i="74"/>
  <c r="G159" i="74"/>
  <c r="O159" i="74"/>
  <c r="K160" i="74"/>
  <c r="G161" i="74"/>
  <c r="O161" i="74"/>
  <c r="K162" i="74"/>
  <c r="G165" i="74"/>
  <c r="O165" i="74"/>
  <c r="K167" i="74"/>
  <c r="F159" i="74"/>
  <c r="F161" i="74"/>
  <c r="F165" i="74"/>
  <c r="K151" i="74"/>
  <c r="D153" i="74"/>
  <c r="L153" i="74"/>
  <c r="H155" i="74"/>
  <c r="D156" i="74"/>
  <c r="L156" i="74"/>
  <c r="H159" i="74"/>
  <c r="D160" i="74"/>
  <c r="L160" i="74"/>
  <c r="H161" i="74"/>
  <c r="D162" i="74"/>
  <c r="L162" i="74"/>
  <c r="H165" i="74"/>
  <c r="D167" i="74"/>
  <c r="L167" i="74"/>
  <c r="N155" i="74"/>
  <c r="N159" i="74"/>
  <c r="N161" i="74"/>
  <c r="J167" i="74"/>
  <c r="J151" i="74"/>
  <c r="E153" i="74"/>
  <c r="M153" i="74"/>
  <c r="I155" i="74"/>
  <c r="E156" i="74"/>
  <c r="M156" i="74"/>
  <c r="I159" i="74"/>
  <c r="E160" i="74"/>
  <c r="M160" i="74"/>
  <c r="I161" i="74"/>
  <c r="E162" i="74"/>
  <c r="M162" i="74"/>
  <c r="I165" i="74"/>
  <c r="E167" i="74"/>
  <c r="M167" i="74"/>
  <c r="I151" i="74"/>
  <c r="F153" i="74"/>
  <c r="N153" i="74"/>
  <c r="J155" i="74"/>
  <c r="F156" i="74"/>
  <c r="N156" i="74"/>
  <c r="J159" i="74"/>
  <c r="F160" i="74"/>
  <c r="N160" i="74"/>
  <c r="J161" i="74"/>
  <c r="F162" i="74"/>
  <c r="N162" i="74"/>
  <c r="J165" i="74"/>
  <c r="F167" i="74"/>
  <c r="N167" i="74"/>
  <c r="H151" i="74"/>
  <c r="G153" i="74"/>
  <c r="O153" i="74"/>
  <c r="K155" i="74"/>
  <c r="G156" i="74"/>
  <c r="O156" i="74"/>
  <c r="K159" i="74"/>
  <c r="G160" i="74"/>
  <c r="O160" i="74"/>
  <c r="K161" i="74"/>
  <c r="G162" i="74"/>
  <c r="O162" i="74"/>
  <c r="K165" i="74"/>
  <c r="G167" i="74"/>
  <c r="O167" i="74"/>
  <c r="O151" i="74"/>
  <c r="G151" i="74"/>
  <c r="H153" i="74"/>
  <c r="D155" i="74"/>
  <c r="L155" i="74"/>
  <c r="H156" i="74"/>
  <c r="D159" i="74"/>
  <c r="L159" i="74"/>
  <c r="H160" i="74"/>
  <c r="D161" i="74"/>
  <c r="L161" i="74"/>
  <c r="H162" i="74"/>
  <c r="D165" i="74"/>
  <c r="L165" i="74"/>
  <c r="H167" i="74"/>
  <c r="P139" i="74"/>
  <c r="N88" i="74"/>
  <c r="I94" i="74"/>
  <c r="P105" i="74"/>
  <c r="O85" i="74"/>
  <c r="F99" i="74"/>
  <c r="J83" i="74"/>
  <c r="O125" i="74"/>
  <c r="E87" i="74"/>
  <c r="G99" i="74"/>
  <c r="D117" i="74"/>
  <c r="K126" i="74"/>
  <c r="D119" i="74"/>
  <c r="O88" i="74"/>
  <c r="K119" i="74"/>
  <c r="O127" i="74"/>
  <c r="G127" i="74"/>
  <c r="I92" i="74"/>
  <c r="G121" i="74"/>
  <c r="K128" i="74"/>
  <c r="N92" i="74"/>
  <c r="O121" i="74"/>
  <c r="G131" i="74"/>
  <c r="I117" i="74"/>
  <c r="O83" i="74"/>
  <c r="G94" i="74"/>
  <c r="K122" i="74"/>
  <c r="O131" i="74"/>
  <c r="G125" i="74"/>
  <c r="K133" i="74"/>
  <c r="L119" i="74"/>
  <c r="H121" i="74"/>
  <c r="D122" i="74"/>
  <c r="L122" i="74"/>
  <c r="H125" i="74"/>
  <c r="D126" i="74"/>
  <c r="L126" i="74"/>
  <c r="H127" i="74"/>
  <c r="D128" i="74"/>
  <c r="L128" i="74"/>
  <c r="H131" i="74"/>
  <c r="D133" i="74"/>
  <c r="L133" i="74"/>
  <c r="H117" i="74"/>
  <c r="I83" i="74"/>
  <c r="J87" i="74"/>
  <c r="E91" i="74"/>
  <c r="O92" i="74"/>
  <c r="N94" i="74"/>
  <c r="I99" i="74"/>
  <c r="E119" i="74"/>
  <c r="M119" i="74"/>
  <c r="I121" i="74"/>
  <c r="E122" i="74"/>
  <c r="M122" i="74"/>
  <c r="I125" i="74"/>
  <c r="E126" i="74"/>
  <c r="M126" i="74"/>
  <c r="I127" i="74"/>
  <c r="E128" i="74"/>
  <c r="M128" i="74"/>
  <c r="I131" i="74"/>
  <c r="E133" i="74"/>
  <c r="M133" i="74"/>
  <c r="O117" i="74"/>
  <c r="G117" i="74"/>
  <c r="G83" i="74"/>
  <c r="K87" i="74"/>
  <c r="J91" i="74"/>
  <c r="E93" i="74"/>
  <c r="O94" i="74"/>
  <c r="N99" i="74"/>
  <c r="F119" i="74"/>
  <c r="N119" i="74"/>
  <c r="J121" i="74"/>
  <c r="F122" i="74"/>
  <c r="N122" i="74"/>
  <c r="J125" i="74"/>
  <c r="F126" i="74"/>
  <c r="N126" i="74"/>
  <c r="J127" i="74"/>
  <c r="F128" i="74"/>
  <c r="N128" i="74"/>
  <c r="J131" i="74"/>
  <c r="F133" i="74"/>
  <c r="N133" i="74"/>
  <c r="N117" i="74"/>
  <c r="F117" i="74"/>
  <c r="F85" i="74"/>
  <c r="M87" i="74"/>
  <c r="K91" i="74"/>
  <c r="J93" i="74"/>
  <c r="E97" i="74"/>
  <c r="O99" i="74"/>
  <c r="G119" i="74"/>
  <c r="O119" i="74"/>
  <c r="K121" i="74"/>
  <c r="G122" i="74"/>
  <c r="O122" i="74"/>
  <c r="K125" i="74"/>
  <c r="G126" i="74"/>
  <c r="O126" i="74"/>
  <c r="K127" i="74"/>
  <c r="G128" i="74"/>
  <c r="O128" i="74"/>
  <c r="K131" i="74"/>
  <c r="G133" i="74"/>
  <c r="O133" i="74"/>
  <c r="M117" i="74"/>
  <c r="E117" i="74"/>
  <c r="G85" i="74"/>
  <c r="F88" i="74"/>
  <c r="M91" i="74"/>
  <c r="K93" i="74"/>
  <c r="J97" i="74"/>
  <c r="H119" i="74"/>
  <c r="D121" i="74"/>
  <c r="L121" i="74"/>
  <c r="H122" i="74"/>
  <c r="D125" i="74"/>
  <c r="L125" i="74"/>
  <c r="H126" i="74"/>
  <c r="D127" i="74"/>
  <c r="L127" i="74"/>
  <c r="H128" i="74"/>
  <c r="D131" i="74"/>
  <c r="L131" i="74"/>
  <c r="H133" i="74"/>
  <c r="L117" i="74"/>
  <c r="I85" i="74"/>
  <c r="G88" i="74"/>
  <c r="F92" i="74"/>
  <c r="M93" i="74"/>
  <c r="K97" i="74"/>
  <c r="I119" i="74"/>
  <c r="E121" i="74"/>
  <c r="M121" i="74"/>
  <c r="I122" i="74"/>
  <c r="E125" i="74"/>
  <c r="M125" i="74"/>
  <c r="I126" i="74"/>
  <c r="E127" i="74"/>
  <c r="M127" i="74"/>
  <c r="I128" i="74"/>
  <c r="E131" i="74"/>
  <c r="M131" i="74"/>
  <c r="I133" i="74"/>
  <c r="K117" i="74"/>
  <c r="N85" i="74"/>
  <c r="I88" i="74"/>
  <c r="G92" i="74"/>
  <c r="F94" i="74"/>
  <c r="M97" i="74"/>
  <c r="J119" i="74"/>
  <c r="F121" i="74"/>
  <c r="N121" i="74"/>
  <c r="J122" i="74"/>
  <c r="F125" i="74"/>
  <c r="N125" i="74"/>
  <c r="J126" i="74"/>
  <c r="F127" i="74"/>
  <c r="N127" i="74"/>
  <c r="J128" i="74"/>
  <c r="F131" i="74"/>
  <c r="N131" i="74"/>
  <c r="J133" i="74"/>
  <c r="K57" i="74"/>
  <c r="D83" i="74"/>
  <c r="H83" i="74"/>
  <c r="H85" i="74"/>
  <c r="D87" i="74"/>
  <c r="L87" i="74"/>
  <c r="H88" i="74"/>
  <c r="D91" i="74"/>
  <c r="L91" i="74"/>
  <c r="H92" i="74"/>
  <c r="D93" i="74"/>
  <c r="L93" i="74"/>
  <c r="H94" i="74"/>
  <c r="D97" i="74"/>
  <c r="L97" i="74"/>
  <c r="H99" i="74"/>
  <c r="D49" i="74"/>
  <c r="H49" i="74"/>
  <c r="H51" i="74"/>
  <c r="D53" i="74"/>
  <c r="L53" i="74"/>
  <c r="H54" i="74"/>
  <c r="D57" i="74"/>
  <c r="L57" i="74"/>
  <c r="H58" i="74"/>
  <c r="D59" i="74"/>
  <c r="L59" i="74"/>
  <c r="H60" i="74"/>
  <c r="D63" i="74"/>
  <c r="L63" i="74"/>
  <c r="H65" i="74"/>
  <c r="O49" i="74"/>
  <c r="E53" i="74"/>
  <c r="E57" i="74"/>
  <c r="M59" i="74"/>
  <c r="I65" i="74"/>
  <c r="N83" i="74"/>
  <c r="F83" i="74"/>
  <c r="J85" i="74"/>
  <c r="F87" i="74"/>
  <c r="N87" i="74"/>
  <c r="J88" i="74"/>
  <c r="F91" i="74"/>
  <c r="N91" i="74"/>
  <c r="J92" i="74"/>
  <c r="F93" i="74"/>
  <c r="N93" i="74"/>
  <c r="J94" i="74"/>
  <c r="F97" i="74"/>
  <c r="N97" i="74"/>
  <c r="J99" i="74"/>
  <c r="N49" i="74"/>
  <c r="F49" i="74"/>
  <c r="J51" i="74"/>
  <c r="F53" i="74"/>
  <c r="N53" i="74"/>
  <c r="J54" i="74"/>
  <c r="F57" i="74"/>
  <c r="N57" i="74"/>
  <c r="J58" i="74"/>
  <c r="F59" i="74"/>
  <c r="N59" i="74"/>
  <c r="J60" i="74"/>
  <c r="F63" i="74"/>
  <c r="N63" i="74"/>
  <c r="J65" i="74"/>
  <c r="G49" i="74"/>
  <c r="M53" i="74"/>
  <c r="M57" i="74"/>
  <c r="I58" i="74"/>
  <c r="I60" i="74"/>
  <c r="E63" i="74"/>
  <c r="M83" i="74"/>
  <c r="E83" i="74"/>
  <c r="K85" i="74"/>
  <c r="G87" i="74"/>
  <c r="O87" i="74"/>
  <c r="K88" i="74"/>
  <c r="G91" i="74"/>
  <c r="O91" i="74"/>
  <c r="K92" i="74"/>
  <c r="G93" i="74"/>
  <c r="O93" i="74"/>
  <c r="K94" i="74"/>
  <c r="G97" i="74"/>
  <c r="O97" i="74"/>
  <c r="K99" i="74"/>
  <c r="M49" i="74"/>
  <c r="E49" i="74"/>
  <c r="K51" i="74"/>
  <c r="G53" i="74"/>
  <c r="O53" i="74"/>
  <c r="K54" i="74"/>
  <c r="G57" i="74"/>
  <c r="O57" i="74"/>
  <c r="K58" i="74"/>
  <c r="G59" i="74"/>
  <c r="O59" i="74"/>
  <c r="K60" i="74"/>
  <c r="G63" i="74"/>
  <c r="O63" i="74"/>
  <c r="K65" i="74"/>
  <c r="L83" i="74"/>
  <c r="D85" i="74"/>
  <c r="L85" i="74"/>
  <c r="H87" i="74"/>
  <c r="D88" i="74"/>
  <c r="L88" i="74"/>
  <c r="H91" i="74"/>
  <c r="D92" i="74"/>
  <c r="L92" i="74"/>
  <c r="H93" i="74"/>
  <c r="D94" i="74"/>
  <c r="L94" i="74"/>
  <c r="H97" i="74"/>
  <c r="D99" i="74"/>
  <c r="L99" i="74"/>
  <c r="L49" i="74"/>
  <c r="D51" i="74"/>
  <c r="L51" i="74"/>
  <c r="H53" i="74"/>
  <c r="D54" i="74"/>
  <c r="L54" i="74"/>
  <c r="H57" i="74"/>
  <c r="D58" i="74"/>
  <c r="L58" i="74"/>
  <c r="H59" i="74"/>
  <c r="D60" i="74"/>
  <c r="L60" i="74"/>
  <c r="H63" i="74"/>
  <c r="D65" i="74"/>
  <c r="L65" i="74"/>
  <c r="I51" i="74"/>
  <c r="I54" i="74"/>
  <c r="E59" i="74"/>
  <c r="M63" i="74"/>
  <c r="K83" i="74"/>
  <c r="E85" i="74"/>
  <c r="M85" i="74"/>
  <c r="I87" i="74"/>
  <c r="E88" i="74"/>
  <c r="M88" i="74"/>
  <c r="I91" i="74"/>
  <c r="E92" i="74"/>
  <c r="M92" i="74"/>
  <c r="I93" i="74"/>
  <c r="E94" i="74"/>
  <c r="M94" i="74"/>
  <c r="I97" i="74"/>
  <c r="E99" i="74"/>
  <c r="K49" i="74"/>
  <c r="E51" i="74"/>
  <c r="M51" i="74"/>
  <c r="I53" i="74"/>
  <c r="E54" i="74"/>
  <c r="M54" i="74"/>
  <c r="I57" i="74"/>
  <c r="E58" i="74"/>
  <c r="M58" i="74"/>
  <c r="I59" i="74"/>
  <c r="E60" i="74"/>
  <c r="M60" i="74"/>
  <c r="I63" i="74"/>
  <c r="E65" i="74"/>
  <c r="M65" i="74"/>
  <c r="J49" i="74"/>
  <c r="F51" i="74"/>
  <c r="N51" i="74"/>
  <c r="J53" i="74"/>
  <c r="F54" i="74"/>
  <c r="N54" i="74"/>
  <c r="J57" i="74"/>
  <c r="F58" i="74"/>
  <c r="N58" i="74"/>
  <c r="J59" i="74"/>
  <c r="F60" i="74"/>
  <c r="N60" i="74"/>
  <c r="J63" i="74"/>
  <c r="F65" i="74"/>
  <c r="N65" i="74"/>
  <c r="I49" i="74"/>
  <c r="G51" i="74"/>
  <c r="O51" i="74"/>
  <c r="K53" i="74"/>
  <c r="G54" i="74"/>
  <c r="O54" i="74"/>
  <c r="G58" i="74"/>
  <c r="O58" i="74"/>
  <c r="K59" i="74"/>
  <c r="G60" i="74"/>
  <c r="O60" i="74"/>
  <c r="K63" i="74"/>
  <c r="G65" i="74"/>
  <c r="Q345" i="77"/>
  <c r="G351" i="77"/>
  <c r="G357" i="77" s="1"/>
  <c r="O351" i="77"/>
  <c r="O357" i="77" s="1"/>
  <c r="P351" i="77"/>
  <c r="P357" i="77" s="1"/>
  <c r="I351" i="77"/>
  <c r="I357" i="77" s="1"/>
  <c r="L351" i="77"/>
  <c r="L357" i="77" s="1"/>
  <c r="K351" i="77"/>
  <c r="K357" i="77" s="1"/>
  <c r="E351" i="77"/>
  <c r="E357" i="77" s="1"/>
  <c r="M351" i="77"/>
  <c r="M357" i="77" s="1"/>
  <c r="Q339" i="77"/>
  <c r="J351" i="77"/>
  <c r="J357" i="77" s="1"/>
  <c r="F351" i="77"/>
  <c r="F357" i="77" s="1"/>
  <c r="N351" i="77"/>
  <c r="N357" i="77" s="1"/>
  <c r="H345" i="77"/>
  <c r="H351" i="77" s="1"/>
  <c r="H357" i="77" s="1"/>
  <c r="Q349" i="77"/>
  <c r="K258" i="74" l="1"/>
  <c r="L258" i="74"/>
  <c r="R24" i="76"/>
  <c r="D258" i="74"/>
  <c r="R23" i="76"/>
  <c r="P369" i="74"/>
  <c r="P375" i="74" s="1"/>
  <c r="Q413" i="74" s="1"/>
  <c r="R20" i="76"/>
  <c r="L62" i="76"/>
  <c r="L200" i="76" s="1"/>
  <c r="R26" i="76"/>
  <c r="R29" i="76"/>
  <c r="R19" i="76"/>
  <c r="R15" i="76"/>
  <c r="L61" i="76"/>
  <c r="L199" i="76" s="1"/>
  <c r="R25" i="76"/>
  <c r="R17" i="76"/>
  <c r="P128" i="74"/>
  <c r="H258" i="74"/>
  <c r="P263" i="74"/>
  <c r="P195" i="74"/>
  <c r="P228" i="74"/>
  <c r="P60" i="74"/>
  <c r="P194" i="74"/>
  <c r="P127" i="74"/>
  <c r="P161" i="74"/>
  <c r="P229" i="74"/>
  <c r="P162" i="74"/>
  <c r="P59" i="74"/>
  <c r="P93" i="74"/>
  <c r="P94" i="74"/>
  <c r="P262" i="74"/>
  <c r="R31" i="76"/>
  <c r="K190" i="74"/>
  <c r="G258" i="74"/>
  <c r="N258" i="74"/>
  <c r="Q27" i="76"/>
  <c r="L27" i="76"/>
  <c r="N27" i="76"/>
  <c r="M27" i="76"/>
  <c r="Q212" i="77"/>
  <c r="P27" i="76"/>
  <c r="O27" i="76"/>
  <c r="K224" i="74"/>
  <c r="I224" i="74"/>
  <c r="L224" i="74"/>
  <c r="M230" i="74"/>
  <c r="H224" i="74"/>
  <c r="J224" i="74"/>
  <c r="F224" i="74"/>
  <c r="J258" i="74"/>
  <c r="H190" i="74"/>
  <c r="G224" i="74"/>
  <c r="O224" i="74"/>
  <c r="J230" i="74"/>
  <c r="I230" i="74"/>
  <c r="L230" i="74"/>
  <c r="O89" i="74"/>
  <c r="N230" i="74"/>
  <c r="J89" i="74"/>
  <c r="O264" i="74"/>
  <c r="K157" i="74"/>
  <c r="L264" i="74"/>
  <c r="K230" i="74"/>
  <c r="I190" i="74"/>
  <c r="E230" i="74"/>
  <c r="L190" i="74"/>
  <c r="J190" i="74"/>
  <c r="F157" i="74"/>
  <c r="I258" i="74"/>
  <c r="F258" i="74"/>
  <c r="M157" i="74"/>
  <c r="P227" i="74"/>
  <c r="P223" i="74"/>
  <c r="H230" i="74"/>
  <c r="E157" i="74"/>
  <c r="G264" i="74"/>
  <c r="H264" i="74"/>
  <c r="O258" i="74"/>
  <c r="K264" i="74"/>
  <c r="L196" i="74"/>
  <c r="P254" i="74"/>
  <c r="P256" i="74"/>
  <c r="P220" i="74"/>
  <c r="P252" i="74"/>
  <c r="I264" i="74"/>
  <c r="P257" i="74"/>
  <c r="N264" i="74"/>
  <c r="F264" i="74"/>
  <c r="K163" i="74"/>
  <c r="J163" i="74"/>
  <c r="O157" i="74"/>
  <c r="M196" i="74"/>
  <c r="G157" i="74"/>
  <c r="E196" i="74"/>
  <c r="P266" i="74"/>
  <c r="M258" i="74"/>
  <c r="L157" i="74"/>
  <c r="P268" i="74"/>
  <c r="M264" i="74"/>
  <c r="E258" i="74"/>
  <c r="P260" i="74"/>
  <c r="D264" i="74"/>
  <c r="E264" i="74"/>
  <c r="L163" i="74"/>
  <c r="J264" i="74"/>
  <c r="P261" i="74"/>
  <c r="P232" i="74"/>
  <c r="F230" i="74"/>
  <c r="P226" i="74"/>
  <c r="D230" i="74"/>
  <c r="N89" i="74"/>
  <c r="O230" i="74"/>
  <c r="M224" i="74"/>
  <c r="H163" i="74"/>
  <c r="P222" i="74"/>
  <c r="D224" i="74"/>
  <c r="G230" i="74"/>
  <c r="E224" i="74"/>
  <c r="P234" i="74"/>
  <c r="P218" i="74"/>
  <c r="N224" i="74"/>
  <c r="K196" i="74"/>
  <c r="H196" i="74"/>
  <c r="H202" i="74" s="1"/>
  <c r="H208" i="74" s="1"/>
  <c r="F196" i="74"/>
  <c r="P192" i="74"/>
  <c r="D196" i="74"/>
  <c r="P189" i="74"/>
  <c r="O196" i="74"/>
  <c r="P198" i="74"/>
  <c r="G196" i="74"/>
  <c r="P200" i="74"/>
  <c r="O190" i="74"/>
  <c r="M190" i="74"/>
  <c r="P193" i="74"/>
  <c r="G190" i="74"/>
  <c r="E190" i="74"/>
  <c r="I196" i="74"/>
  <c r="F190" i="74"/>
  <c r="P188" i="74"/>
  <c r="D190" i="74"/>
  <c r="P186" i="74"/>
  <c r="P184" i="74"/>
  <c r="J196" i="74"/>
  <c r="N190" i="74"/>
  <c r="N196" i="74"/>
  <c r="N157" i="74"/>
  <c r="I157" i="74"/>
  <c r="D163" i="74"/>
  <c r="M163" i="74"/>
  <c r="H157" i="74"/>
  <c r="J157" i="74"/>
  <c r="P153" i="74"/>
  <c r="N163" i="74"/>
  <c r="P151" i="74"/>
  <c r="E163" i="74"/>
  <c r="E169" i="74" s="1"/>
  <c r="E175" i="74" s="1"/>
  <c r="F163" i="74"/>
  <c r="G123" i="74"/>
  <c r="I163" i="74"/>
  <c r="P155" i="74"/>
  <c r="D157" i="74"/>
  <c r="M123" i="74"/>
  <c r="K123" i="74"/>
  <c r="P167" i="74"/>
  <c r="P160" i="74"/>
  <c r="O163" i="74"/>
  <c r="G163" i="74"/>
  <c r="P156" i="74"/>
  <c r="P159" i="74"/>
  <c r="P165" i="74"/>
  <c r="F89" i="74"/>
  <c r="H123" i="74"/>
  <c r="M89" i="74"/>
  <c r="N129" i="74"/>
  <c r="L123" i="74"/>
  <c r="D123" i="74"/>
  <c r="G129" i="74"/>
  <c r="I123" i="74"/>
  <c r="N123" i="74"/>
  <c r="P121" i="74"/>
  <c r="M129" i="74"/>
  <c r="P125" i="74"/>
  <c r="O129" i="74"/>
  <c r="E123" i="74"/>
  <c r="O123" i="74"/>
  <c r="J123" i="74"/>
  <c r="I129" i="74"/>
  <c r="H129" i="74"/>
  <c r="H135" i="74" s="1"/>
  <c r="H141" i="74" s="1"/>
  <c r="P133" i="74"/>
  <c r="L129" i="74"/>
  <c r="P119" i="74"/>
  <c r="K129" i="74"/>
  <c r="F123" i="74"/>
  <c r="E129" i="74"/>
  <c r="P117" i="74"/>
  <c r="D129" i="74"/>
  <c r="F129" i="74"/>
  <c r="P131" i="74"/>
  <c r="I89" i="74"/>
  <c r="G89" i="74"/>
  <c r="J129" i="74"/>
  <c r="K89" i="74"/>
  <c r="P126" i="74"/>
  <c r="P122" i="74"/>
  <c r="F95" i="74"/>
  <c r="H89" i="74"/>
  <c r="E95" i="74"/>
  <c r="H95" i="74"/>
  <c r="I95" i="74"/>
  <c r="P99" i="74"/>
  <c r="M95" i="74"/>
  <c r="K95" i="74"/>
  <c r="P88" i="74"/>
  <c r="P97" i="74"/>
  <c r="D89" i="74"/>
  <c r="P87" i="74"/>
  <c r="P83" i="74"/>
  <c r="N95" i="74"/>
  <c r="L89" i="74"/>
  <c r="O95" i="74"/>
  <c r="P92" i="74"/>
  <c r="G95" i="74"/>
  <c r="P85" i="74"/>
  <c r="L95" i="74"/>
  <c r="E89" i="74"/>
  <c r="P91" i="74"/>
  <c r="D95" i="74"/>
  <c r="J95" i="74"/>
  <c r="J101" i="74" s="1"/>
  <c r="J107" i="74" s="1"/>
  <c r="L61" i="74"/>
  <c r="H61" i="74"/>
  <c r="D61" i="74"/>
  <c r="F61" i="74"/>
  <c r="K61" i="74"/>
  <c r="I61" i="74"/>
  <c r="J61" i="74"/>
  <c r="O61" i="74"/>
  <c r="G61" i="74"/>
  <c r="N61" i="74"/>
  <c r="M61" i="74"/>
  <c r="E61" i="74"/>
  <c r="Q351" i="77"/>
  <c r="Q357" i="77" s="1"/>
  <c r="I236" i="74" l="1"/>
  <c r="I242" i="74" s="1"/>
  <c r="L270" i="74"/>
  <c r="L276" i="74" s="1"/>
  <c r="K270" i="74"/>
  <c r="K276" i="74" s="1"/>
  <c r="N270" i="74"/>
  <c r="N276" i="74" s="1"/>
  <c r="K202" i="74"/>
  <c r="K208" i="74" s="1"/>
  <c r="R62" i="76"/>
  <c r="T62" i="76" s="1"/>
  <c r="R61" i="76"/>
  <c r="T61" i="76" s="1"/>
  <c r="G270" i="74"/>
  <c r="G276" i="74" s="1"/>
  <c r="H270" i="74"/>
  <c r="H276" i="74" s="1"/>
  <c r="P129" i="74"/>
  <c r="R21" i="76"/>
  <c r="R27" i="76"/>
  <c r="K236" i="74"/>
  <c r="K242" i="74" s="1"/>
  <c r="L236" i="74"/>
  <c r="L242" i="74" s="1"/>
  <c r="F236" i="74"/>
  <c r="F242" i="74" s="1"/>
  <c r="N236" i="74"/>
  <c r="N242" i="74" s="1"/>
  <c r="J270" i="74"/>
  <c r="J276" i="74" s="1"/>
  <c r="M236" i="74"/>
  <c r="M242" i="74" s="1"/>
  <c r="G236" i="74"/>
  <c r="G242" i="74" s="1"/>
  <c r="P258" i="74"/>
  <c r="J236" i="74"/>
  <c r="J242" i="74" s="1"/>
  <c r="H236" i="74"/>
  <c r="H242" i="74" s="1"/>
  <c r="O236" i="74"/>
  <c r="O242" i="74" s="1"/>
  <c r="L202" i="74"/>
  <c r="L208" i="74" s="1"/>
  <c r="F169" i="74"/>
  <c r="F175" i="74" s="1"/>
  <c r="O101" i="74"/>
  <c r="O107" i="74" s="1"/>
  <c r="O270" i="74"/>
  <c r="O276" i="74" s="1"/>
  <c r="K169" i="74"/>
  <c r="K175" i="74" s="1"/>
  <c r="E236" i="74"/>
  <c r="E242" i="74" s="1"/>
  <c r="M169" i="74"/>
  <c r="M175" i="74" s="1"/>
  <c r="N101" i="74"/>
  <c r="N107" i="74" s="1"/>
  <c r="P230" i="74"/>
  <c r="I202" i="74"/>
  <c r="I208" i="74" s="1"/>
  <c r="P224" i="74"/>
  <c r="L169" i="74"/>
  <c r="L175" i="74" s="1"/>
  <c r="F270" i="74"/>
  <c r="F276" i="74" s="1"/>
  <c r="J169" i="74"/>
  <c r="J175" i="74" s="1"/>
  <c r="I169" i="74"/>
  <c r="I175" i="74" s="1"/>
  <c r="J202" i="74"/>
  <c r="J208" i="74" s="1"/>
  <c r="O169" i="74"/>
  <c r="O175" i="74" s="1"/>
  <c r="G169" i="74"/>
  <c r="G175" i="74" s="1"/>
  <c r="I270" i="74"/>
  <c r="I276" i="74" s="1"/>
  <c r="E202" i="74"/>
  <c r="E208" i="74" s="1"/>
  <c r="E270" i="74"/>
  <c r="E276" i="74" s="1"/>
  <c r="D270" i="74"/>
  <c r="D276" i="74" s="1"/>
  <c r="M270" i="74"/>
  <c r="M276" i="74" s="1"/>
  <c r="G202" i="74"/>
  <c r="G208" i="74" s="1"/>
  <c r="M202" i="74"/>
  <c r="M208" i="74" s="1"/>
  <c r="D236" i="74"/>
  <c r="D242" i="74" s="1"/>
  <c r="O202" i="74"/>
  <c r="O208" i="74" s="1"/>
  <c r="P264" i="74"/>
  <c r="N202" i="74"/>
  <c r="N208" i="74" s="1"/>
  <c r="F202" i="74"/>
  <c r="F208" i="74" s="1"/>
  <c r="N169" i="74"/>
  <c r="N175" i="74" s="1"/>
  <c r="H169" i="74"/>
  <c r="H175" i="74" s="1"/>
  <c r="F101" i="74"/>
  <c r="F107" i="74" s="1"/>
  <c r="D202" i="74"/>
  <c r="D208" i="74" s="1"/>
  <c r="O135" i="74"/>
  <c r="O141" i="74" s="1"/>
  <c r="D169" i="74"/>
  <c r="D175" i="74" s="1"/>
  <c r="P190" i="74"/>
  <c r="P196" i="74"/>
  <c r="F135" i="74"/>
  <c r="F141" i="74" s="1"/>
  <c r="G135" i="74"/>
  <c r="G141" i="74" s="1"/>
  <c r="P163" i="74"/>
  <c r="M135" i="74"/>
  <c r="M141" i="74" s="1"/>
  <c r="K135" i="74"/>
  <c r="K141" i="74" s="1"/>
  <c r="J135" i="74"/>
  <c r="J141" i="74" s="1"/>
  <c r="P157" i="74"/>
  <c r="M101" i="74"/>
  <c r="M107" i="74" s="1"/>
  <c r="L135" i="74"/>
  <c r="L141" i="74" s="1"/>
  <c r="P123" i="74"/>
  <c r="D135" i="74"/>
  <c r="D141" i="74" s="1"/>
  <c r="I101" i="74"/>
  <c r="I107" i="74" s="1"/>
  <c r="I135" i="74"/>
  <c r="I141" i="74" s="1"/>
  <c r="N135" i="74"/>
  <c r="N141" i="74" s="1"/>
  <c r="E135" i="74"/>
  <c r="E141" i="74" s="1"/>
  <c r="G101" i="74"/>
  <c r="G107" i="74" s="1"/>
  <c r="K101" i="74"/>
  <c r="K107" i="74" s="1"/>
  <c r="P89" i="74"/>
  <c r="E101" i="74"/>
  <c r="E107" i="74" s="1"/>
  <c r="H101" i="74"/>
  <c r="H107" i="74" s="1"/>
  <c r="P95" i="74"/>
  <c r="D101" i="74"/>
  <c r="D107" i="74" s="1"/>
  <c r="L101" i="74"/>
  <c r="L107" i="74" s="1"/>
  <c r="F25" i="76" l="1"/>
  <c r="Q25" i="10" s="1"/>
  <c r="E26" i="76"/>
  <c r="R200" i="76"/>
  <c r="R199" i="76"/>
  <c r="P270" i="74"/>
  <c r="P276" i="74" s="1"/>
  <c r="P236" i="74"/>
  <c r="P242" i="74" s="1"/>
  <c r="P202" i="74"/>
  <c r="P208" i="74" s="1"/>
  <c r="P169" i="74"/>
  <c r="P175" i="74" s="1"/>
  <c r="P135" i="74"/>
  <c r="P141" i="74" s="1"/>
  <c r="P101" i="74"/>
  <c r="P107" i="74" s="1"/>
  <c r="D25" i="76" l="1"/>
  <c r="D26" i="76"/>
  <c r="F26" i="76"/>
  <c r="Q26" i="10" s="1"/>
  <c r="E25" i="76"/>
  <c r="O27" i="74"/>
  <c r="I27" i="74"/>
  <c r="L27" i="74"/>
  <c r="K27" i="74"/>
  <c r="F27" i="74"/>
  <c r="M27" i="74"/>
  <c r="J27" i="74"/>
  <c r="N27" i="74"/>
  <c r="E27" i="74"/>
  <c r="G27" i="74"/>
  <c r="H27" i="74"/>
  <c r="J26" i="76" l="1"/>
  <c r="T26" i="76" s="1"/>
  <c r="J25" i="76"/>
  <c r="T25" i="76" s="1"/>
  <c r="R24" i="44"/>
  <c r="D27" i="74"/>
  <c r="O133" i="75" l="1" a="1"/>
  <c r="O133" i="75" s="1"/>
  <c r="M133" i="75" a="1"/>
  <c r="M133" i="75" s="1"/>
  <c r="L133" i="75" a="1"/>
  <c r="L133" i="75" s="1"/>
  <c r="K133" i="75" a="1"/>
  <c r="K133" i="75" s="1"/>
  <c r="N133" i="75" a="1"/>
  <c r="N133" i="75" s="1"/>
  <c r="N132" i="75" a="1"/>
  <c r="N132" i="75" s="1"/>
  <c r="H133" i="75" a="1"/>
  <c r="H133" i="75" s="1"/>
  <c r="E133" i="75" a="1"/>
  <c r="E133" i="75" s="1"/>
  <c r="G133" i="75" a="1"/>
  <c r="G133" i="75" s="1"/>
  <c r="D133" i="75" a="1"/>
  <c r="D133" i="75" s="1"/>
  <c r="O132" i="75" a="1"/>
  <c r="O132" i="75" s="1"/>
  <c r="F133" i="75" a="1"/>
  <c r="F133" i="75" s="1"/>
  <c r="J133" i="75" a="1"/>
  <c r="J133" i="75" s="1"/>
  <c r="D132" i="75" a="1"/>
  <c r="D132" i="75" s="1"/>
  <c r="G132" i="75" a="1"/>
  <c r="G132" i="75" s="1"/>
  <c r="J132" i="75" a="1"/>
  <c r="J132" i="75" s="1"/>
  <c r="M132" i="75" a="1"/>
  <c r="M132" i="75" s="1"/>
  <c r="I133" i="75" a="1"/>
  <c r="I133" i="75" s="1"/>
  <c r="I132" i="75" a="1"/>
  <c r="I132" i="75" s="1"/>
  <c r="L132" i="75" a="1"/>
  <c r="L132" i="75" s="1"/>
  <c r="K132" i="75" a="1"/>
  <c r="K132" i="75" s="1"/>
  <c r="H132" i="75" a="1"/>
  <c r="H132" i="75" s="1"/>
  <c r="N128" i="75" a="1"/>
  <c r="N128" i="75" s="1"/>
  <c r="J128" i="75" a="1"/>
  <c r="J128" i="75" s="1"/>
  <c r="I128" i="75" a="1"/>
  <c r="I128" i="75" s="1"/>
  <c r="K128" i="75" a="1"/>
  <c r="K128" i="75" s="1"/>
  <c r="L128" i="75" a="1"/>
  <c r="L128" i="75" s="1"/>
  <c r="M128" i="75" a="1"/>
  <c r="M128" i="75" s="1"/>
  <c r="O128" i="75" a="1"/>
  <c r="O128" i="75" s="1"/>
  <c r="F132" i="75" a="1"/>
  <c r="F132" i="75" s="1"/>
  <c r="F128" i="75" a="1"/>
  <c r="F128" i="75" s="1"/>
  <c r="E128" i="75" a="1"/>
  <c r="E128" i="75" s="1"/>
  <c r="L126" i="75" a="1"/>
  <c r="L126" i="75" s="1"/>
  <c r="D128" i="75" a="1"/>
  <c r="D128" i="75" s="1"/>
  <c r="K126" i="75" a="1"/>
  <c r="K126" i="75" s="1"/>
  <c r="E132" i="75" a="1"/>
  <c r="E132" i="75" s="1"/>
  <c r="H128" i="75" a="1"/>
  <c r="H128" i="75" s="1"/>
  <c r="G128" i="75" a="1"/>
  <c r="G128" i="75" s="1"/>
  <c r="O126" i="75" a="1"/>
  <c r="O126" i="75" s="1"/>
  <c r="J126" i="75" a="1"/>
  <c r="J126" i="75" s="1"/>
  <c r="F126" i="75" a="1"/>
  <c r="F126" i="75" s="1"/>
  <c r="N126" i="75" a="1"/>
  <c r="N126" i="75" s="1"/>
  <c r="E126" i="75" a="1"/>
  <c r="E126" i="75" s="1"/>
  <c r="I126" i="75" a="1"/>
  <c r="I126" i="75" s="1"/>
  <c r="H126" i="75" a="1"/>
  <c r="H126" i="75" s="1"/>
  <c r="O123" i="75" a="1"/>
  <c r="O123" i="75" s="1"/>
  <c r="G126" i="75" a="1"/>
  <c r="G126" i="75" s="1"/>
  <c r="D126" i="75" a="1"/>
  <c r="D126" i="75" s="1"/>
  <c r="M126" i="75" a="1"/>
  <c r="M126" i="75" s="1"/>
  <c r="E123" i="75" a="1"/>
  <c r="E123" i="75" s="1"/>
  <c r="M123" i="75" a="1"/>
  <c r="M123" i="75" s="1"/>
  <c r="L123" i="75" a="1"/>
  <c r="L123" i="75" s="1"/>
  <c r="J123" i="75" a="1"/>
  <c r="J123" i="75" s="1"/>
  <c r="O122" i="75" a="1"/>
  <c r="O122" i="75" s="1"/>
  <c r="H123" i="75" a="1"/>
  <c r="H123" i="75" s="1"/>
  <c r="N122" i="75" a="1"/>
  <c r="N122" i="75" s="1"/>
  <c r="D123" i="75" a="1"/>
  <c r="D123" i="75" s="1"/>
  <c r="K123" i="75" a="1"/>
  <c r="K123" i="75" s="1"/>
  <c r="G123" i="75" a="1"/>
  <c r="G123" i="75" s="1"/>
  <c r="N123" i="75" a="1"/>
  <c r="N123" i="75" s="1"/>
  <c r="F123" i="75" a="1"/>
  <c r="F123" i="75" s="1"/>
  <c r="I123" i="75" a="1"/>
  <c r="I123" i="75" s="1"/>
  <c r="G122" i="75" a="1"/>
  <c r="G122" i="75" s="1"/>
  <c r="M122" i="75" a="1"/>
  <c r="M122" i="75" s="1"/>
  <c r="H122" i="75" a="1"/>
  <c r="H122" i="75" s="1"/>
  <c r="L122" i="75" a="1"/>
  <c r="L122" i="75" s="1"/>
  <c r="K122" i="75" a="1"/>
  <c r="K122" i="75" s="1"/>
  <c r="I122" i="75" a="1"/>
  <c r="I122" i="75" s="1"/>
  <c r="J122" i="75" a="1"/>
  <c r="J122" i="75" s="1"/>
  <c r="D122" i="75" a="1"/>
  <c r="D122" i="75" s="1"/>
  <c r="I121" i="75" a="1"/>
  <c r="I121" i="75" s="1"/>
  <c r="N121" i="75" a="1"/>
  <c r="N121" i="75" s="1"/>
  <c r="L121" i="75" a="1"/>
  <c r="L121" i="75" s="1"/>
  <c r="J121" i="75" a="1"/>
  <c r="J121" i="75" s="1"/>
  <c r="K121" i="75" a="1"/>
  <c r="K121" i="75" s="1"/>
  <c r="O121" i="75" a="1"/>
  <c r="O121" i="75" s="1"/>
  <c r="F122" i="75" a="1"/>
  <c r="F122" i="75" s="1"/>
  <c r="M121" i="75" a="1"/>
  <c r="M121" i="75" s="1"/>
  <c r="L120" i="75" a="1"/>
  <c r="L120" i="75" s="1"/>
  <c r="D121" i="75" a="1"/>
  <c r="D121" i="75" s="1"/>
  <c r="G121" i="75" a="1"/>
  <c r="G121" i="75" s="1"/>
  <c r="E122" i="75" a="1"/>
  <c r="E122" i="75" s="1"/>
  <c r="H121" i="75" a="1"/>
  <c r="H121" i="75" s="1"/>
  <c r="O120" i="75" a="1"/>
  <c r="O120" i="75" s="1"/>
  <c r="F121" i="75" a="1"/>
  <c r="F121" i="75" s="1"/>
  <c r="K120" i="75" a="1"/>
  <c r="K120" i="75" s="1"/>
  <c r="E121" i="75" a="1"/>
  <c r="E121" i="75" s="1"/>
  <c r="H120" i="75" a="1"/>
  <c r="H120" i="75" s="1"/>
  <c r="N120" i="75" a="1"/>
  <c r="N120" i="75" s="1"/>
  <c r="D120" i="75" a="1"/>
  <c r="D120" i="75" s="1"/>
  <c r="J120" i="75" a="1"/>
  <c r="J120" i="75" s="1"/>
  <c r="I120" i="75" a="1"/>
  <c r="I120" i="75" s="1"/>
  <c r="G120" i="75" a="1"/>
  <c r="G120" i="75" s="1"/>
  <c r="F120" i="75" a="1"/>
  <c r="F120" i="75" s="1"/>
  <c r="E120" i="75" a="1"/>
  <c r="E120" i="75" s="1"/>
  <c r="M120" i="75" a="1"/>
  <c r="M120" i="75" s="1"/>
  <c r="I117" i="75" a="1"/>
  <c r="I117" i="75" s="1"/>
  <c r="N117" i="75" a="1"/>
  <c r="N117" i="75" s="1"/>
  <c r="L117" i="75" a="1"/>
  <c r="L117" i="75" s="1"/>
  <c r="O117" i="75" a="1"/>
  <c r="O117" i="75" s="1"/>
  <c r="M117" i="75" a="1"/>
  <c r="M117" i="75" s="1"/>
  <c r="J117" i="75" a="1"/>
  <c r="J117" i="75" s="1"/>
  <c r="H117" i="75" a="1"/>
  <c r="H117" i="75" s="1"/>
  <c r="K117" i="75" a="1"/>
  <c r="K117" i="75" s="1"/>
  <c r="F117" i="75" a="1"/>
  <c r="F117" i="75" s="1"/>
  <c r="G117" i="75" a="1"/>
  <c r="G117" i="75" s="1"/>
  <c r="L17" i="75" a="1"/>
  <c r="L17" i="75" s="1"/>
  <c r="F17" i="75" a="1"/>
  <c r="F17" i="75" s="1"/>
  <c r="N94" i="75" a="1"/>
  <c r="N94" i="75" s="1"/>
  <c r="J90" i="75" a="1"/>
  <c r="J90" i="75" s="1"/>
  <c r="O15" i="75" a="1"/>
  <c r="O15" i="75" s="1"/>
  <c r="M19" i="75" a="1"/>
  <c r="M19" i="75" s="1"/>
  <c r="O112" i="75" a="1"/>
  <c r="O112" i="75" s="1"/>
  <c r="K17" i="75" a="1"/>
  <c r="K17" i="75" s="1"/>
  <c r="N15" i="75" a="1"/>
  <c r="N15" i="75" s="1"/>
  <c r="H84" i="75" a="1"/>
  <c r="H84" i="75" s="1"/>
  <c r="I57" i="75" a="1"/>
  <c r="I57" i="75" s="1"/>
  <c r="J57" i="75" a="1"/>
  <c r="J57" i="75" s="1"/>
  <c r="N17" i="75" a="1"/>
  <c r="N17" i="75" s="1"/>
  <c r="M17" i="75" a="1"/>
  <c r="M17" i="75" s="1"/>
  <c r="M15" i="75" a="1"/>
  <c r="M15" i="75" s="1"/>
  <c r="D17" i="75" a="1"/>
  <c r="D17" i="75" s="1"/>
  <c r="J17" i="75" a="1"/>
  <c r="J17" i="75" s="1"/>
  <c r="I84" i="75" a="1"/>
  <c r="I84" i="75" s="1"/>
  <c r="E17" i="75" a="1"/>
  <c r="E17" i="75" s="1"/>
  <c r="L56" i="75" a="1"/>
  <c r="L56" i="75" s="1"/>
  <c r="I15" i="75" a="1"/>
  <c r="I15" i="75" s="1"/>
  <c r="D15" i="75" a="1"/>
  <c r="D15" i="75" s="1"/>
  <c r="G15" i="75" a="1"/>
  <c r="G15" i="75" s="1"/>
  <c r="I17" i="75" a="1"/>
  <c r="I17" i="75" s="1"/>
  <c r="E58" i="75" a="1"/>
  <c r="E58" i="75" s="1"/>
  <c r="G84" i="75" a="1"/>
  <c r="G84" i="75" s="1"/>
  <c r="L15" i="75" a="1"/>
  <c r="L15" i="75" s="1"/>
  <c r="H57" i="75" a="1"/>
  <c r="H57" i="75" s="1"/>
  <c r="G57" i="75" a="1"/>
  <c r="G57" i="75" s="1"/>
  <c r="H15" i="75" a="1"/>
  <c r="H15" i="75" s="1"/>
  <c r="N84" i="75" a="1"/>
  <c r="N84" i="75" s="1"/>
  <c r="F57" i="75" a="1"/>
  <c r="F57" i="75" s="1"/>
  <c r="K15" i="75" a="1"/>
  <c r="K15" i="75" s="1"/>
  <c r="J15" i="75" a="1"/>
  <c r="J15" i="75" s="1"/>
  <c r="I90" i="75" a="1"/>
  <c r="I90" i="75" s="1"/>
  <c r="O56" i="75" a="1"/>
  <c r="O56" i="75" s="1"/>
  <c r="H90" i="75" a="1"/>
  <c r="H90" i="75" s="1"/>
  <c r="E57" i="75" a="1"/>
  <c r="E57" i="75" s="1"/>
  <c r="E84" i="75" a="1"/>
  <c r="E84" i="75" s="1"/>
  <c r="J56" i="75" a="1"/>
  <c r="J56" i="75" s="1"/>
  <c r="F84" i="75" a="1"/>
  <c r="F84" i="75" s="1"/>
  <c r="F15" i="75" a="1"/>
  <c r="F15" i="75" s="1"/>
  <c r="D57" i="75" a="1"/>
  <c r="D57" i="75" s="1"/>
  <c r="H56" i="75" a="1"/>
  <c r="H56" i="75" s="1"/>
  <c r="E112" i="75" a="1"/>
  <c r="E112" i="75" s="1"/>
  <c r="K56" i="75" a="1"/>
  <c r="K56" i="75" s="1"/>
  <c r="I56" i="75" a="1"/>
  <c r="I56" i="75" s="1"/>
  <c r="M94" i="75" a="1"/>
  <c r="M94" i="75" s="1"/>
  <c r="E15" i="75" a="1"/>
  <c r="E15" i="75" s="1"/>
  <c r="G90" i="75" a="1"/>
  <c r="G90" i="75" s="1"/>
  <c r="D84" i="75" a="1"/>
  <c r="D84" i="75" s="1"/>
  <c r="N56" i="75" a="1"/>
  <c r="N56" i="75" s="1"/>
  <c r="N90" i="75" a="1"/>
  <c r="N90" i="75" s="1"/>
  <c r="L94" i="75" a="1"/>
  <c r="L94" i="75" s="1"/>
  <c r="G56" i="75" a="1"/>
  <c r="G56" i="75" s="1"/>
  <c r="K112" i="75" a="1"/>
  <c r="K112" i="75" s="1"/>
  <c r="F56" i="75" a="1"/>
  <c r="F56" i="75" s="1"/>
  <c r="E56" i="75" a="1"/>
  <c r="E56" i="75" s="1"/>
  <c r="N53" i="75" a="1"/>
  <c r="N53" i="75" s="1"/>
  <c r="J114" i="75" a="1"/>
  <c r="J114" i="75" s="1"/>
  <c r="N82" i="75" a="1"/>
  <c r="N82" i="75" s="1"/>
  <c r="D56" i="75" a="1"/>
  <c r="D56" i="75" s="1"/>
  <c r="O53" i="75" a="1"/>
  <c r="O53" i="75" s="1"/>
  <c r="H116" i="75" a="1"/>
  <c r="H116" i="75" s="1"/>
  <c r="K94" i="75" a="1"/>
  <c r="K94" i="75" s="1"/>
  <c r="F90" i="75" a="1"/>
  <c r="F90" i="75" s="1"/>
  <c r="O82" i="75" a="1"/>
  <c r="O82" i="75" s="1"/>
  <c r="L82" i="75" a="1"/>
  <c r="L82" i="75" s="1"/>
  <c r="G53" i="75" a="1"/>
  <c r="G53" i="75" s="1"/>
  <c r="H53" i="75" a="1"/>
  <c r="H53" i="75" s="1"/>
  <c r="M82" i="75" a="1"/>
  <c r="M82" i="75" s="1"/>
  <c r="M84" i="75" a="1"/>
  <c r="M84" i="75" s="1"/>
  <c r="K53" i="75" a="1"/>
  <c r="K53" i="75" s="1"/>
  <c r="M53" i="75" a="1"/>
  <c r="M53" i="75" s="1"/>
  <c r="E90" i="75" a="1"/>
  <c r="E90" i="75" s="1"/>
  <c r="F53" i="75" a="1"/>
  <c r="F53" i="75" s="1"/>
  <c r="L53" i="75" a="1"/>
  <c r="L53" i="75" s="1"/>
  <c r="J53" i="75" a="1"/>
  <c r="J53" i="75" s="1"/>
  <c r="E53" i="75" a="1"/>
  <c r="E53" i="75" s="1"/>
  <c r="K82" i="75" a="1"/>
  <c r="K82" i="75" s="1"/>
  <c r="O52" i="75" a="1"/>
  <c r="O52" i="75" s="1"/>
  <c r="J94" i="75" a="1"/>
  <c r="J94" i="75" s="1"/>
  <c r="D90" i="75" a="1"/>
  <c r="D90" i="75" s="1"/>
  <c r="D53" i="75" a="1"/>
  <c r="D53" i="75" s="1"/>
  <c r="K116" i="75" a="1"/>
  <c r="K116" i="75" s="1"/>
  <c r="D112" i="75" a="1"/>
  <c r="D112" i="75" s="1"/>
  <c r="G82" i="75" a="1"/>
  <c r="G82" i="75" s="1"/>
  <c r="H82" i="75" a="1"/>
  <c r="H82" i="75" s="1"/>
  <c r="N52" i="75" a="1"/>
  <c r="N52" i="75" s="1"/>
  <c r="I94" i="75" a="1"/>
  <c r="I94" i="75" s="1"/>
  <c r="J82" i="75" a="1"/>
  <c r="J82" i="75" s="1"/>
  <c r="L52" i="75" a="1"/>
  <c r="L52" i="75" s="1"/>
  <c r="F82" i="75" a="1"/>
  <c r="F82" i="75" s="1"/>
  <c r="M52" i="75" a="1"/>
  <c r="M52" i="75" s="1"/>
  <c r="O89" i="75" a="1"/>
  <c r="O89" i="75" s="1"/>
  <c r="E82" i="75" a="1"/>
  <c r="E82" i="75" s="1"/>
  <c r="D82" i="75" a="1"/>
  <c r="D82" i="75" s="1"/>
  <c r="I96" i="75" a="1"/>
  <c r="I96" i="75" s="1"/>
  <c r="I52" i="75" a="1"/>
  <c r="I52" i="75" s="1"/>
  <c r="N80" i="75" a="1"/>
  <c r="N80" i="75" s="1"/>
  <c r="J52" i="75" a="1"/>
  <c r="J52" i="75" s="1"/>
  <c r="N89" i="75" a="1"/>
  <c r="N89" i="75" s="1"/>
  <c r="I53" i="75" a="1"/>
  <c r="I53" i="75" s="1"/>
  <c r="J112" i="75" a="1"/>
  <c r="J112" i="75" s="1"/>
  <c r="H52" i="75" a="1"/>
  <c r="H52" i="75" s="1"/>
  <c r="G52" i="75" a="1"/>
  <c r="G52" i="75" s="1"/>
  <c r="H94" i="75" a="1"/>
  <c r="H94" i="75" s="1"/>
  <c r="O80" i="75" a="1"/>
  <c r="O80" i="75" s="1"/>
  <c r="I114" i="75" a="1"/>
  <c r="I114" i="75" s="1"/>
  <c r="D52" i="75" a="1"/>
  <c r="D52" i="75" s="1"/>
  <c r="K52" i="75" a="1"/>
  <c r="K52" i="75" s="1"/>
  <c r="O96" i="75" a="1"/>
  <c r="O96" i="75" s="1"/>
  <c r="M56" i="75" a="1"/>
  <c r="M56" i="75" s="1"/>
  <c r="M80" i="75" a="1"/>
  <c r="M80" i="75" s="1"/>
  <c r="G94" i="75" a="1"/>
  <c r="G94" i="75" s="1"/>
  <c r="O50" i="75" a="1"/>
  <c r="O50" i="75" s="1"/>
  <c r="N50" i="75" a="1"/>
  <c r="N50" i="75" s="1"/>
  <c r="L89" i="75" a="1"/>
  <c r="L89" i="75" s="1"/>
  <c r="M89" i="75" a="1"/>
  <c r="M89" i="75" s="1"/>
  <c r="J80" i="75" a="1"/>
  <c r="J80" i="75" s="1"/>
  <c r="L50" i="75" a="1"/>
  <c r="L50" i="75" s="1"/>
  <c r="J50" i="75" a="1"/>
  <c r="J50" i="75" s="1"/>
  <c r="L80" i="75" a="1"/>
  <c r="L80" i="75" s="1"/>
  <c r="M90" i="75" a="1"/>
  <c r="M90" i="75" s="1"/>
  <c r="M50" i="75" a="1"/>
  <c r="M50" i="75" s="1"/>
  <c r="H89" i="75" a="1"/>
  <c r="H89" i="75" s="1"/>
  <c r="K89" i="75" a="1"/>
  <c r="K89" i="75" s="1"/>
  <c r="K50" i="75" a="1"/>
  <c r="K50" i="75" s="1"/>
  <c r="K80" i="75" a="1"/>
  <c r="K80" i="75" s="1"/>
  <c r="D94" i="75" a="1"/>
  <c r="D94" i="75" s="1"/>
  <c r="G89" i="75" a="1"/>
  <c r="G89" i="75" s="1"/>
  <c r="F52" i="75" a="1"/>
  <c r="F52" i="75" s="1"/>
  <c r="O91" i="75" a="1"/>
  <c r="O91" i="75" s="1"/>
  <c r="I50" i="75" a="1"/>
  <c r="I50" i="75" s="1"/>
  <c r="H50" i="75" a="1"/>
  <c r="H50" i="75" s="1"/>
  <c r="G50" i="75" a="1"/>
  <c r="G50" i="75" s="1"/>
  <c r="H80" i="75" a="1"/>
  <c r="H80" i="75" s="1"/>
  <c r="F50" i="75" a="1"/>
  <c r="F50" i="75" s="1"/>
  <c r="G116" i="75" a="1"/>
  <c r="G116" i="75" s="1"/>
  <c r="N96" i="75" a="1"/>
  <c r="N96" i="75" s="1"/>
  <c r="I80" i="75" a="1"/>
  <c r="I80" i="75" s="1"/>
  <c r="I82" i="75" a="1"/>
  <c r="I82" i="75" s="1"/>
  <c r="G80" i="75" a="1"/>
  <c r="G80" i="75" s="1"/>
  <c r="F89" i="75" a="1"/>
  <c r="F89" i="75" s="1"/>
  <c r="E89" i="75" a="1"/>
  <c r="E89" i="75" s="1"/>
  <c r="O64" i="75" a="1"/>
  <c r="O64" i="75" s="1"/>
  <c r="E50" i="75" a="1"/>
  <c r="E50" i="75" s="1"/>
  <c r="J89" i="75" a="1"/>
  <c r="J89" i="75" s="1"/>
  <c r="D50" i="75" a="1"/>
  <c r="D50" i="75" s="1"/>
  <c r="D80" i="75" a="1"/>
  <c r="D80" i="75" s="1"/>
  <c r="L48" i="75" a="1"/>
  <c r="L48" i="75" s="1"/>
  <c r="E52" i="75" a="1"/>
  <c r="E52" i="75" s="1"/>
  <c r="O48" i="75" a="1"/>
  <c r="O48" i="75" s="1"/>
  <c r="D89" i="75" a="1"/>
  <c r="D89" i="75" s="1"/>
  <c r="K48" i="75" a="1"/>
  <c r="K48" i="75" s="1"/>
  <c r="M64" i="75" a="1"/>
  <c r="M64" i="75" s="1"/>
  <c r="O88" i="75" a="1"/>
  <c r="O88" i="75" s="1"/>
  <c r="M96" i="75" a="1"/>
  <c r="M96" i="75" s="1"/>
  <c r="F48" i="75" a="1"/>
  <c r="F48" i="75" s="1"/>
  <c r="L64" i="75" a="1"/>
  <c r="L64" i="75" s="1"/>
  <c r="N91" i="75" a="1"/>
  <c r="N91" i="75" s="1"/>
  <c r="F80" i="75" a="1"/>
  <c r="F80" i="75" s="1"/>
  <c r="N48" i="75" a="1"/>
  <c r="N48" i="75" s="1"/>
  <c r="H114" i="75" a="1"/>
  <c r="H114" i="75" s="1"/>
  <c r="I48" i="75" a="1"/>
  <c r="I48" i="75" s="1"/>
  <c r="H48" i="75" a="1"/>
  <c r="H48" i="75" s="1"/>
  <c r="G48" i="75" a="1"/>
  <c r="G48" i="75" s="1"/>
  <c r="N64" i="75" a="1"/>
  <c r="N64" i="75" s="1"/>
  <c r="J48" i="75" a="1"/>
  <c r="J48" i="75" s="1"/>
  <c r="L96" i="75" a="1"/>
  <c r="L96" i="75" s="1"/>
  <c r="L116" i="75" a="1"/>
  <c r="L116" i="75" s="1"/>
  <c r="K64" i="75" a="1"/>
  <c r="K64" i="75" s="1"/>
  <c r="M91" i="75" a="1"/>
  <c r="M91" i="75" s="1"/>
  <c r="O31" i="75" a="1"/>
  <c r="O31" i="75" s="1"/>
  <c r="N88" i="75" a="1"/>
  <c r="N88" i="75" s="1"/>
  <c r="J64" i="75" a="1"/>
  <c r="J64" i="75" s="1"/>
  <c r="D48" i="75" a="1"/>
  <c r="D48" i="75" s="1"/>
  <c r="E48" i="75" a="1"/>
  <c r="E48" i="75" s="1"/>
  <c r="M88" i="75" a="1"/>
  <c r="M88" i="75" s="1"/>
  <c r="M112" i="75" a="1"/>
  <c r="M112" i="75" s="1"/>
  <c r="N31" i="75" a="1"/>
  <c r="N31" i="75" s="1"/>
  <c r="K31" i="75" a="1"/>
  <c r="K31" i="75" s="1"/>
  <c r="M48" i="75" a="1"/>
  <c r="M48" i="75" s="1"/>
  <c r="F31" i="75" a="1"/>
  <c r="F31" i="75" s="1"/>
  <c r="L88" i="75" a="1"/>
  <c r="L88" i="75" s="1"/>
  <c r="L91" i="75" a="1"/>
  <c r="L91" i="75" s="1"/>
  <c r="H64" i="75" a="1"/>
  <c r="H64" i="75" s="1"/>
  <c r="L31" i="75" a="1"/>
  <c r="L31" i="75" s="1"/>
  <c r="G31" i="75" a="1"/>
  <c r="G31" i="75" s="1"/>
  <c r="G114" i="75" a="1"/>
  <c r="G114" i="75" s="1"/>
  <c r="I64" i="75" a="1"/>
  <c r="I64" i="75" s="1"/>
  <c r="M31" i="75" a="1"/>
  <c r="M31" i="75" s="1"/>
  <c r="H31" i="75" a="1"/>
  <c r="H31" i="75" s="1"/>
  <c r="F116" i="75" a="1"/>
  <c r="F116" i="75" s="1"/>
  <c r="G64" i="75" a="1"/>
  <c r="G64" i="75" s="1"/>
  <c r="K88" i="75" a="1"/>
  <c r="K88" i="75" s="1"/>
  <c r="K96" i="75" a="1"/>
  <c r="K96" i="75" s="1"/>
  <c r="J31" i="75" a="1"/>
  <c r="J31" i="75" s="1"/>
  <c r="J88" i="75" a="1"/>
  <c r="J88" i="75" s="1"/>
  <c r="F64" i="75" a="1"/>
  <c r="F64" i="75" s="1"/>
  <c r="K114" i="75" a="1"/>
  <c r="K114" i="75" s="1"/>
  <c r="K91" i="75" a="1"/>
  <c r="K91" i="75" s="1"/>
  <c r="D31" i="75" a="1"/>
  <c r="D31" i="75" s="1"/>
  <c r="N29" i="75" a="1"/>
  <c r="N29" i="75" s="1"/>
  <c r="E31" i="75" a="1"/>
  <c r="E31" i="75" s="1"/>
  <c r="E64" i="75" a="1"/>
  <c r="E64" i="75" s="1"/>
  <c r="O29" i="75" a="1"/>
  <c r="O29" i="75" s="1"/>
  <c r="L62" i="75" a="1"/>
  <c r="L62" i="75" s="1"/>
  <c r="I88" i="75" a="1"/>
  <c r="I88" i="75" s="1"/>
  <c r="H96" i="75" a="1"/>
  <c r="H96" i="75" s="1"/>
  <c r="K62" i="75" a="1"/>
  <c r="K62" i="75" s="1"/>
  <c r="K29" i="75" a="1"/>
  <c r="K29" i="75" s="1"/>
  <c r="D64" i="75" a="1"/>
  <c r="D64" i="75" s="1"/>
  <c r="L29" i="75" a="1"/>
  <c r="L29" i="75" s="1"/>
  <c r="J62" i="75" a="1"/>
  <c r="J62" i="75" s="1"/>
  <c r="M29" i="75" a="1"/>
  <c r="M29" i="75" s="1"/>
  <c r="O62" i="75" a="1"/>
  <c r="O62" i="75" s="1"/>
  <c r="J29" i="75" a="1"/>
  <c r="J29" i="75" s="1"/>
  <c r="E80" i="75" a="1"/>
  <c r="E80" i="75" s="1"/>
  <c r="H88" i="75" a="1"/>
  <c r="H88" i="75" s="1"/>
  <c r="I112" i="75" a="1"/>
  <c r="I112" i="75" s="1"/>
  <c r="D88" i="75" a="1"/>
  <c r="D88" i="75" s="1"/>
  <c r="N62" i="75" a="1"/>
  <c r="N62" i="75" s="1"/>
  <c r="G29" i="75" a="1"/>
  <c r="G29" i="75" s="1"/>
  <c r="H29" i="75" a="1"/>
  <c r="H29" i="75" s="1"/>
  <c r="H62" i="75" a="1"/>
  <c r="H62" i="75" s="1"/>
  <c r="I29" i="75" a="1"/>
  <c r="I29" i="75" s="1"/>
  <c r="I62" i="75" a="1"/>
  <c r="I62" i="75" s="1"/>
  <c r="I31" i="75" a="1"/>
  <c r="I31" i="75" s="1"/>
  <c r="G62" i="75" a="1"/>
  <c r="G62" i="75" s="1"/>
  <c r="G88" i="75" a="1"/>
  <c r="G88" i="75" s="1"/>
  <c r="F62" i="75" a="1"/>
  <c r="F62" i="75" s="1"/>
  <c r="F94" i="75" a="1"/>
  <c r="F94" i="75" s="1"/>
  <c r="D29" i="75" a="1"/>
  <c r="D29" i="75" s="1"/>
  <c r="N85" i="75" a="1"/>
  <c r="N85" i="75" s="1"/>
  <c r="J91" i="75" a="1"/>
  <c r="J91" i="75" s="1"/>
  <c r="I89" i="75" a="1"/>
  <c r="I89" i="75" s="1"/>
  <c r="O85" i="75" a="1"/>
  <c r="O85" i="75" s="1"/>
  <c r="F29" i="75" a="1"/>
  <c r="F29" i="75" s="1"/>
  <c r="F88" i="75" a="1"/>
  <c r="F88" i="75" s="1"/>
  <c r="D62" i="75" a="1"/>
  <c r="D62" i="75" s="1"/>
  <c r="M85" i="75" a="1"/>
  <c r="M85" i="75" s="1"/>
  <c r="I91" i="75" a="1"/>
  <c r="I91" i="75" s="1"/>
  <c r="E62" i="75" a="1"/>
  <c r="E62" i="75" s="1"/>
  <c r="K85" i="75" a="1"/>
  <c r="K85" i="75" s="1"/>
  <c r="O59" i="75" a="1"/>
  <c r="O59" i="75" s="1"/>
  <c r="H91" i="75" a="1"/>
  <c r="H91" i="75" s="1"/>
  <c r="L85" i="75" a="1"/>
  <c r="L85" i="75" s="1"/>
  <c r="G96" i="75" a="1"/>
  <c r="G96" i="75" s="1"/>
  <c r="E29" i="75" a="1"/>
  <c r="E29" i="75" s="1"/>
  <c r="N112" i="75" a="1"/>
  <c r="N112" i="75" s="1"/>
  <c r="N59" i="75" a="1"/>
  <c r="N59" i="75" s="1"/>
  <c r="M62" i="75" a="1"/>
  <c r="M62" i="75" s="1"/>
  <c r="M59" i="75" a="1"/>
  <c r="M59" i="75" s="1"/>
  <c r="F114" i="75" a="1"/>
  <c r="F114" i="75" s="1"/>
  <c r="H59" i="75" a="1"/>
  <c r="H59" i="75" s="1"/>
  <c r="L59" i="75" a="1"/>
  <c r="L59" i="75" s="1"/>
  <c r="K59" i="75" a="1"/>
  <c r="K59" i="75" s="1"/>
  <c r="J85" i="75" a="1"/>
  <c r="J85" i="75" s="1"/>
  <c r="G59" i="75" a="1"/>
  <c r="G59" i="75" s="1"/>
  <c r="H112" i="75" a="1"/>
  <c r="H112" i="75" s="1"/>
  <c r="G91" i="75" a="1"/>
  <c r="G91" i="75" s="1"/>
  <c r="J116" i="75" a="1"/>
  <c r="J116" i="75" s="1"/>
  <c r="F59" i="75" a="1"/>
  <c r="F59" i="75" s="1"/>
  <c r="E59" i="75" a="1"/>
  <c r="E59" i="75" s="1"/>
  <c r="F96" i="75" a="1"/>
  <c r="F96" i="75" s="1"/>
  <c r="F91" i="75" a="1"/>
  <c r="F91" i="75" s="1"/>
  <c r="O58" i="75" a="1"/>
  <c r="O58" i="75" s="1"/>
  <c r="D59" i="75" a="1"/>
  <c r="D59" i="75" s="1"/>
  <c r="I85" i="75" a="1"/>
  <c r="I85" i="75" s="1"/>
  <c r="G85" i="75" a="1"/>
  <c r="G85" i="75" s="1"/>
  <c r="H85" i="75" a="1"/>
  <c r="H85" i="75" s="1"/>
  <c r="J59" i="75" a="1"/>
  <c r="J59" i="75" s="1"/>
  <c r="N58" i="75" a="1"/>
  <c r="N58" i="75" s="1"/>
  <c r="L112" i="75" a="1"/>
  <c r="L112" i="75" s="1"/>
  <c r="E114" i="75" a="1"/>
  <c r="E114" i="75" s="1"/>
  <c r="L58" i="75" a="1"/>
  <c r="L58" i="75" s="1"/>
  <c r="M58" i="75" a="1"/>
  <c r="M58" i="75" s="1"/>
  <c r="E117" i="75" a="1"/>
  <c r="E117" i="75" s="1"/>
  <c r="E94" i="75" a="1"/>
  <c r="E94" i="75" s="1"/>
  <c r="E91" i="75" a="1"/>
  <c r="E91" i="75" s="1"/>
  <c r="F85" i="75" a="1"/>
  <c r="F85" i="75" s="1"/>
  <c r="E96" i="75" a="1"/>
  <c r="E96" i="75" s="1"/>
  <c r="E85" i="75" a="1"/>
  <c r="E85" i="75" s="1"/>
  <c r="N20" i="75" a="1"/>
  <c r="N20" i="75" s="1"/>
  <c r="J58" i="75" a="1"/>
  <c r="J58" i="75" s="1"/>
  <c r="M20" i="75" a="1"/>
  <c r="M20" i="75" s="1"/>
  <c r="D91" i="75" a="1"/>
  <c r="D91" i="75" s="1"/>
  <c r="D85" i="75" a="1"/>
  <c r="D85" i="75" s="1"/>
  <c r="O20" i="75" a="1"/>
  <c r="O20" i="75" s="1"/>
  <c r="K58" i="75" a="1"/>
  <c r="K58" i="75" s="1"/>
  <c r="E88" i="75" a="1"/>
  <c r="E88" i="75" s="1"/>
  <c r="L20" i="75" a="1"/>
  <c r="L20" i="75" s="1"/>
  <c r="L114" i="75" a="1"/>
  <c r="L114" i="75" s="1"/>
  <c r="I20" i="75" a="1"/>
  <c r="I20" i="75" s="1"/>
  <c r="E116" i="75" a="1"/>
  <c r="E116" i="75" s="1"/>
  <c r="I58" i="75" a="1"/>
  <c r="I58" i="75" s="1"/>
  <c r="I59" i="75" a="1"/>
  <c r="I59" i="75" s="1"/>
  <c r="K20" i="75" a="1"/>
  <c r="K20" i="75" s="1"/>
  <c r="J20" i="75" a="1"/>
  <c r="J20" i="75" s="1"/>
  <c r="H58" i="75" a="1"/>
  <c r="H58" i="75" s="1"/>
  <c r="D96" i="75" a="1"/>
  <c r="D96" i="75" s="1"/>
  <c r="G112" i="75" a="1"/>
  <c r="G112" i="75" s="1"/>
  <c r="O90" i="75" a="1"/>
  <c r="O90" i="75" s="1"/>
  <c r="G20" i="75" a="1"/>
  <c r="G20" i="75" s="1"/>
  <c r="F20" i="75" a="1"/>
  <c r="F20" i="75" s="1"/>
  <c r="L19" i="75" a="1"/>
  <c r="L19" i="75" s="1"/>
  <c r="E20" i="75" a="1"/>
  <c r="E20" i="75" s="1"/>
  <c r="G58" i="75" a="1"/>
  <c r="G58" i="75" s="1"/>
  <c r="H20" i="75" a="1"/>
  <c r="H20" i="75" s="1"/>
  <c r="J96" i="75" a="1"/>
  <c r="J96" i="75" s="1"/>
  <c r="D58" i="75" a="1"/>
  <c r="D58" i="75" s="1"/>
  <c r="O84" i="75" a="1"/>
  <c r="O84" i="75" s="1"/>
  <c r="D114" i="75" a="1"/>
  <c r="D114" i="75" s="1"/>
  <c r="O19" i="75" a="1"/>
  <c r="O19" i="75" s="1"/>
  <c r="I19" i="75" a="1"/>
  <c r="I19" i="75" s="1"/>
  <c r="K19" i="75" a="1"/>
  <c r="K19" i="75" s="1"/>
  <c r="O57" i="75" a="1"/>
  <c r="O57" i="75" s="1"/>
  <c r="D20" i="75" a="1"/>
  <c r="D20" i="75" s="1"/>
  <c r="L84" i="75" a="1"/>
  <c r="L84" i="75" s="1"/>
  <c r="J19" i="75" a="1"/>
  <c r="J19" i="75" s="1"/>
  <c r="N57" i="75" a="1"/>
  <c r="N57" i="75" s="1"/>
  <c r="F19" i="75" a="1"/>
  <c r="F19" i="75" s="1"/>
  <c r="K84" i="75" a="1"/>
  <c r="K84" i="75" s="1"/>
  <c r="K57" i="75" a="1"/>
  <c r="K57" i="75" s="1"/>
  <c r="K90" i="75" a="1"/>
  <c r="K90" i="75" s="1"/>
  <c r="F112" i="75" a="1"/>
  <c r="F112" i="75" s="1"/>
  <c r="M57" i="75" a="1"/>
  <c r="M57" i="75" s="1"/>
  <c r="D19" i="75" a="1"/>
  <c r="D19" i="75" s="1"/>
  <c r="G17" i="75" a="1"/>
  <c r="G17" i="75" s="1"/>
  <c r="I116" i="75" a="1"/>
  <c r="I116" i="75" s="1"/>
  <c r="F58" i="75" a="1"/>
  <c r="F58" i="75" s="1"/>
  <c r="H17" i="75" a="1"/>
  <c r="H17" i="75" s="1"/>
  <c r="E19" i="75" a="1"/>
  <c r="E19" i="75" s="1"/>
  <c r="L57" i="75" a="1"/>
  <c r="L57" i="75" s="1"/>
  <c r="O17" i="75" a="1"/>
  <c r="O17" i="75" s="1"/>
  <c r="H19" i="75" a="1"/>
  <c r="H19" i="75" s="1"/>
  <c r="O94" i="75" a="1"/>
  <c r="O94" i="75" s="1"/>
  <c r="N19" i="75" a="1"/>
  <c r="N19" i="75" s="1"/>
  <c r="G19" i="75" a="1"/>
  <c r="G19" i="75" s="1"/>
  <c r="J84" i="75" a="1"/>
  <c r="J84" i="75" s="1"/>
  <c r="L90" i="75" a="1"/>
  <c r="L90" i="75" s="1"/>
  <c r="D117" i="75" a="1"/>
  <c r="D117" i="75" s="1"/>
  <c r="M116" i="75" a="1"/>
  <c r="M116" i="75" s="1"/>
  <c r="O114" i="75" a="1"/>
  <c r="O114" i="75" s="1"/>
  <c r="D116" i="75" a="1"/>
  <c r="D116" i="75" s="1"/>
  <c r="O116" i="75" a="1"/>
  <c r="O116" i="75" s="1"/>
  <c r="N114" i="75" a="1"/>
  <c r="N114" i="75" s="1"/>
  <c r="N116" i="75" a="1"/>
  <c r="N116" i="75" s="1"/>
  <c r="M114" i="75" a="1"/>
  <c r="M114" i="75" s="1"/>
  <c r="L58" i="10" a="1"/>
  <c r="L58" i="10" s="1"/>
  <c r="L328" i="74" s="1"/>
  <c r="M56" i="10" a="1"/>
  <c r="M56" i="10" s="1"/>
  <c r="D58" i="10" a="1"/>
  <c r="D58" i="10" s="1"/>
  <c r="D328" i="74" s="1"/>
  <c r="O57" i="10" a="1"/>
  <c r="O57" i="10" s="1"/>
  <c r="O129" i="10" a="1"/>
  <c r="O129" i="10" s="1"/>
  <c r="M129" i="10" a="1"/>
  <c r="M129" i="10" s="1"/>
  <c r="N129" i="10" a="1"/>
  <c r="N129" i="10" s="1"/>
  <c r="G129" i="10" a="1"/>
  <c r="G129" i="10" s="1"/>
  <c r="J129" i="10" a="1"/>
  <c r="J129" i="10" s="1"/>
  <c r="I129" i="10" a="1"/>
  <c r="I129" i="10" s="1"/>
  <c r="K127" i="10" a="1"/>
  <c r="K127" i="10" s="1"/>
  <c r="H129" i="10" a="1"/>
  <c r="H129" i="10" s="1"/>
  <c r="L127" i="10" a="1"/>
  <c r="L127" i="10" s="1"/>
  <c r="L129" i="10" a="1"/>
  <c r="L129" i="10" s="1"/>
  <c r="K129" i="10" a="1"/>
  <c r="K129" i="10" s="1"/>
  <c r="N127" i="10" a="1"/>
  <c r="N127" i="10" s="1"/>
  <c r="O127" i="10" a="1"/>
  <c r="O127" i="10" s="1"/>
  <c r="D127" i="10" a="1"/>
  <c r="D127" i="10" s="1"/>
  <c r="E127" i="10" a="1"/>
  <c r="E127" i="10" s="1"/>
  <c r="H127" i="10" a="1"/>
  <c r="H127" i="10" s="1"/>
  <c r="G127" i="10" a="1"/>
  <c r="G127" i="10" s="1"/>
  <c r="F129" i="10" a="1"/>
  <c r="F129" i="10" s="1"/>
  <c r="I127" i="10" a="1"/>
  <c r="I127" i="10" s="1"/>
  <c r="F127" i="10" a="1"/>
  <c r="F127" i="10" s="1"/>
  <c r="E129" i="10" a="1"/>
  <c r="E129" i="10" s="1"/>
  <c r="D129" i="10" a="1"/>
  <c r="D129" i="10" s="1"/>
  <c r="J127" i="10" a="1"/>
  <c r="J127" i="10" s="1"/>
  <c r="O124" i="10" a="1"/>
  <c r="O124" i="10" s="1"/>
  <c r="N124" i="10" a="1"/>
  <c r="N124" i="10" s="1"/>
  <c r="G124" i="10" a="1"/>
  <c r="G124" i="10" s="1"/>
  <c r="J124" i="10" a="1"/>
  <c r="J124" i="10" s="1"/>
  <c r="F124" i="10" a="1"/>
  <c r="F124" i="10" s="1"/>
  <c r="H124" i="10" a="1"/>
  <c r="H124" i="10" s="1"/>
  <c r="L124" i="10" a="1"/>
  <c r="L124" i="10" s="1"/>
  <c r="E124" i="10" a="1"/>
  <c r="E124" i="10" s="1"/>
  <c r="M127" i="10" a="1"/>
  <c r="M127" i="10" s="1"/>
  <c r="M124" i="10" a="1"/>
  <c r="M124" i="10" s="1"/>
  <c r="K124" i="10" a="1"/>
  <c r="K124" i="10" s="1"/>
  <c r="O123" i="10" a="1"/>
  <c r="O123" i="10" s="1"/>
  <c r="D123" i="10" a="1"/>
  <c r="D123" i="10" s="1"/>
  <c r="L123" i="10" a="1"/>
  <c r="L123" i="10" s="1"/>
  <c r="I124" i="10" a="1"/>
  <c r="I124" i="10" s="1"/>
  <c r="M123" i="10" a="1"/>
  <c r="M123" i="10" s="1"/>
  <c r="N123" i="10" a="1"/>
  <c r="N123" i="10" s="1"/>
  <c r="K123" i="10" a="1"/>
  <c r="K123" i="10" s="1"/>
  <c r="D124" i="10" a="1"/>
  <c r="D124" i="10" s="1"/>
  <c r="G123" i="10" a="1"/>
  <c r="G123" i="10" s="1"/>
  <c r="L122" i="10" a="1"/>
  <c r="L122" i="10" s="1"/>
  <c r="K122" i="10" a="1"/>
  <c r="K122" i="10" s="1"/>
  <c r="J123" i="10" a="1"/>
  <c r="J123" i="10" s="1"/>
  <c r="I122" i="10" a="1"/>
  <c r="I122" i="10" s="1"/>
  <c r="I123" i="10" a="1"/>
  <c r="I123" i="10" s="1"/>
  <c r="F123" i="10" a="1"/>
  <c r="F123" i="10" s="1"/>
  <c r="J122" i="10" a="1"/>
  <c r="J122" i="10" s="1"/>
  <c r="N122" i="10" a="1"/>
  <c r="N122" i="10" s="1"/>
  <c r="O122" i="10" a="1"/>
  <c r="O122" i="10" s="1"/>
  <c r="H123" i="10" a="1"/>
  <c r="H123" i="10" s="1"/>
  <c r="M122" i="10" a="1"/>
  <c r="M122" i="10" s="1"/>
  <c r="O121" i="10" a="1"/>
  <c r="O121" i="10" s="1"/>
  <c r="J121" i="10" a="1"/>
  <c r="J121" i="10" s="1"/>
  <c r="K121" i="10" a="1"/>
  <c r="K121" i="10" s="1"/>
  <c r="H122" i="10" a="1"/>
  <c r="H122" i="10" s="1"/>
  <c r="E123" i="10" a="1"/>
  <c r="E123" i="10" s="1"/>
  <c r="E122" i="10" a="1"/>
  <c r="E122" i="10" s="1"/>
  <c r="L121" i="10" a="1"/>
  <c r="L121" i="10" s="1"/>
  <c r="G122" i="10" a="1"/>
  <c r="G122" i="10" s="1"/>
  <c r="D122" i="10" a="1"/>
  <c r="D122" i="10" s="1"/>
  <c r="F122" i="10" a="1"/>
  <c r="F122" i="10" s="1"/>
  <c r="O118" i="10" a="1"/>
  <c r="O118" i="10" s="1"/>
  <c r="H121" i="10" a="1"/>
  <c r="H121" i="10" s="1"/>
  <c r="D121" i="10" a="1"/>
  <c r="D121" i="10" s="1"/>
  <c r="G121" i="10" a="1"/>
  <c r="G121" i="10" s="1"/>
  <c r="F121" i="10" a="1"/>
  <c r="F121" i="10" s="1"/>
  <c r="N121" i="10" a="1"/>
  <c r="N121" i="10" s="1"/>
  <c r="E121" i="10" a="1"/>
  <c r="E121" i="10" s="1"/>
  <c r="I121" i="10" a="1"/>
  <c r="I121" i="10" s="1"/>
  <c r="F118" i="10" a="1"/>
  <c r="F118" i="10" s="1"/>
  <c r="E118" i="10" a="1"/>
  <c r="E118" i="10" s="1"/>
  <c r="L118" i="10" a="1"/>
  <c r="L118" i="10" s="1"/>
  <c r="N117" i="10" a="1"/>
  <c r="N117" i="10" s="1"/>
  <c r="O117" i="10" a="1"/>
  <c r="O117" i="10" s="1"/>
  <c r="N118" i="10" a="1"/>
  <c r="N118" i="10" s="1"/>
  <c r="H118" i="10" a="1"/>
  <c r="H118" i="10" s="1"/>
  <c r="K118" i="10" a="1"/>
  <c r="K118" i="10" s="1"/>
  <c r="D118" i="10" a="1"/>
  <c r="D118" i="10" s="1"/>
  <c r="M118" i="10" a="1"/>
  <c r="M118" i="10" s="1"/>
  <c r="M121" i="10" a="1"/>
  <c r="M121" i="10" s="1"/>
  <c r="J118" i="10" a="1"/>
  <c r="J118" i="10" s="1"/>
  <c r="G118" i="10" a="1"/>
  <c r="G118" i="10" s="1"/>
  <c r="G117" i="10" a="1"/>
  <c r="G117" i="10" s="1"/>
  <c r="K117" i="10" a="1"/>
  <c r="K117" i="10" s="1"/>
  <c r="M117" i="10" a="1"/>
  <c r="M117" i="10" s="1"/>
  <c r="I117" i="10" a="1"/>
  <c r="I117" i="10" s="1"/>
  <c r="I118" i="10" a="1"/>
  <c r="I118" i="10" s="1"/>
  <c r="L117" i="10" a="1"/>
  <c r="L117" i="10" s="1"/>
  <c r="J117" i="10" a="1"/>
  <c r="J117" i="10" s="1"/>
  <c r="H117" i="10" a="1"/>
  <c r="H117" i="10" s="1"/>
  <c r="M115" i="10" a="1"/>
  <c r="M115" i="10" s="1"/>
  <c r="O115" i="10" a="1"/>
  <c r="O115" i="10" s="1"/>
  <c r="L115" i="10" a="1"/>
  <c r="L115" i="10" s="1"/>
  <c r="J115" i="10" a="1"/>
  <c r="J115" i="10" s="1"/>
  <c r="N115" i="10" a="1"/>
  <c r="N115" i="10" s="1"/>
  <c r="F117" i="10" a="1"/>
  <c r="F117" i="10" s="1"/>
  <c r="K115" i="10" a="1"/>
  <c r="K115" i="10" s="1"/>
  <c r="D117" i="10" a="1"/>
  <c r="D117" i="10" s="1"/>
  <c r="G115" i="10" a="1"/>
  <c r="G115" i="10" s="1"/>
  <c r="L113" i="10" a="1"/>
  <c r="L113" i="10" s="1"/>
  <c r="E115" i="10" a="1"/>
  <c r="E115" i="10" s="1"/>
  <c r="O113" i="10" a="1"/>
  <c r="O113" i="10" s="1"/>
  <c r="E117" i="10" a="1"/>
  <c r="E117" i="10" s="1"/>
  <c r="I115" i="10" a="1"/>
  <c r="I115" i="10" s="1"/>
  <c r="H115" i="10" a="1"/>
  <c r="H115" i="10" s="1"/>
  <c r="F115" i="10" a="1"/>
  <c r="F115" i="10" s="1"/>
  <c r="D115" i="10" a="1"/>
  <c r="D115" i="10" s="1"/>
  <c r="J113" i="10" a="1"/>
  <c r="J113" i="10" s="1"/>
  <c r="H113" i="10" a="1"/>
  <c r="H113" i="10" s="1"/>
  <c r="I113" i="10" a="1"/>
  <c r="I113" i="10" s="1"/>
  <c r="E113" i="10" a="1"/>
  <c r="E113" i="10" s="1"/>
  <c r="F113" i="10" a="1"/>
  <c r="F113" i="10" s="1"/>
  <c r="N113" i="10" a="1"/>
  <c r="N113" i="10" s="1"/>
  <c r="K113" i="10" a="1"/>
  <c r="K113" i="10" s="1"/>
  <c r="G113" i="10" a="1"/>
  <c r="G113" i="10" s="1"/>
  <c r="O96" i="10" a="1"/>
  <c r="O96" i="10" s="1"/>
  <c r="K96" i="10" a="1"/>
  <c r="K96" i="10" s="1"/>
  <c r="M113" i="10" a="1"/>
  <c r="M113" i="10" s="1"/>
  <c r="J96" i="10" a="1"/>
  <c r="J96" i="10" s="1"/>
  <c r="M96" i="10" a="1"/>
  <c r="M96" i="10" s="1"/>
  <c r="L96" i="10" a="1"/>
  <c r="L96" i="10" s="1"/>
  <c r="D113" i="10" a="1"/>
  <c r="D113" i="10" s="1"/>
  <c r="N96" i="10" a="1"/>
  <c r="N96" i="10" s="1"/>
  <c r="M94" i="10" a="1"/>
  <c r="M94" i="10" s="1"/>
  <c r="I96" i="10" a="1"/>
  <c r="I96" i="10" s="1"/>
  <c r="N94" i="10" a="1"/>
  <c r="N94" i="10" s="1"/>
  <c r="G96" i="10" a="1"/>
  <c r="G96" i="10" s="1"/>
  <c r="E96" i="10" a="1"/>
  <c r="E96" i="10" s="1"/>
  <c r="F96" i="10" a="1"/>
  <c r="F96" i="10" s="1"/>
  <c r="O94" i="10" a="1"/>
  <c r="O94" i="10" s="1"/>
  <c r="H96" i="10" a="1"/>
  <c r="H96" i="10" s="1"/>
  <c r="D96" i="10" a="1"/>
  <c r="D96" i="10" s="1"/>
  <c r="D94" i="10" a="1"/>
  <c r="D94" i="10" s="1"/>
  <c r="L94" i="10" a="1"/>
  <c r="L94" i="10" s="1"/>
  <c r="G94" i="10" a="1"/>
  <c r="G94" i="10" s="1"/>
  <c r="K94" i="10" a="1"/>
  <c r="K94" i="10" s="1"/>
  <c r="H94" i="10" a="1"/>
  <c r="H94" i="10" s="1"/>
  <c r="J94" i="10" a="1"/>
  <c r="J94" i="10" s="1"/>
  <c r="I94" i="10" a="1"/>
  <c r="I94" i="10" s="1"/>
  <c r="N91" i="10" a="1"/>
  <c r="N91" i="10" s="1"/>
  <c r="M91" i="10" a="1"/>
  <c r="M91" i="10" s="1"/>
  <c r="J91" i="10" a="1"/>
  <c r="J91" i="10" s="1"/>
  <c r="I91" i="10" a="1"/>
  <c r="I91" i="10" s="1"/>
  <c r="O91" i="10" a="1"/>
  <c r="O91" i="10" s="1"/>
  <c r="L91" i="10" a="1"/>
  <c r="L91" i="10" s="1"/>
  <c r="F94" i="10" a="1"/>
  <c r="F94" i="10" s="1"/>
  <c r="K91" i="10" a="1"/>
  <c r="K91" i="10" s="1"/>
  <c r="O90" i="10" a="1"/>
  <c r="O90" i="10" s="1"/>
  <c r="E94" i="10" a="1"/>
  <c r="E94" i="10" s="1"/>
  <c r="H91" i="10" a="1"/>
  <c r="H91" i="10" s="1"/>
  <c r="I90" i="10" a="1"/>
  <c r="I90" i="10" s="1"/>
  <c r="G91" i="10" a="1"/>
  <c r="G91" i="10" s="1"/>
  <c r="L90" i="10" a="1"/>
  <c r="L90" i="10" s="1"/>
  <c r="E91" i="10" a="1"/>
  <c r="E91" i="10" s="1"/>
  <c r="K90" i="10" a="1"/>
  <c r="K90" i="10" s="1"/>
  <c r="J90" i="10" a="1"/>
  <c r="J90" i="10" s="1"/>
  <c r="F91" i="10" a="1"/>
  <c r="F91" i="10" s="1"/>
  <c r="D91" i="10" a="1"/>
  <c r="D91" i="10" s="1"/>
  <c r="H89" i="10" a="1"/>
  <c r="H89" i="10" s="1"/>
  <c r="H90" i="10" a="1"/>
  <c r="H90" i="10" s="1"/>
  <c r="E90" i="10" a="1"/>
  <c r="E90" i="10" s="1"/>
  <c r="N90" i="10" a="1"/>
  <c r="N90" i="10" s="1"/>
  <c r="G90" i="10" a="1"/>
  <c r="G90" i="10" s="1"/>
  <c r="F90" i="10" a="1"/>
  <c r="F90" i="10" s="1"/>
  <c r="D90" i="10" a="1"/>
  <c r="D90" i="10" s="1"/>
  <c r="O89" i="10" a="1"/>
  <c r="O89" i="10" s="1"/>
  <c r="L89" i="10" a="1"/>
  <c r="L89" i="10" s="1"/>
  <c r="E89" i="10" a="1"/>
  <c r="E89" i="10" s="1"/>
  <c r="K89" i="10" a="1"/>
  <c r="K89" i="10" s="1"/>
  <c r="M88" i="10" a="1"/>
  <c r="M88" i="10" s="1"/>
  <c r="J89" i="10" a="1"/>
  <c r="J89" i="10" s="1"/>
  <c r="O88" i="10" a="1"/>
  <c r="O88" i="10" s="1"/>
  <c r="M90" i="10" a="1"/>
  <c r="M90" i="10" s="1"/>
  <c r="G89" i="10" a="1"/>
  <c r="G89" i="10" s="1"/>
  <c r="D89" i="10" a="1"/>
  <c r="D89" i="10" s="1"/>
  <c r="N89" i="10" a="1"/>
  <c r="N89" i="10" s="1"/>
  <c r="N88" i="10" a="1"/>
  <c r="N88" i="10" s="1"/>
  <c r="F89" i="10" a="1"/>
  <c r="F89" i="10" s="1"/>
  <c r="M89" i="10" a="1"/>
  <c r="M89" i="10" s="1"/>
  <c r="D88" i="10" a="1"/>
  <c r="D88" i="10" s="1"/>
  <c r="L88" i="10" a="1"/>
  <c r="L88" i="10" s="1"/>
  <c r="K88" i="10" a="1"/>
  <c r="K88" i="10" s="1"/>
  <c r="I89" i="10" a="1"/>
  <c r="I89" i="10" s="1"/>
  <c r="O85" i="10" a="1"/>
  <c r="O85" i="10" s="1"/>
  <c r="G88" i="10" a="1"/>
  <c r="G88" i="10" s="1"/>
  <c r="J88" i="10" a="1"/>
  <c r="J88" i="10" s="1"/>
  <c r="I88" i="10" a="1"/>
  <c r="I88" i="10" s="1"/>
  <c r="H88" i="10" a="1"/>
  <c r="H88" i="10" s="1"/>
  <c r="F88" i="10" a="1"/>
  <c r="F88" i="10" s="1"/>
  <c r="L85" i="10" a="1"/>
  <c r="L85" i="10" s="1"/>
  <c r="M85" i="10" a="1"/>
  <c r="M85" i="10" s="1"/>
  <c r="H85" i="10" a="1"/>
  <c r="H85" i="10" s="1"/>
  <c r="N85" i="10" a="1"/>
  <c r="N85" i="10" s="1"/>
  <c r="J85" i="10" a="1"/>
  <c r="J85" i="10" s="1"/>
  <c r="K85" i="10" a="1"/>
  <c r="K85" i="10" s="1"/>
  <c r="I85" i="10" a="1"/>
  <c r="I85" i="10" s="1"/>
  <c r="L84" i="10" a="1"/>
  <c r="L84" i="10" s="1"/>
  <c r="E88" i="10" a="1"/>
  <c r="E88" i="10" s="1"/>
  <c r="E85" i="10" a="1"/>
  <c r="E85" i="10" s="1"/>
  <c r="G85" i="10" a="1"/>
  <c r="G85" i="10" s="1"/>
  <c r="I84" i="10" a="1"/>
  <c r="I84" i="10" s="1"/>
  <c r="F85" i="10" a="1"/>
  <c r="F85" i="10" s="1"/>
  <c r="O84" i="10" a="1"/>
  <c r="O84" i="10" s="1"/>
  <c r="D85" i="10" a="1"/>
  <c r="D85" i="10" s="1"/>
  <c r="J84" i="10" a="1"/>
  <c r="J84" i="10" s="1"/>
  <c r="K84" i="10" a="1"/>
  <c r="K84" i="10" s="1"/>
  <c r="D84" i="10" a="1"/>
  <c r="D84" i="10" s="1"/>
  <c r="G84" i="10" a="1"/>
  <c r="G84" i="10" s="1"/>
  <c r="F84" i="10" a="1"/>
  <c r="F84" i="10" s="1"/>
  <c r="O82" i="10" a="1"/>
  <c r="O82" i="10" s="1"/>
  <c r="E84" i="10" a="1"/>
  <c r="E84" i="10" s="1"/>
  <c r="H84" i="10" a="1"/>
  <c r="H84" i="10" s="1"/>
  <c r="N84" i="10" a="1"/>
  <c r="N84" i="10" s="1"/>
  <c r="N80" i="10" a="1"/>
  <c r="N80" i="10" s="1"/>
  <c r="M82" i="10" a="1"/>
  <c r="M82" i="10" s="1"/>
  <c r="E82" i="10" a="1"/>
  <c r="E82" i="10" s="1"/>
  <c r="G82" i="10" a="1"/>
  <c r="G82" i="10" s="1"/>
  <c r="K82" i="10" a="1"/>
  <c r="K82" i="10" s="1"/>
  <c r="J82" i="10" a="1"/>
  <c r="J82" i="10" s="1"/>
  <c r="H82" i="10" a="1"/>
  <c r="H82" i="10" s="1"/>
  <c r="L82" i="10" a="1"/>
  <c r="L82" i="10" s="1"/>
  <c r="M80" i="10" a="1"/>
  <c r="M80" i="10" s="1"/>
  <c r="N82" i="10" a="1"/>
  <c r="N82" i="10" s="1"/>
  <c r="F82" i="10" a="1"/>
  <c r="F82" i="10" s="1"/>
  <c r="D82" i="10" a="1"/>
  <c r="D82" i="10" s="1"/>
  <c r="M84" i="10" a="1"/>
  <c r="M84" i="10" s="1"/>
  <c r="O80" i="10" a="1"/>
  <c r="O80" i="10" s="1"/>
  <c r="L80" i="10" a="1"/>
  <c r="L80" i="10" s="1"/>
  <c r="I82" i="10" a="1"/>
  <c r="I82" i="10" s="1"/>
  <c r="D80" i="10" a="1"/>
  <c r="D80" i="10" s="1"/>
  <c r="K80" i="10" a="1"/>
  <c r="K80" i="10" s="1"/>
  <c r="I80" i="10" a="1"/>
  <c r="I80" i="10" s="1"/>
  <c r="J80" i="10" a="1"/>
  <c r="J80" i="10" s="1"/>
  <c r="H80" i="10" a="1"/>
  <c r="H80" i="10" s="1"/>
  <c r="G80" i="10" a="1"/>
  <c r="G80" i="10" s="1"/>
  <c r="F80" i="10" a="1"/>
  <c r="F80" i="10" s="1"/>
  <c r="O64" i="10" a="1"/>
  <c r="O64" i="10" s="1"/>
  <c r="M64" i="10" a="1"/>
  <c r="M64" i="10" s="1"/>
  <c r="I64" i="10" a="1"/>
  <c r="I64" i="10" s="1"/>
  <c r="N64" i="10" a="1"/>
  <c r="N64" i="10" s="1"/>
  <c r="L64" i="10" a="1"/>
  <c r="L64" i="10" s="1"/>
  <c r="J64" i="10" a="1"/>
  <c r="J64" i="10" s="1"/>
  <c r="K64" i="10" a="1"/>
  <c r="K64" i="10" s="1"/>
  <c r="K62" i="10" a="1"/>
  <c r="K62" i="10" s="1"/>
  <c r="J62" i="10" a="1"/>
  <c r="J62" i="10" s="1"/>
  <c r="L62" i="10" a="1"/>
  <c r="L62" i="10" s="1"/>
  <c r="O62" i="10" a="1"/>
  <c r="O62" i="10" s="1"/>
  <c r="D64" i="10" a="1"/>
  <c r="D64" i="10" s="1"/>
  <c r="H64" i="10" a="1"/>
  <c r="H64" i="10" s="1"/>
  <c r="E80" i="10" a="1"/>
  <c r="E80" i="10" s="1"/>
  <c r="F64" i="10" a="1"/>
  <c r="F64" i="10" s="1"/>
  <c r="G64" i="10" a="1"/>
  <c r="G64" i="10" s="1"/>
  <c r="E64" i="10" a="1"/>
  <c r="E64" i="10" s="1"/>
  <c r="G62" i="10" a="1"/>
  <c r="G62" i="10" s="1"/>
  <c r="O59" i="10" a="1"/>
  <c r="O59" i="10" s="1"/>
  <c r="O329" i="74" s="1"/>
  <c r="D62" i="10" a="1"/>
  <c r="D62" i="10" s="1"/>
  <c r="N62" i="10" a="1"/>
  <c r="N62" i="10" s="1"/>
  <c r="I62" i="10" a="1"/>
  <c r="I62" i="10" s="1"/>
  <c r="E62" i="10" a="1"/>
  <c r="E62" i="10" s="1"/>
  <c r="F62" i="10" a="1"/>
  <c r="F62" i="10" s="1"/>
  <c r="H62" i="10" a="1"/>
  <c r="H62" i="10" s="1"/>
  <c r="H59" i="10" a="1"/>
  <c r="H59" i="10" s="1"/>
  <c r="H329" i="74" s="1"/>
  <c r="F59" i="10" a="1"/>
  <c r="F59" i="10" s="1"/>
  <c r="F329" i="74" s="1"/>
  <c r="J59" i="10" a="1"/>
  <c r="J59" i="10" s="1"/>
  <c r="J329" i="74" s="1"/>
  <c r="L59" i="10" a="1"/>
  <c r="L59" i="10" s="1"/>
  <c r="L329" i="74" s="1"/>
  <c r="G59" i="10" a="1"/>
  <c r="G59" i="10" s="1"/>
  <c r="G329" i="74" s="1"/>
  <c r="I59" i="10" a="1"/>
  <c r="I59" i="10" s="1"/>
  <c r="I329" i="74" s="1"/>
  <c r="E59" i="10" a="1"/>
  <c r="E59" i="10" s="1"/>
  <c r="E329" i="74" s="1"/>
  <c r="K59" i="10" a="1"/>
  <c r="K59" i="10" s="1"/>
  <c r="K329" i="74" s="1"/>
  <c r="M62" i="10" a="1"/>
  <c r="M62" i="10" s="1"/>
  <c r="N59" i="10" a="1"/>
  <c r="N59" i="10" s="1"/>
  <c r="N329" i="74" s="1"/>
  <c r="M59" i="10" a="1"/>
  <c r="M59" i="10" s="1"/>
  <c r="M329" i="74" s="1"/>
  <c r="M58" i="10" a="1"/>
  <c r="M58" i="10" s="1"/>
  <c r="M328" i="74" s="1"/>
  <c r="K56" i="10" a="1"/>
  <c r="K56" i="10" s="1"/>
  <c r="K57" i="10" a="1"/>
  <c r="K57" i="10" s="1"/>
  <c r="K58" i="10" a="1"/>
  <c r="K58" i="10" s="1"/>
  <c r="K328" i="74" s="1"/>
  <c r="D59" i="10" a="1"/>
  <c r="D59" i="10" s="1"/>
  <c r="D329" i="74" s="1"/>
  <c r="L57" i="10" a="1"/>
  <c r="L57" i="10" s="1"/>
  <c r="N58" i="10" a="1"/>
  <c r="N58" i="10" s="1"/>
  <c r="N328" i="74" s="1"/>
  <c r="L56" i="10" a="1"/>
  <c r="L56" i="10" s="1"/>
  <c r="K50" i="10" a="1"/>
  <c r="K50" i="10" s="1"/>
  <c r="H57" i="10" a="1"/>
  <c r="H57" i="10" s="1"/>
  <c r="M15" i="10" a="1"/>
  <c r="M15" i="10" s="1"/>
  <c r="M29" i="10" a="1"/>
  <c r="M29" i="10" s="1"/>
  <c r="F29" i="10" a="1"/>
  <c r="F29" i="10" s="1"/>
  <c r="H15" i="10" a="1"/>
  <c r="H15" i="10" s="1"/>
  <c r="E53" i="10" a="1"/>
  <c r="E53" i="10" s="1"/>
  <c r="D53" i="10" a="1"/>
  <c r="D53" i="10" s="1"/>
  <c r="E56" i="10" a="1"/>
  <c r="E56" i="10" s="1"/>
  <c r="J58" i="10" a="1"/>
  <c r="J58" i="10" s="1"/>
  <c r="J328" i="74" s="1"/>
  <c r="I29" i="10" a="1"/>
  <c r="I29" i="10" s="1"/>
  <c r="K29" i="10" a="1"/>
  <c r="K29" i="10" s="1"/>
  <c r="I56" i="10" a="1"/>
  <c r="I56" i="10" s="1"/>
  <c r="J15" i="10" a="1"/>
  <c r="J15" i="10" s="1"/>
  <c r="L15" i="10" a="1"/>
  <c r="L15" i="10" s="1"/>
  <c r="K15" i="10" a="1"/>
  <c r="K15" i="10" s="1"/>
  <c r="G15" i="10" a="1"/>
  <c r="G15" i="10" s="1"/>
  <c r="J50" i="10" a="1"/>
  <c r="J50" i="10" s="1"/>
  <c r="L29" i="10" a="1"/>
  <c r="L29" i="10" s="1"/>
  <c r="I50" i="10" a="1"/>
  <c r="I50" i="10" s="1"/>
  <c r="J29" i="10" a="1"/>
  <c r="J29" i="10" s="1"/>
  <c r="I17" i="10" a="1"/>
  <c r="I17" i="10" s="1"/>
  <c r="I15" i="10" a="1"/>
  <c r="I15" i="10" s="1"/>
  <c r="D15" i="10" a="1"/>
  <c r="D15" i="10" s="1"/>
  <c r="G50" i="10" a="1"/>
  <c r="G50" i="10" s="1"/>
  <c r="G29" i="10" a="1"/>
  <c r="G29" i="10" s="1"/>
  <c r="D56" i="10" a="1"/>
  <c r="D56" i="10" s="1"/>
  <c r="D29" i="10" a="1"/>
  <c r="D29" i="10" s="1"/>
  <c r="F15" i="10" a="1"/>
  <c r="F15" i="10" s="1"/>
  <c r="H50" i="10" a="1"/>
  <c r="H50" i="10" s="1"/>
  <c r="O52" i="10" a="1"/>
  <c r="O52" i="10" s="1"/>
  <c r="H58" i="10" a="1"/>
  <c r="H58" i="10" s="1"/>
  <c r="H328" i="74" s="1"/>
  <c r="I31" i="10" a="1"/>
  <c r="I31" i="10" s="1"/>
  <c r="H29" i="10" a="1"/>
  <c r="H29" i="10" s="1"/>
  <c r="E15" i="10" a="1"/>
  <c r="E15" i="10" s="1"/>
  <c r="E52" i="10" a="1"/>
  <c r="E52" i="10" s="1"/>
  <c r="E324" i="74" s="1"/>
  <c r="N52" i="10" a="1"/>
  <c r="N52" i="10" s="1"/>
  <c r="E50" i="10" a="1"/>
  <c r="E50" i="10" s="1"/>
  <c r="F50" i="10" a="1"/>
  <c r="F50" i="10" s="1"/>
  <c r="G57" i="10" a="1"/>
  <c r="G57" i="10" s="1"/>
  <c r="E29" i="10" a="1"/>
  <c r="E29" i="10" s="1"/>
  <c r="D50" i="10" a="1"/>
  <c r="D50" i="10" s="1"/>
  <c r="M52" i="10" a="1"/>
  <c r="M52" i="10" s="1"/>
  <c r="K48" i="10" a="1"/>
  <c r="K48" i="10" s="1"/>
  <c r="O53" i="10" a="1"/>
  <c r="O53" i="10" s="1"/>
  <c r="L48" i="10" a="1"/>
  <c r="L48" i="10" s="1"/>
  <c r="L52" i="10" a="1"/>
  <c r="L52" i="10" s="1"/>
  <c r="O48" i="10" a="1"/>
  <c r="O48" i="10" s="1"/>
  <c r="N48" i="10" a="1"/>
  <c r="N48" i="10" s="1"/>
  <c r="J48" i="10" a="1"/>
  <c r="J48" i="10" s="1"/>
  <c r="I57" i="10" a="1"/>
  <c r="I57" i="10" s="1"/>
  <c r="K52" i="10" a="1"/>
  <c r="K52" i="10" s="1"/>
  <c r="H48" i="10" a="1"/>
  <c r="H48" i="10" s="1"/>
  <c r="N53" i="10" a="1"/>
  <c r="N53" i="10" s="1"/>
  <c r="F57" i="10" a="1"/>
  <c r="F57" i="10" s="1"/>
  <c r="H56" i="10" a="1"/>
  <c r="H56" i="10" s="1"/>
  <c r="I48" i="10" a="1"/>
  <c r="I48" i="10" s="1"/>
  <c r="M53" i="10" a="1"/>
  <c r="M53" i="10" s="1"/>
  <c r="F48" i="10" a="1"/>
  <c r="F48" i="10" s="1"/>
  <c r="G58" i="10" a="1"/>
  <c r="G58" i="10" s="1"/>
  <c r="G328" i="74" s="1"/>
  <c r="J52" i="10" a="1"/>
  <c r="J52" i="10" s="1"/>
  <c r="N56" i="10" a="1"/>
  <c r="N56" i="10" s="1"/>
  <c r="G48" i="10" a="1"/>
  <c r="G48" i="10" s="1"/>
  <c r="I53" i="10" a="1"/>
  <c r="I53" i="10" s="1"/>
  <c r="E48" i="10" a="1"/>
  <c r="E48" i="10" s="1"/>
  <c r="E57" i="10" a="1"/>
  <c r="E57" i="10" s="1"/>
  <c r="O20" i="10" a="1"/>
  <c r="O20" i="10" s="1"/>
  <c r="I52" i="10" a="1"/>
  <c r="I52" i="10" s="1"/>
  <c r="N20" i="10" a="1"/>
  <c r="N20" i="10" s="1"/>
  <c r="D48" i="10" a="1"/>
  <c r="D48" i="10" s="1"/>
  <c r="M20" i="10" a="1"/>
  <c r="M20" i="10" s="1"/>
  <c r="J20" i="10" a="1"/>
  <c r="J20" i="10" s="1"/>
  <c r="I20" i="10" a="1"/>
  <c r="I20" i="10" s="1"/>
  <c r="L20" i="10" a="1"/>
  <c r="L20" i="10" s="1"/>
  <c r="O31" i="10" a="1"/>
  <c r="O31" i="10" s="1"/>
  <c r="N31" i="10" a="1"/>
  <c r="N31" i="10" s="1"/>
  <c r="L53" i="10" a="1"/>
  <c r="L53" i="10" s="1"/>
  <c r="H52" i="10" a="1"/>
  <c r="H52" i="10" s="1"/>
  <c r="D57" i="10" a="1"/>
  <c r="D57" i="10" s="1"/>
  <c r="K20" i="10" a="1"/>
  <c r="K20" i="10" s="1"/>
  <c r="E58" i="10" a="1"/>
  <c r="E58" i="10" s="1"/>
  <c r="E328" i="74" s="1"/>
  <c r="F20" i="10" a="1"/>
  <c r="F20" i="10" s="1"/>
  <c r="G52" i="10" a="1"/>
  <c r="G52" i="10" s="1"/>
  <c r="I58" i="10" a="1"/>
  <c r="I58" i="10" s="1"/>
  <c r="I328" i="74" s="1"/>
  <c r="E20" i="10" a="1"/>
  <c r="E20" i="10" s="1"/>
  <c r="K53" i="10" a="1"/>
  <c r="K53" i="10" s="1"/>
  <c r="G20" i="10" a="1"/>
  <c r="G20" i="10" s="1"/>
  <c r="M31" i="10" a="1"/>
  <c r="M31" i="10" s="1"/>
  <c r="M48" i="10" a="1"/>
  <c r="M48" i="10" s="1"/>
  <c r="H20" i="10" a="1"/>
  <c r="H20" i="10" s="1"/>
  <c r="L31" i="10" a="1"/>
  <c r="L31" i="10" s="1"/>
  <c r="O19" i="10" a="1"/>
  <c r="O19" i="10" s="1"/>
  <c r="N19" i="10" a="1"/>
  <c r="N19" i="10" s="1"/>
  <c r="O56" i="10" a="1"/>
  <c r="O56" i="10" s="1"/>
  <c r="I19" i="10" a="1"/>
  <c r="I19" i="10" s="1"/>
  <c r="D52" i="10" a="1"/>
  <c r="D52" i="10" s="1"/>
  <c r="O50" i="10" a="1"/>
  <c r="O50" i="10" s="1"/>
  <c r="D20" i="10" a="1"/>
  <c r="D20" i="10" s="1"/>
  <c r="L19" i="10" a="1"/>
  <c r="L19" i="10" s="1"/>
  <c r="K19" i="10" a="1"/>
  <c r="K19" i="10" s="1"/>
  <c r="J19" i="10" a="1"/>
  <c r="J19" i="10" s="1"/>
  <c r="F58" i="10" a="1"/>
  <c r="F58" i="10" s="1"/>
  <c r="F328" i="74" s="1"/>
  <c r="K31" i="10" a="1"/>
  <c r="K31" i="10" s="1"/>
  <c r="H31" i="10" a="1"/>
  <c r="H31" i="10" s="1"/>
  <c r="H19" i="10" a="1"/>
  <c r="H19" i="10" s="1"/>
  <c r="F19" i="10" a="1"/>
  <c r="F19" i="10" s="1"/>
  <c r="G19" i="10" a="1"/>
  <c r="G19" i="10" s="1"/>
  <c r="G31" i="10" a="1"/>
  <c r="G31" i="10" s="1"/>
  <c r="F31" i="10" a="1"/>
  <c r="F31" i="10" s="1"/>
  <c r="N50" i="10" a="1"/>
  <c r="N50" i="10" s="1"/>
  <c r="E19" i="10" a="1"/>
  <c r="E19" i="10" s="1"/>
  <c r="F52" i="10" a="1"/>
  <c r="F52" i="10" s="1"/>
  <c r="O17" i="10" a="1"/>
  <c r="O17" i="10" s="1"/>
  <c r="D19" i="10" a="1"/>
  <c r="D19" i="10" s="1"/>
  <c r="G56" i="10" a="1"/>
  <c r="G56" i="10" s="1"/>
  <c r="H53" i="10" a="1"/>
  <c r="H53" i="10" s="1"/>
  <c r="L17" i="10" a="1"/>
  <c r="L17" i="10" s="1"/>
  <c r="J53" i="10" a="1"/>
  <c r="J53" i="10" s="1"/>
  <c r="M17" i="10" a="1"/>
  <c r="M17" i="10" s="1"/>
  <c r="E31" i="10" a="1"/>
  <c r="E31" i="10" s="1"/>
  <c r="G53" i="10" a="1"/>
  <c r="G53" i="10" s="1"/>
  <c r="J31" i="10" a="1"/>
  <c r="J31" i="10" s="1"/>
  <c r="K17" i="10" a="1"/>
  <c r="K17" i="10" s="1"/>
  <c r="M19" i="10" a="1"/>
  <c r="M19" i="10" s="1"/>
  <c r="M50" i="10" a="1"/>
  <c r="M50" i="10" s="1"/>
  <c r="G17" i="10" a="1"/>
  <c r="G17" i="10" s="1"/>
  <c r="F17" i="10" a="1"/>
  <c r="F17" i="10" s="1"/>
  <c r="D31" i="10" a="1"/>
  <c r="D31" i="10" s="1"/>
  <c r="H17" i="10" a="1"/>
  <c r="H17" i="10" s="1"/>
  <c r="N17" i="10" a="1"/>
  <c r="N17" i="10" s="1"/>
  <c r="N15" i="10" a="1"/>
  <c r="N15" i="10" s="1"/>
  <c r="F56" i="10" a="1"/>
  <c r="F56" i="10" s="1"/>
  <c r="L50" i="10" a="1"/>
  <c r="L50" i="10" s="1"/>
  <c r="J56" i="10" a="1"/>
  <c r="J56" i="10" s="1"/>
  <c r="J17" i="10" a="1"/>
  <c r="J17" i="10" s="1"/>
  <c r="D17" i="10" a="1"/>
  <c r="D17" i="10" s="1"/>
  <c r="O29" i="10" a="1"/>
  <c r="O29" i="10" s="1"/>
  <c r="N29" i="10" a="1"/>
  <c r="N29" i="10" s="1"/>
  <c r="E17" i="10" a="1"/>
  <c r="E17" i="10" s="1"/>
  <c r="O15" i="10" a="1"/>
  <c r="O15" i="10" s="1"/>
  <c r="F53" i="10" a="1"/>
  <c r="F53" i="10" s="1"/>
  <c r="J57" i="10" a="1"/>
  <c r="J57" i="10" s="1"/>
  <c r="N57" i="10" a="1"/>
  <c r="N57" i="10" s="1"/>
  <c r="O58" i="10" a="1"/>
  <c r="O58" i="10" s="1"/>
  <c r="O328" i="74" s="1"/>
  <c r="M57" i="10" a="1"/>
  <c r="M57" i="10" s="1"/>
  <c r="D14" i="70" a="1"/>
  <c r="D14" i="70" s="1"/>
  <c r="I14" i="70" a="1"/>
  <c r="I14" i="70" s="1"/>
  <c r="K116" i="70" a="1"/>
  <c r="K116" i="70" s="1"/>
  <c r="F117" i="70" a="1"/>
  <c r="F117" i="70" s="1"/>
  <c r="E117" i="70" a="1"/>
  <c r="E117" i="70" s="1"/>
  <c r="D117" i="70" a="1"/>
  <c r="D117" i="70" s="1"/>
  <c r="N116" i="70" a="1"/>
  <c r="N116" i="70" s="1"/>
  <c r="M116" i="70" a="1"/>
  <c r="M116" i="70" s="1"/>
  <c r="O116" i="70" a="1"/>
  <c r="O116" i="70" s="1"/>
  <c r="L116" i="70" a="1"/>
  <c r="L116" i="70" s="1"/>
  <c r="L14" i="70" a="1"/>
  <c r="L14" i="70" s="1"/>
  <c r="F121" i="70" a="1"/>
  <c r="F121" i="70" s="1"/>
  <c r="F289" i="70" s="1"/>
  <c r="E121" i="70" a="1"/>
  <c r="E121" i="70" s="1"/>
  <c r="E289" i="70" s="1"/>
  <c r="G121" i="70" a="1"/>
  <c r="G121" i="70" s="1"/>
  <c r="G289" i="70" s="1"/>
  <c r="D121" i="70" a="1"/>
  <c r="D121" i="70" s="1"/>
  <c r="O120" i="70" a="1"/>
  <c r="O120" i="70" s="1"/>
  <c r="N120" i="70" a="1"/>
  <c r="N120" i="70" s="1"/>
  <c r="I122" i="70" a="1"/>
  <c r="I122" i="70" s="1"/>
  <c r="I290" i="70" s="1"/>
  <c r="M122" i="70" a="1"/>
  <c r="M122" i="70" s="1"/>
  <c r="M290" i="70" s="1"/>
  <c r="L122" i="70" a="1"/>
  <c r="L122" i="70" s="1"/>
  <c r="L290" i="70" s="1"/>
  <c r="K122" i="70" a="1"/>
  <c r="K122" i="70" s="1"/>
  <c r="K290" i="70" s="1"/>
  <c r="J122" i="70" a="1"/>
  <c r="J122" i="70" s="1"/>
  <c r="J290" i="70" s="1"/>
  <c r="F16" i="70" a="1"/>
  <c r="F16" i="70" s="1"/>
  <c r="G92" i="70" a="1"/>
  <c r="G92" i="70" s="1"/>
  <c r="O54" i="70" a="1"/>
  <c r="O54" i="70" s="1"/>
  <c r="F55" i="70" a="1"/>
  <c r="F55" i="70" s="1"/>
  <c r="O94" i="70" a="1"/>
  <c r="O94" i="70" s="1"/>
  <c r="G89" i="70" a="1"/>
  <c r="G89" i="70" s="1"/>
  <c r="G164" i="44" s="1"/>
  <c r="I82" i="70" a="1"/>
  <c r="I82" i="70" s="1"/>
  <c r="K54" i="70" a="1"/>
  <c r="K54" i="70" s="1"/>
  <c r="E55" i="70" a="1"/>
  <c r="E55" i="70" s="1"/>
  <c r="H82" i="70" a="1"/>
  <c r="H82" i="70" s="1"/>
  <c r="J82" i="70" a="1"/>
  <c r="J82" i="70" s="1"/>
  <c r="D55" i="70" a="1"/>
  <c r="D55" i="70" s="1"/>
  <c r="L99" i="70" a="1"/>
  <c r="L99" i="70" s="1"/>
  <c r="M112" i="70" a="1"/>
  <c r="M112" i="70" s="1"/>
  <c r="H128" i="70" a="1"/>
  <c r="H128" i="70" s="1"/>
  <c r="N54" i="70" a="1"/>
  <c r="N54" i="70" s="1"/>
  <c r="H89" i="70" a="1"/>
  <c r="H89" i="70" s="1"/>
  <c r="H164" i="44" s="1"/>
  <c r="D98" i="70" a="1"/>
  <c r="D98" i="70" s="1"/>
  <c r="L54" i="70" a="1"/>
  <c r="L54" i="70" s="1"/>
  <c r="M54" i="70" a="1"/>
  <c r="M54" i="70" s="1"/>
  <c r="K82" i="70" a="1"/>
  <c r="K82" i="70" s="1"/>
  <c r="K99" i="70" a="1"/>
  <c r="K99" i="70" s="1"/>
  <c r="F51" i="70" a="1"/>
  <c r="F51" i="70" s="1"/>
  <c r="D82" i="70" a="1"/>
  <c r="D82" i="70" s="1"/>
  <c r="F89" i="70" a="1"/>
  <c r="F89" i="70" s="1"/>
  <c r="F164" i="44" s="1"/>
  <c r="I54" i="70" a="1"/>
  <c r="I54" i="70" s="1"/>
  <c r="H51" i="70" a="1"/>
  <c r="H51" i="70" s="1"/>
  <c r="F92" i="70" a="1"/>
  <c r="F92" i="70" s="1"/>
  <c r="D89" i="70" a="1"/>
  <c r="D89" i="70" s="1"/>
  <c r="D256" i="70" s="1"/>
  <c r="F82" i="70" a="1"/>
  <c r="F82" i="70" s="1"/>
  <c r="J54" i="70" a="1"/>
  <c r="J54" i="70" s="1"/>
  <c r="O112" i="70" a="1"/>
  <c r="O112" i="70" s="1"/>
  <c r="L112" i="70" a="1"/>
  <c r="L112" i="70" s="1"/>
  <c r="H54" i="70" a="1"/>
  <c r="H54" i="70" s="1"/>
  <c r="E82" i="70" a="1"/>
  <c r="E82" i="70" s="1"/>
  <c r="G51" i="70" a="1"/>
  <c r="G51" i="70" s="1"/>
  <c r="E89" i="70" a="1"/>
  <c r="E89" i="70" s="1"/>
  <c r="E164" i="44" s="1"/>
  <c r="G82" i="70" a="1"/>
  <c r="G82" i="70" s="1"/>
  <c r="F112" i="70" a="1"/>
  <c r="F112" i="70" s="1"/>
  <c r="E51" i="70" a="1"/>
  <c r="E51" i="70" s="1"/>
  <c r="E128" i="70" a="1"/>
  <c r="E128" i="70" s="1"/>
  <c r="F54" i="70" a="1"/>
  <c r="F54" i="70" s="1"/>
  <c r="G54" i="70" a="1"/>
  <c r="G54" i="70" s="1"/>
  <c r="O51" i="70" a="1"/>
  <c r="O51" i="70" s="1"/>
  <c r="M50" i="70" a="1"/>
  <c r="M50" i="70" s="1"/>
  <c r="O80" i="70" a="1"/>
  <c r="O80" i="70" s="1"/>
  <c r="J50" i="70" a="1"/>
  <c r="J50" i="70" s="1"/>
  <c r="O50" i="70" a="1"/>
  <c r="O50" i="70" s="1"/>
  <c r="N80" i="70" a="1"/>
  <c r="N80" i="70" s="1"/>
  <c r="O88" i="70" a="1"/>
  <c r="O88" i="70" s="1"/>
  <c r="O163" i="44" s="1"/>
  <c r="K50" i="70" a="1"/>
  <c r="K50" i="70" s="1"/>
  <c r="E54" i="70" a="1"/>
  <c r="E54" i="70" s="1"/>
  <c r="N51" i="70" a="1"/>
  <c r="N51" i="70" s="1"/>
  <c r="K117" i="70" a="1"/>
  <c r="K117" i="70" s="1"/>
  <c r="L50" i="70" a="1"/>
  <c r="L50" i="70" s="1"/>
  <c r="L88" i="70" a="1"/>
  <c r="L88" i="70" s="1"/>
  <c r="L163" i="44" s="1"/>
  <c r="N94" i="70" a="1"/>
  <c r="N94" i="70" s="1"/>
  <c r="N50" i="70" a="1"/>
  <c r="N50" i="70" s="1"/>
  <c r="D54" i="70" a="1"/>
  <c r="D54" i="70" s="1"/>
  <c r="D51" i="70" a="1"/>
  <c r="D51" i="70" s="1"/>
  <c r="I50" i="70" a="1"/>
  <c r="I50" i="70" s="1"/>
  <c r="F50" i="70" a="1"/>
  <c r="F50" i="70" s="1"/>
  <c r="M80" i="70" a="1"/>
  <c r="M80" i="70" s="1"/>
  <c r="M82" i="70" a="1"/>
  <c r="M82" i="70" s="1"/>
  <c r="M51" i="70" a="1"/>
  <c r="M51" i="70" s="1"/>
  <c r="L80" i="70" a="1"/>
  <c r="L80" i="70" s="1"/>
  <c r="N48" i="70" a="1"/>
  <c r="N48" i="70" s="1"/>
  <c r="J51" i="70" a="1"/>
  <c r="J51" i="70" s="1"/>
  <c r="O48" i="70" a="1"/>
  <c r="O48" i="70" s="1"/>
  <c r="L51" i="70" a="1"/>
  <c r="L51" i="70" s="1"/>
  <c r="G50" i="70" a="1"/>
  <c r="G50" i="70" s="1"/>
  <c r="D50" i="70" a="1"/>
  <c r="D50" i="70" s="1"/>
  <c r="M48" i="70" a="1"/>
  <c r="M48" i="70" s="1"/>
  <c r="K80" i="70" a="1"/>
  <c r="K80" i="70" s="1"/>
  <c r="I51" i="70" a="1"/>
  <c r="I51" i="70" s="1"/>
  <c r="H50" i="70" a="1"/>
  <c r="H50" i="70" s="1"/>
  <c r="H80" i="70" a="1"/>
  <c r="H80" i="70" s="1"/>
  <c r="M94" i="70" a="1"/>
  <c r="M94" i="70" s="1"/>
  <c r="K88" i="70" a="1"/>
  <c r="K88" i="70" s="1"/>
  <c r="K163" i="44" s="1"/>
  <c r="K51" i="70" a="1"/>
  <c r="K51" i="70" s="1"/>
  <c r="E50" i="70" a="1"/>
  <c r="E50" i="70" s="1"/>
  <c r="F80" i="70" a="1"/>
  <c r="F80" i="70" s="1"/>
  <c r="J94" i="70" a="1"/>
  <c r="J94" i="70" s="1"/>
  <c r="K48" i="70" a="1"/>
  <c r="K48" i="70" s="1"/>
  <c r="J88" i="70" a="1"/>
  <c r="J88" i="70" s="1"/>
  <c r="J163" i="44" s="1"/>
  <c r="L48" i="70" a="1"/>
  <c r="L48" i="70" s="1"/>
  <c r="I88" i="70" a="1"/>
  <c r="I88" i="70" s="1"/>
  <c r="I163" i="44" s="1"/>
  <c r="I48" i="70" a="1"/>
  <c r="I48" i="70" s="1"/>
  <c r="H48" i="70" a="1"/>
  <c r="H48" i="70" s="1"/>
  <c r="H94" i="70" a="1"/>
  <c r="H94" i="70" s="1"/>
  <c r="M117" i="70" a="1"/>
  <c r="M117" i="70" s="1"/>
  <c r="L94" i="70" a="1"/>
  <c r="L94" i="70" s="1"/>
  <c r="H88" i="70" a="1"/>
  <c r="H88" i="70" s="1"/>
  <c r="H163" i="44" s="1"/>
  <c r="J48" i="70" a="1"/>
  <c r="J48" i="70" s="1"/>
  <c r="N88" i="70" a="1"/>
  <c r="N88" i="70" s="1"/>
  <c r="N163" i="44" s="1"/>
  <c r="E80" i="70" a="1"/>
  <c r="E80" i="70" s="1"/>
  <c r="G48" i="70" a="1"/>
  <c r="G48" i="70" s="1"/>
  <c r="G80" i="70" a="1"/>
  <c r="G80" i="70" s="1"/>
  <c r="M98" i="70" a="1"/>
  <c r="M98" i="70" s="1"/>
  <c r="J80" i="70" a="1"/>
  <c r="J80" i="70" s="1"/>
  <c r="J99" i="70" a="1"/>
  <c r="J99" i="70" s="1"/>
  <c r="O78" i="70" a="1"/>
  <c r="O78" i="70" s="1"/>
  <c r="I99" i="70" a="1"/>
  <c r="I99" i="70" s="1"/>
  <c r="F48" i="70" a="1"/>
  <c r="F48" i="70" s="1"/>
  <c r="F94" i="70" a="1"/>
  <c r="F94" i="70" s="1"/>
  <c r="D48" i="70" a="1"/>
  <c r="D48" i="70" s="1"/>
  <c r="L46" i="70" a="1"/>
  <c r="L46" i="70" s="1"/>
  <c r="J46" i="70" a="1"/>
  <c r="J46" i="70" s="1"/>
  <c r="M46" i="70" a="1"/>
  <c r="M46" i="70" s="1"/>
  <c r="G94" i="70" a="1"/>
  <c r="G94" i="70" s="1"/>
  <c r="K46" i="70" a="1"/>
  <c r="K46" i="70" s="1"/>
  <c r="D80" i="70" a="1"/>
  <c r="D80" i="70" s="1"/>
  <c r="E48" i="70" a="1"/>
  <c r="E48" i="70" s="1"/>
  <c r="O99" i="70" a="1"/>
  <c r="O99" i="70" s="1"/>
  <c r="K112" i="70" a="1"/>
  <c r="K112" i="70" s="1"/>
  <c r="N46" i="70" a="1"/>
  <c r="N46" i="70" s="1"/>
  <c r="I46" i="70" a="1"/>
  <c r="I46" i="70" s="1"/>
  <c r="K94" i="70" a="1"/>
  <c r="K94" i="70" s="1"/>
  <c r="G88" i="70" a="1"/>
  <c r="G88" i="70" s="1"/>
  <c r="G163" i="44" s="1"/>
  <c r="N78" i="70" a="1"/>
  <c r="N78" i="70" s="1"/>
  <c r="F88" i="70" a="1"/>
  <c r="F88" i="70" s="1"/>
  <c r="F163" i="44" s="1"/>
  <c r="O46" i="70" a="1"/>
  <c r="O46" i="70" s="1"/>
  <c r="K78" i="70" a="1"/>
  <c r="K78" i="70" s="1"/>
  <c r="L30" i="70" a="1"/>
  <c r="L30" i="70" s="1"/>
  <c r="E88" i="70" a="1"/>
  <c r="E88" i="70" s="1"/>
  <c r="E163" i="44" s="1"/>
  <c r="M78" i="70" a="1"/>
  <c r="M78" i="70" s="1"/>
  <c r="G128" i="70" a="1"/>
  <c r="G128" i="70" s="1"/>
  <c r="G46" i="70" a="1"/>
  <c r="G46" i="70" s="1"/>
  <c r="L78" i="70" a="1"/>
  <c r="L78" i="70" s="1"/>
  <c r="D88" i="70" a="1"/>
  <c r="D88" i="70" s="1"/>
  <c r="D255" i="70" s="1"/>
  <c r="H46" i="70" a="1"/>
  <c r="H46" i="70" s="1"/>
  <c r="F46" i="70" a="1"/>
  <c r="F46" i="70" s="1"/>
  <c r="H99" i="70" a="1"/>
  <c r="H99" i="70" s="1"/>
  <c r="O30" i="70" a="1"/>
  <c r="O30" i="70" s="1"/>
  <c r="J112" i="70" a="1"/>
  <c r="J112" i="70" s="1"/>
  <c r="J117" i="70" a="1"/>
  <c r="J117" i="70" s="1"/>
  <c r="N30" i="70" a="1"/>
  <c r="N30" i="70" s="1"/>
  <c r="D94" i="70" a="1"/>
  <c r="D94" i="70" s="1"/>
  <c r="I78" i="70" a="1"/>
  <c r="I78" i="70" s="1"/>
  <c r="G78" i="70" a="1"/>
  <c r="G78" i="70" s="1"/>
  <c r="D46" i="70" a="1"/>
  <c r="D46" i="70" s="1"/>
  <c r="D128" i="70" a="1"/>
  <c r="D128" i="70" s="1"/>
  <c r="D78" i="70" a="1"/>
  <c r="D78" i="70" s="1"/>
  <c r="E46" i="70" a="1"/>
  <c r="E46" i="70" s="1"/>
  <c r="H78" i="70" a="1"/>
  <c r="H78" i="70" s="1"/>
  <c r="J78" i="70" a="1"/>
  <c r="J78" i="70" s="1"/>
  <c r="O87" i="70" a="1"/>
  <c r="O87" i="70" s="1"/>
  <c r="E94" i="70" a="1"/>
  <c r="E94" i="70" s="1"/>
  <c r="M30" i="70" a="1"/>
  <c r="M30" i="70" s="1"/>
  <c r="N87" i="70" a="1"/>
  <c r="N87" i="70" s="1"/>
  <c r="M88" i="70" a="1"/>
  <c r="M88" i="70" s="1"/>
  <c r="M163" i="44" s="1"/>
  <c r="F78" i="70" a="1"/>
  <c r="F78" i="70" s="1"/>
  <c r="H30" i="70" a="1"/>
  <c r="H30" i="70" s="1"/>
  <c r="L87" i="70" a="1"/>
  <c r="L87" i="70" s="1"/>
  <c r="I30" i="70" a="1"/>
  <c r="I30" i="70" s="1"/>
  <c r="O62" i="70" a="1"/>
  <c r="O62" i="70" s="1"/>
  <c r="M87" i="70" a="1"/>
  <c r="M87" i="70" s="1"/>
  <c r="F30" i="70" a="1"/>
  <c r="F30" i="70" s="1"/>
  <c r="K30" i="70" a="1"/>
  <c r="K30" i="70" s="1"/>
  <c r="J30" i="70" a="1"/>
  <c r="J30" i="70" s="1"/>
  <c r="G30" i="70" a="1"/>
  <c r="G30" i="70" s="1"/>
  <c r="E30" i="70" a="1"/>
  <c r="E30" i="70" s="1"/>
  <c r="O92" i="70" a="1"/>
  <c r="O92" i="70" s="1"/>
  <c r="N62" i="70" a="1"/>
  <c r="N62" i="70" s="1"/>
  <c r="M62" i="70" a="1"/>
  <c r="M62" i="70" s="1"/>
  <c r="I112" i="70" a="1"/>
  <c r="I112" i="70" s="1"/>
  <c r="H87" i="70" a="1"/>
  <c r="H87" i="70" s="1"/>
  <c r="D30" i="70" a="1"/>
  <c r="D30" i="70" s="1"/>
  <c r="I80" i="70" a="1"/>
  <c r="I80" i="70" s="1"/>
  <c r="L28" i="70" a="1"/>
  <c r="L28" i="70" s="1"/>
  <c r="K62" i="70" a="1"/>
  <c r="K62" i="70" s="1"/>
  <c r="M28" i="70" a="1"/>
  <c r="M28" i="70" s="1"/>
  <c r="K87" i="70" a="1"/>
  <c r="K87" i="70" s="1"/>
  <c r="N28" i="70" a="1"/>
  <c r="N28" i="70" s="1"/>
  <c r="L62" i="70" a="1"/>
  <c r="L62" i="70" s="1"/>
  <c r="O28" i="70" a="1"/>
  <c r="O28" i="70" s="1"/>
  <c r="J62" i="70" a="1"/>
  <c r="J62" i="70" s="1"/>
  <c r="I117" i="70" a="1"/>
  <c r="I117" i="70" s="1"/>
  <c r="F99" i="70" a="1"/>
  <c r="F99" i="70" s="1"/>
  <c r="G87" i="70" a="1"/>
  <c r="G87" i="70" s="1"/>
  <c r="G99" i="70" a="1"/>
  <c r="G99" i="70" s="1"/>
  <c r="E62" i="70" a="1"/>
  <c r="E62" i="70" s="1"/>
  <c r="E92" i="70" a="1"/>
  <c r="E92" i="70" s="1"/>
  <c r="M92" i="70" a="1"/>
  <c r="M92" i="70" s="1"/>
  <c r="N92" i="70" a="1"/>
  <c r="N92" i="70" s="1"/>
  <c r="F28" i="70" a="1"/>
  <c r="F28" i="70" s="1"/>
  <c r="O86" i="70" a="1"/>
  <c r="O86" i="70" s="1"/>
  <c r="F87" i="70" a="1"/>
  <c r="F87" i="70" s="1"/>
  <c r="L98" i="70" a="1"/>
  <c r="L98" i="70" s="1"/>
  <c r="E87" i="70" a="1"/>
  <c r="E87" i="70" s="1"/>
  <c r="L92" i="70" a="1"/>
  <c r="L92" i="70" s="1"/>
  <c r="I62" i="70" a="1"/>
  <c r="I62" i="70" s="1"/>
  <c r="D62" i="70" a="1"/>
  <c r="D62" i="70" s="1"/>
  <c r="J87" i="70" a="1"/>
  <c r="J87" i="70" s="1"/>
  <c r="H62" i="70" a="1"/>
  <c r="H62" i="70" s="1"/>
  <c r="D87" i="70" a="1"/>
  <c r="D87" i="70" s="1"/>
  <c r="F62" i="70" a="1"/>
  <c r="F62" i="70" s="1"/>
  <c r="G62" i="70" a="1"/>
  <c r="G62" i="70" s="1"/>
  <c r="O60" i="70" a="1"/>
  <c r="O60" i="70" s="1"/>
  <c r="K60" i="70" a="1"/>
  <c r="K60" i="70" s="1"/>
  <c r="K98" i="70" a="1"/>
  <c r="K98" i="70" s="1"/>
  <c r="N86" i="70" a="1"/>
  <c r="N86" i="70" s="1"/>
  <c r="J60" i="70" a="1"/>
  <c r="J60" i="70" s="1"/>
  <c r="L60" i="70" a="1"/>
  <c r="L60" i="70" s="1"/>
  <c r="K28" i="70" a="1"/>
  <c r="K28" i="70" s="1"/>
  <c r="J28" i="70" a="1"/>
  <c r="J28" i="70" s="1"/>
  <c r="H60" i="70" a="1"/>
  <c r="H60" i="70" s="1"/>
  <c r="H28" i="70" a="1"/>
  <c r="H28" i="70" s="1"/>
  <c r="G28" i="70" a="1"/>
  <c r="G28" i="70" s="1"/>
  <c r="L86" i="70" a="1"/>
  <c r="L86" i="70" s="1"/>
  <c r="E28" i="70" a="1"/>
  <c r="E28" i="70" s="1"/>
  <c r="K92" i="70" a="1"/>
  <c r="K92" i="70" s="1"/>
  <c r="M86" i="70" a="1"/>
  <c r="M86" i="70" s="1"/>
  <c r="I60" i="70" a="1"/>
  <c r="I60" i="70" s="1"/>
  <c r="G60" i="70" a="1"/>
  <c r="G60" i="70" s="1"/>
  <c r="D28" i="70" a="1"/>
  <c r="D28" i="70" s="1"/>
  <c r="N60" i="70" a="1"/>
  <c r="N60" i="70" s="1"/>
  <c r="I28" i="70" a="1"/>
  <c r="I28" i="70" s="1"/>
  <c r="J98" i="70" a="1"/>
  <c r="J98" i="70" s="1"/>
  <c r="J92" i="70" a="1"/>
  <c r="J92" i="70" s="1"/>
  <c r="I94" i="70" a="1"/>
  <c r="I94" i="70" s="1"/>
  <c r="E99" i="70" a="1"/>
  <c r="E99" i="70" s="1"/>
  <c r="F60" i="70" a="1"/>
  <c r="F60" i="70" s="1"/>
  <c r="H112" i="70" a="1"/>
  <c r="H112" i="70" s="1"/>
  <c r="K86" i="70" a="1"/>
  <c r="K86" i="70" s="1"/>
  <c r="M57" i="70" a="1"/>
  <c r="M57" i="70" s="1"/>
  <c r="J86" i="70" a="1"/>
  <c r="J86" i="70" s="1"/>
  <c r="E60" i="70" a="1"/>
  <c r="E60" i="70" s="1"/>
  <c r="D60" i="70" a="1"/>
  <c r="D60" i="70" s="1"/>
  <c r="L117" i="70" a="1"/>
  <c r="L117" i="70" s="1"/>
  <c r="O57" i="70" a="1"/>
  <c r="O57" i="70" s="1"/>
  <c r="E78" i="70" a="1"/>
  <c r="E78" i="70" s="1"/>
  <c r="M60" i="70" a="1"/>
  <c r="M60" i="70" s="1"/>
  <c r="N57" i="70" a="1"/>
  <c r="N57" i="70" s="1"/>
  <c r="H92" i="70" a="1"/>
  <c r="H92" i="70" s="1"/>
  <c r="I92" i="70" a="1"/>
  <c r="I92" i="70" s="1"/>
  <c r="H117" i="70" a="1"/>
  <c r="H117" i="70" s="1"/>
  <c r="I86" i="70" a="1"/>
  <c r="I86" i="70" s="1"/>
  <c r="E112" i="70" a="1"/>
  <c r="E112" i="70" s="1"/>
  <c r="N98" i="70" a="1"/>
  <c r="N98" i="70" s="1"/>
  <c r="I98" i="70" a="1"/>
  <c r="I98" i="70" s="1"/>
  <c r="L57" i="70" a="1"/>
  <c r="L57" i="70" s="1"/>
  <c r="K57" i="70" a="1"/>
  <c r="K57" i="70" s="1"/>
  <c r="H57" i="70" a="1"/>
  <c r="H57" i="70" s="1"/>
  <c r="G57" i="70" a="1"/>
  <c r="G57" i="70" s="1"/>
  <c r="G112" i="70" a="1"/>
  <c r="G112" i="70" s="1"/>
  <c r="D92" i="70" a="1"/>
  <c r="D92" i="70" s="1"/>
  <c r="F57" i="70" a="1"/>
  <c r="F57" i="70" s="1"/>
  <c r="D86" i="70" a="1"/>
  <c r="D86" i="70" s="1"/>
  <c r="E57" i="70" a="1"/>
  <c r="E57" i="70" s="1"/>
  <c r="H86" i="70" a="1"/>
  <c r="H86" i="70" s="1"/>
  <c r="O83" i="70" a="1"/>
  <c r="O83" i="70" s="1"/>
  <c r="D57" i="70" a="1"/>
  <c r="D57" i="70" s="1"/>
  <c r="D221" i="70" s="1"/>
  <c r="I87" i="70" a="1"/>
  <c r="I87" i="70" s="1"/>
  <c r="O89" i="70" a="1"/>
  <c r="O89" i="70" s="1"/>
  <c r="O164" i="44" s="1"/>
  <c r="F86" i="70" a="1"/>
  <c r="F86" i="70" s="1"/>
  <c r="D99" i="70" a="1"/>
  <c r="D99" i="70" s="1"/>
  <c r="G86" i="70" a="1"/>
  <c r="G86" i="70" s="1"/>
  <c r="N83" i="70" a="1"/>
  <c r="N83" i="70" s="1"/>
  <c r="M19" i="70" a="1"/>
  <c r="M19" i="70" s="1"/>
  <c r="O19" i="70" a="1"/>
  <c r="O19" i="70" s="1"/>
  <c r="N19" i="70" a="1"/>
  <c r="N19" i="70" s="1"/>
  <c r="O56" i="70" a="1"/>
  <c r="O56" i="70" s="1"/>
  <c r="L19" i="70" a="1"/>
  <c r="L19" i="70" s="1"/>
  <c r="K19" i="70" a="1"/>
  <c r="K19" i="70" s="1"/>
  <c r="J19" i="70" a="1"/>
  <c r="J19" i="70" s="1"/>
  <c r="H19" i="70" a="1"/>
  <c r="H19" i="70" s="1"/>
  <c r="I19" i="70" a="1"/>
  <c r="I19" i="70" s="1"/>
  <c r="L83" i="70" a="1"/>
  <c r="L83" i="70" s="1"/>
  <c r="N112" i="70" a="1"/>
  <c r="N112" i="70" s="1"/>
  <c r="G19" i="70" a="1"/>
  <c r="G19" i="70" s="1"/>
  <c r="L56" i="70" a="1"/>
  <c r="L56" i="70" s="1"/>
  <c r="D19" i="70" a="1"/>
  <c r="D19" i="70" s="1"/>
  <c r="M56" i="70" a="1"/>
  <c r="M56" i="70" s="1"/>
  <c r="F19" i="70" a="1"/>
  <c r="F19" i="70" s="1"/>
  <c r="O18" i="70" a="1"/>
  <c r="O18" i="70" s="1"/>
  <c r="N56" i="70" a="1"/>
  <c r="N56" i="70" s="1"/>
  <c r="M83" i="70" a="1"/>
  <c r="M83" i="70" s="1"/>
  <c r="J57" i="70" a="1"/>
  <c r="J57" i="70" s="1"/>
  <c r="N89" i="70" a="1"/>
  <c r="N89" i="70" s="1"/>
  <c r="N164" i="44" s="1"/>
  <c r="E19" i="70" a="1"/>
  <c r="E19" i="70" s="1"/>
  <c r="H98" i="70" a="1"/>
  <c r="H98" i="70" s="1"/>
  <c r="N18" i="70" a="1"/>
  <c r="N18" i="70" s="1"/>
  <c r="M18" i="70" a="1"/>
  <c r="M18" i="70" s="1"/>
  <c r="K56" i="70" a="1"/>
  <c r="K56" i="70" s="1"/>
  <c r="L18" i="70" a="1"/>
  <c r="L18" i="70" s="1"/>
  <c r="K18" i="70" a="1"/>
  <c r="K18" i="70" s="1"/>
  <c r="I18" i="70" a="1"/>
  <c r="I18" i="70" s="1"/>
  <c r="K83" i="70" a="1"/>
  <c r="K83" i="70" s="1"/>
  <c r="J18" i="70" a="1"/>
  <c r="J18" i="70" s="1"/>
  <c r="J56" i="70" a="1"/>
  <c r="J56" i="70" s="1"/>
  <c r="G98" i="70" a="1"/>
  <c r="G98" i="70" s="1"/>
  <c r="I56" i="70" a="1"/>
  <c r="I56" i="70" s="1"/>
  <c r="H18" i="70" a="1"/>
  <c r="H18" i="70" s="1"/>
  <c r="G18" i="70" a="1"/>
  <c r="G18" i="70" s="1"/>
  <c r="M89" i="70" a="1"/>
  <c r="M89" i="70" s="1"/>
  <c r="M164" i="44" s="1"/>
  <c r="H56" i="70" a="1"/>
  <c r="H56" i="70" s="1"/>
  <c r="E18" i="70" a="1"/>
  <c r="E18" i="70" s="1"/>
  <c r="F18" i="70" a="1"/>
  <c r="F18" i="70" s="1"/>
  <c r="J83" i="70" a="1"/>
  <c r="J83" i="70" s="1"/>
  <c r="O98" i="70" a="1"/>
  <c r="O98" i="70" s="1"/>
  <c r="O16" i="70" a="1"/>
  <c r="O16" i="70" s="1"/>
  <c r="O55" i="70" a="1"/>
  <c r="O55" i="70" s="1"/>
  <c r="N99" i="70" a="1"/>
  <c r="N99" i="70" s="1"/>
  <c r="H83" i="70" a="1"/>
  <c r="H83" i="70" s="1"/>
  <c r="D18" i="70" a="1"/>
  <c r="D18" i="70" s="1"/>
  <c r="I83" i="70" a="1"/>
  <c r="I83" i="70" s="1"/>
  <c r="G56" i="70" a="1"/>
  <c r="G56" i="70" s="1"/>
  <c r="D56" i="70" a="1"/>
  <c r="D56" i="70" s="1"/>
  <c r="D220" i="70" s="1"/>
  <c r="F98" i="70" a="1"/>
  <c r="F98" i="70" s="1"/>
  <c r="N16" i="70" a="1"/>
  <c r="N16" i="70" s="1"/>
  <c r="F56" i="70" a="1"/>
  <c r="F56" i="70" s="1"/>
  <c r="F128" i="70" a="1"/>
  <c r="F128" i="70" s="1"/>
  <c r="L16" i="70" a="1"/>
  <c r="L16" i="70" s="1"/>
  <c r="M16" i="70" a="1"/>
  <c r="M16" i="70" s="1"/>
  <c r="L89" i="70" a="1"/>
  <c r="L89" i="70" s="1"/>
  <c r="L164" i="44" s="1"/>
  <c r="D112" i="70" a="1"/>
  <c r="D112" i="70" s="1"/>
  <c r="G83" i="70" a="1"/>
  <c r="G83" i="70" s="1"/>
  <c r="H16" i="70" a="1"/>
  <c r="H16" i="70" s="1"/>
  <c r="K89" i="70" a="1"/>
  <c r="K89" i="70" s="1"/>
  <c r="K164" i="44" s="1"/>
  <c r="J16" i="70" a="1"/>
  <c r="J16" i="70" s="1"/>
  <c r="I16" i="70" a="1"/>
  <c r="I16" i="70" s="1"/>
  <c r="G117" i="70" a="1"/>
  <c r="G117" i="70" s="1"/>
  <c r="G16" i="70" a="1"/>
  <c r="G16" i="70" s="1"/>
  <c r="N55" i="70" a="1"/>
  <c r="N55" i="70" s="1"/>
  <c r="K16" i="70" a="1"/>
  <c r="K16" i="70" s="1"/>
  <c r="J89" i="70" a="1"/>
  <c r="J89" i="70" s="1"/>
  <c r="J164" i="44" s="1"/>
  <c r="E83" i="70" a="1"/>
  <c r="E83" i="70" s="1"/>
  <c r="I55" i="70" a="1"/>
  <c r="I55" i="70" s="1"/>
  <c r="G55" i="70" a="1"/>
  <c r="G55" i="70" s="1"/>
  <c r="E86" i="70" a="1"/>
  <c r="E86" i="70" s="1"/>
  <c r="I89" i="70" a="1"/>
  <c r="I89" i="70" s="1"/>
  <c r="I164" i="44" s="1"/>
  <c r="I57" i="70" a="1"/>
  <c r="I57" i="70" s="1"/>
  <c r="N82" i="70" a="1"/>
  <c r="N82" i="70" s="1"/>
  <c r="D83" i="70" a="1"/>
  <c r="D83" i="70" s="1"/>
  <c r="J55" i="70" a="1"/>
  <c r="J55" i="70" s="1"/>
  <c r="L55" i="70" a="1"/>
  <c r="L55" i="70" s="1"/>
  <c r="F83" i="70" a="1"/>
  <c r="F83" i="70" s="1"/>
  <c r="E56" i="70" a="1"/>
  <c r="E56" i="70" s="1"/>
  <c r="E98" i="70" a="1"/>
  <c r="E98" i="70" s="1"/>
  <c r="M99" i="70" a="1"/>
  <c r="M99" i="70" s="1"/>
  <c r="O82" i="70" a="1"/>
  <c r="O82" i="70" s="1"/>
  <c r="L82" i="70" a="1"/>
  <c r="L82" i="70" s="1"/>
  <c r="K55" i="70" a="1"/>
  <c r="K55" i="70" s="1"/>
  <c r="H55" i="70" a="1"/>
  <c r="H55" i="70" s="1"/>
  <c r="M55" i="70" a="1"/>
  <c r="M55" i="70" s="1"/>
  <c r="L126" i="70" a="1"/>
  <c r="L126" i="70" s="1"/>
  <c r="N126" i="70" a="1"/>
  <c r="N126" i="70" s="1"/>
  <c r="O14" i="70" a="1"/>
  <c r="O14" i="70" s="1"/>
  <c r="K126" i="70" a="1"/>
  <c r="K126" i="70" s="1"/>
  <c r="O126" i="70" a="1"/>
  <c r="O126" i="70" s="1"/>
  <c r="M126" i="70" a="1"/>
  <c r="M126" i="70" s="1"/>
  <c r="E126" i="70" a="1"/>
  <c r="E126" i="70" s="1"/>
  <c r="D126" i="70" a="1"/>
  <c r="D126" i="70" s="1"/>
  <c r="O123" i="70" a="1"/>
  <c r="O123" i="70" s="1"/>
  <c r="O291" i="70" s="1"/>
  <c r="N123" i="70" a="1"/>
  <c r="N123" i="70" s="1"/>
  <c r="N291" i="70" s="1"/>
  <c r="M123" i="70" a="1"/>
  <c r="M123" i="70" s="1"/>
  <c r="M291" i="70" s="1"/>
  <c r="L128" i="70" a="1"/>
  <c r="L128" i="70" s="1"/>
  <c r="M128" i="70" a="1"/>
  <c r="M128" i="70" s="1"/>
  <c r="J128" i="70" a="1"/>
  <c r="J128" i="70" s="1"/>
  <c r="I128" i="70" a="1"/>
  <c r="I128" i="70" s="1"/>
  <c r="K128" i="70" a="1"/>
  <c r="K128" i="70" s="1"/>
  <c r="F123" i="70" a="1"/>
  <c r="F123" i="70" s="1"/>
  <c r="F291" i="70" s="1"/>
  <c r="E123" i="70" a="1"/>
  <c r="E123" i="70" s="1"/>
  <c r="E291" i="70" s="1"/>
  <c r="D123" i="70" a="1"/>
  <c r="D123" i="70" s="1"/>
  <c r="D291" i="70" s="1"/>
  <c r="O122" i="70" a="1"/>
  <c r="O122" i="70" s="1"/>
  <c r="O290" i="70" s="1"/>
  <c r="N122" i="70" a="1"/>
  <c r="N122" i="70" s="1"/>
  <c r="N290" i="70" s="1"/>
  <c r="G123" i="70" a="1"/>
  <c r="G123" i="70" s="1"/>
  <c r="G291" i="70" s="1"/>
  <c r="L123" i="70" a="1"/>
  <c r="L123" i="70" s="1"/>
  <c r="L291" i="70" s="1"/>
  <c r="K123" i="70" a="1"/>
  <c r="K123" i="70" s="1"/>
  <c r="K291" i="70" s="1"/>
  <c r="J123" i="70" a="1"/>
  <c r="J123" i="70" s="1"/>
  <c r="J291" i="70" s="1"/>
  <c r="I123" i="70" a="1"/>
  <c r="I123" i="70" s="1"/>
  <c r="I291" i="70" s="1"/>
  <c r="M14" i="70" a="1"/>
  <c r="M14" i="70" s="1"/>
  <c r="H123" i="70" a="1"/>
  <c r="H123" i="70" s="1"/>
  <c r="H291" i="70" s="1"/>
  <c r="N14" i="70" a="1"/>
  <c r="N14" i="70" s="1"/>
  <c r="N128" i="70" a="1"/>
  <c r="N128" i="70" s="1"/>
  <c r="O128" i="70" a="1"/>
  <c r="O128" i="70" s="1"/>
  <c r="F126" i="70" a="1"/>
  <c r="F126" i="70" s="1"/>
  <c r="J126" i="70" a="1"/>
  <c r="J126" i="70" s="1"/>
  <c r="I126" i="70" a="1"/>
  <c r="I126" i="70" s="1"/>
  <c r="H126" i="70" a="1"/>
  <c r="H126" i="70" s="1"/>
  <c r="G126" i="70" a="1"/>
  <c r="G126" i="70" s="1"/>
  <c r="E16" i="70" a="1"/>
  <c r="E16" i="70" s="1"/>
  <c r="G122" i="70" a="1"/>
  <c r="G122" i="70" s="1"/>
  <c r="G290" i="70" s="1"/>
  <c r="E116" i="70" a="1"/>
  <c r="E116" i="70" s="1"/>
  <c r="F116" i="70" a="1"/>
  <c r="F116" i="70" s="1"/>
  <c r="K120" i="70" a="1"/>
  <c r="K120" i="70" s="1"/>
  <c r="D116" i="70" a="1"/>
  <c r="D116" i="70" s="1"/>
  <c r="E122" i="70" a="1"/>
  <c r="E122" i="70" s="1"/>
  <c r="E290" i="70" s="1"/>
  <c r="I120" i="70" a="1"/>
  <c r="I120" i="70" s="1"/>
  <c r="L120" i="70" a="1"/>
  <c r="L120" i="70" s="1"/>
  <c r="F122" i="70" a="1"/>
  <c r="F122" i="70" s="1"/>
  <c r="F290" i="70" s="1"/>
  <c r="N114" i="70" a="1"/>
  <c r="N114" i="70" s="1"/>
  <c r="O114" i="70" a="1"/>
  <c r="O114" i="70" s="1"/>
  <c r="J120" i="70" a="1"/>
  <c r="J120" i="70" s="1"/>
  <c r="G116" i="70" a="1"/>
  <c r="G116" i="70" s="1"/>
  <c r="F120" i="70" a="1"/>
  <c r="F120" i="70" s="1"/>
  <c r="D122" i="70" a="1"/>
  <c r="D122" i="70" s="1"/>
  <c r="D290" i="70" s="1"/>
  <c r="J114" i="70" a="1"/>
  <c r="J114" i="70" s="1"/>
  <c r="E120" i="70" a="1"/>
  <c r="E120" i="70" s="1"/>
  <c r="M120" i="70" a="1"/>
  <c r="M120" i="70" s="1"/>
  <c r="G114" i="70" a="1"/>
  <c r="G114" i="70" s="1"/>
  <c r="F114" i="70" a="1"/>
  <c r="F114" i="70" s="1"/>
  <c r="D120" i="70" a="1"/>
  <c r="D120" i="70" s="1"/>
  <c r="L114" i="70" a="1"/>
  <c r="L114" i="70" s="1"/>
  <c r="H114" i="70" a="1"/>
  <c r="H114" i="70" s="1"/>
  <c r="I114" i="70" a="1"/>
  <c r="I114" i="70" s="1"/>
  <c r="J116" i="70" a="1"/>
  <c r="J116" i="70" s="1"/>
  <c r="M114" i="70" a="1"/>
  <c r="M114" i="70" s="1"/>
  <c r="H120" i="70" a="1"/>
  <c r="H120" i="70" s="1"/>
  <c r="O121" i="70" a="1"/>
  <c r="O121" i="70" s="1"/>
  <c r="O289" i="70" s="1"/>
  <c r="E114" i="70" a="1"/>
  <c r="E114" i="70" s="1"/>
  <c r="K114" i="70" a="1"/>
  <c r="K114" i="70" s="1"/>
  <c r="D114" i="70" a="1"/>
  <c r="D114" i="70" s="1"/>
  <c r="E14" i="70" a="1"/>
  <c r="E14" i="70" s="1"/>
  <c r="H122" i="70" a="1"/>
  <c r="H122" i="70" s="1"/>
  <c r="H290" i="70" s="1"/>
  <c r="G120" i="70" a="1"/>
  <c r="G120" i="70" s="1"/>
  <c r="I116" i="70" a="1"/>
  <c r="I116" i="70" s="1"/>
  <c r="H116" i="70" a="1"/>
  <c r="H116" i="70" s="1"/>
  <c r="N117" i="70" a="1"/>
  <c r="N117" i="70" s="1"/>
  <c r="O117" i="70" a="1"/>
  <c r="O117" i="70" s="1"/>
  <c r="F14" i="70" a="1"/>
  <c r="F14" i="70" s="1"/>
  <c r="G14" i="70" a="1"/>
  <c r="G14" i="70" s="1"/>
  <c r="H121" i="70" a="1"/>
  <c r="H121" i="70" s="1"/>
  <c r="H289" i="70" s="1"/>
  <c r="M121" i="70" a="1"/>
  <c r="M121" i="70" s="1"/>
  <c r="M289" i="70" s="1"/>
  <c r="N121" i="70" a="1"/>
  <c r="N121" i="70" s="1"/>
  <c r="N289" i="70" s="1"/>
  <c r="L121" i="70" a="1"/>
  <c r="L121" i="70" s="1"/>
  <c r="L289" i="70" s="1"/>
  <c r="J121" i="70" a="1"/>
  <c r="J121" i="70" s="1"/>
  <c r="J289" i="70" s="1"/>
  <c r="I121" i="70" a="1"/>
  <c r="I121" i="70" s="1"/>
  <c r="I289" i="70" s="1"/>
  <c r="K121" i="70" a="1"/>
  <c r="K121" i="70" s="1"/>
  <c r="K289" i="70" s="1"/>
  <c r="D16" i="70" a="1"/>
  <c r="D16" i="70" s="1"/>
  <c r="D16" i="44" a="1"/>
  <c r="D16" i="44" s="1"/>
  <c r="E16" i="44" a="1"/>
  <c r="E16" i="44" s="1"/>
  <c r="O14" i="44" a="1"/>
  <c r="O14" i="44" s="1"/>
  <c r="N28" i="44" a="1"/>
  <c r="N28" i="44" s="1"/>
  <c r="N14" i="44" a="1"/>
  <c r="N14" i="44" s="1"/>
  <c r="M28" i="44" a="1"/>
  <c r="M28" i="44" s="1"/>
  <c r="D18" i="44" a="1"/>
  <c r="D18" i="44" s="1"/>
  <c r="O30" i="44" a="1"/>
  <c r="O30" i="44" s="1"/>
  <c r="E31" i="65" s="1"/>
  <c r="O16" i="44" a="1"/>
  <c r="O16" i="44" s="1"/>
  <c r="H28" i="44" a="1"/>
  <c r="H28" i="44" s="1"/>
  <c r="N16" i="44" a="1"/>
  <c r="N16" i="44" s="1"/>
  <c r="I28" i="44" a="1"/>
  <c r="I28" i="44" s="1"/>
  <c r="I14" i="44" a="1"/>
  <c r="I14" i="44" s="1"/>
  <c r="E28" i="44" a="1"/>
  <c r="E28" i="44" s="1"/>
  <c r="H14" i="44" a="1"/>
  <c r="H14" i="44" s="1"/>
  <c r="G14" i="44" a="1"/>
  <c r="G14" i="44" s="1"/>
  <c r="D28" i="44" a="1"/>
  <c r="D28" i="44" s="1"/>
  <c r="F14" i="44" a="1"/>
  <c r="F14" i="44" s="1"/>
  <c r="G18" i="44" a="1"/>
  <c r="G18" i="44" s="1"/>
  <c r="H18" i="44" a="1"/>
  <c r="H18" i="44" s="1"/>
  <c r="F18" i="44" a="1"/>
  <c r="F18" i="44" s="1"/>
  <c r="E18" i="44" a="1"/>
  <c r="E18" i="44" s="1"/>
  <c r="O28" i="44" a="1"/>
  <c r="O28" i="44" s="1"/>
  <c r="E29" i="65" s="1"/>
  <c r="O19" i="44" a="1"/>
  <c r="O19" i="44" s="1"/>
  <c r="N19" i="44" a="1"/>
  <c r="N19" i="44" s="1"/>
  <c r="L30" i="44" a="1"/>
  <c r="L30" i="44" s="1"/>
  <c r="D30" i="44" a="1"/>
  <c r="D30" i="44" s="1"/>
  <c r="L19" i="44" a="1"/>
  <c r="L19" i="44" s="1"/>
  <c r="M19" i="44" a="1"/>
  <c r="M19" i="44" s="1"/>
  <c r="E30" i="44" a="1"/>
  <c r="E30" i="44" s="1"/>
  <c r="K19" i="44" a="1"/>
  <c r="K19" i="44" s="1"/>
  <c r="N18" i="44" a="1"/>
  <c r="N18" i="44" s="1"/>
  <c r="O18" i="44" a="1"/>
  <c r="O18" i="44" s="1"/>
  <c r="M18" i="44" a="1"/>
  <c r="M18" i="44" s="1"/>
  <c r="J30" i="44" a="1"/>
  <c r="J30" i="44" s="1"/>
  <c r="K30" i="44" a="1"/>
  <c r="K30" i="44" s="1"/>
  <c r="L18" i="44" a="1"/>
  <c r="L18" i="44" s="1"/>
  <c r="G28" i="44" a="1"/>
  <c r="G28" i="44" s="1"/>
  <c r="F28" i="44" a="1"/>
  <c r="F28" i="44" s="1"/>
  <c r="M14" i="44" a="1"/>
  <c r="M14" i="44" s="1"/>
  <c r="K14" i="44" a="1"/>
  <c r="K14" i="44" s="1"/>
  <c r="J14" i="44" a="1"/>
  <c r="J14" i="44" s="1"/>
  <c r="L14" i="44" a="1"/>
  <c r="L14" i="44" s="1"/>
  <c r="I18" i="44" a="1"/>
  <c r="I18" i="44" s="1"/>
  <c r="K18" i="44" a="1"/>
  <c r="K18" i="44" s="1"/>
  <c r="J18" i="44" a="1"/>
  <c r="J18" i="44" s="1"/>
  <c r="D19" i="44" a="1"/>
  <c r="D19" i="44" s="1"/>
  <c r="I30" i="44" a="1"/>
  <c r="I30" i="44" s="1"/>
  <c r="F19" i="44" a="1"/>
  <c r="F19" i="44" s="1"/>
  <c r="E19" i="44" a="1"/>
  <c r="E19" i="44" s="1"/>
  <c r="O99" i="44" a="1"/>
  <c r="O99" i="44" s="1"/>
  <c r="N99" i="44" a="1"/>
  <c r="N99" i="44" s="1"/>
  <c r="M99" i="44" a="1"/>
  <c r="M99" i="44" s="1"/>
  <c r="J99" i="44" a="1"/>
  <c r="J99" i="44" s="1"/>
  <c r="I99" i="44" a="1"/>
  <c r="I99" i="44" s="1"/>
  <c r="L99" i="44" a="1"/>
  <c r="L99" i="44" s="1"/>
  <c r="K99" i="44" a="1"/>
  <c r="K99" i="44" s="1"/>
  <c r="O97" i="44" a="1"/>
  <c r="O97" i="44" s="1"/>
  <c r="L97" i="44" a="1"/>
  <c r="L97" i="44" s="1"/>
  <c r="E99" i="44" a="1"/>
  <c r="E99" i="44" s="1"/>
  <c r="F99" i="44" a="1"/>
  <c r="F99" i="44" s="1"/>
  <c r="K97" i="44" a="1"/>
  <c r="K97" i="44" s="1"/>
  <c r="G99" i="44" a="1"/>
  <c r="G99" i="44" s="1"/>
  <c r="D99" i="44" a="1"/>
  <c r="D99" i="44" s="1"/>
  <c r="I97" i="44" a="1"/>
  <c r="I97" i="44" s="1"/>
  <c r="J97" i="44" a="1"/>
  <c r="J97" i="44" s="1"/>
  <c r="H99" i="44" a="1"/>
  <c r="H99" i="44" s="1"/>
  <c r="N97" i="44" a="1"/>
  <c r="N97" i="44" s="1"/>
  <c r="E97" i="44" a="1"/>
  <c r="E97" i="44" s="1"/>
  <c r="D97" i="44" a="1"/>
  <c r="D97" i="44" s="1"/>
  <c r="H97" i="44" a="1"/>
  <c r="H97" i="44" s="1"/>
  <c r="F97" i="44" a="1"/>
  <c r="F97" i="44" s="1"/>
  <c r="G97" i="44" a="1"/>
  <c r="G97" i="44" s="1"/>
  <c r="M97" i="44" a="1"/>
  <c r="M97" i="44" s="1"/>
  <c r="N93" i="44" a="1"/>
  <c r="N93" i="44" s="1"/>
  <c r="M93" i="44" a="1"/>
  <c r="M93" i="44" s="1"/>
  <c r="O93" i="44" a="1"/>
  <c r="O93" i="44" s="1"/>
  <c r="J93" i="44" a="1"/>
  <c r="J93" i="44" s="1"/>
  <c r="I93" i="44" a="1"/>
  <c r="I93" i="44" s="1"/>
  <c r="L93" i="44" a="1"/>
  <c r="L93" i="44" s="1"/>
  <c r="H93" i="44" a="1"/>
  <c r="H93" i="44" s="1"/>
  <c r="G93" i="44" a="1"/>
  <c r="G93" i="44" s="1"/>
  <c r="N92" i="44" a="1"/>
  <c r="N92" i="44" s="1"/>
  <c r="D93" i="44" a="1"/>
  <c r="D93" i="44" s="1"/>
  <c r="O92" i="44" a="1"/>
  <c r="O92" i="44" s="1"/>
  <c r="M92" i="44" a="1"/>
  <c r="M92" i="44" s="1"/>
  <c r="K93" i="44" a="1"/>
  <c r="K93" i="44" s="1"/>
  <c r="F93" i="44" a="1"/>
  <c r="F93" i="44" s="1"/>
  <c r="H92" i="44" a="1"/>
  <c r="H92" i="44" s="1"/>
  <c r="L92" i="44" a="1"/>
  <c r="L92" i="44" s="1"/>
  <c r="J92" i="44" a="1"/>
  <c r="J92" i="44" s="1"/>
  <c r="L91" i="44" a="1"/>
  <c r="L91" i="44" s="1"/>
  <c r="I92" i="44" a="1"/>
  <c r="I92" i="44" s="1"/>
  <c r="G92" i="44" a="1"/>
  <c r="G92" i="44" s="1"/>
  <c r="K92" i="44" a="1"/>
  <c r="K92" i="44" s="1"/>
  <c r="F92" i="44" a="1"/>
  <c r="F92" i="44" s="1"/>
  <c r="J91" i="44" a="1"/>
  <c r="J91" i="44" s="1"/>
  <c r="E92" i="44" a="1"/>
  <c r="E92" i="44" s="1"/>
  <c r="F91" i="44" a="1"/>
  <c r="F91" i="44" s="1"/>
  <c r="O91" i="44" a="1"/>
  <c r="O91" i="44" s="1"/>
  <c r="G91" i="44" a="1"/>
  <c r="G91" i="44" s="1"/>
  <c r="E91" i="44" a="1"/>
  <c r="E91" i="44" s="1"/>
  <c r="K91" i="44" a="1"/>
  <c r="K91" i="44" s="1"/>
  <c r="N91" i="44" a="1"/>
  <c r="N91" i="44" s="1"/>
  <c r="I91" i="44" a="1"/>
  <c r="I91" i="44" s="1"/>
  <c r="D92" i="44" a="1"/>
  <c r="D92" i="44" s="1"/>
  <c r="E93" i="44" a="1"/>
  <c r="E93" i="44" s="1"/>
  <c r="H91" i="44" a="1"/>
  <c r="H91" i="44" s="1"/>
  <c r="M88" i="44" a="1"/>
  <c r="M88" i="44" s="1"/>
  <c r="L88" i="44" a="1"/>
  <c r="L88" i="44" s="1"/>
  <c r="G88" i="44" a="1"/>
  <c r="G88" i="44" s="1"/>
  <c r="O88" i="44" a="1"/>
  <c r="O88" i="44" s="1"/>
  <c r="K88" i="44" a="1"/>
  <c r="K88" i="44" s="1"/>
  <c r="H88" i="44" a="1"/>
  <c r="H88" i="44" s="1"/>
  <c r="M91" i="44" a="1"/>
  <c r="M91" i="44" s="1"/>
  <c r="D91" i="44" a="1"/>
  <c r="D91" i="44" s="1"/>
  <c r="N88" i="44" a="1"/>
  <c r="N88" i="44" s="1"/>
  <c r="M87" i="44" a="1"/>
  <c r="M87" i="44" s="1"/>
  <c r="F88" i="44" a="1"/>
  <c r="F88" i="44" s="1"/>
  <c r="E88" i="44" a="1"/>
  <c r="E88" i="44" s="1"/>
  <c r="N87" i="44" a="1"/>
  <c r="N87" i="44" s="1"/>
  <c r="O87" i="44" a="1"/>
  <c r="O87" i="44" s="1"/>
  <c r="L87" i="44" a="1"/>
  <c r="L87" i="44" s="1"/>
  <c r="D88" i="44" a="1"/>
  <c r="D88" i="44" s="1"/>
  <c r="J88" i="44" a="1"/>
  <c r="J88" i="44" s="1"/>
  <c r="J87" i="44" a="1"/>
  <c r="J87" i="44" s="1"/>
  <c r="I87" i="44" a="1"/>
  <c r="I87" i="44" s="1"/>
  <c r="M85" i="44" a="1"/>
  <c r="M85" i="44" s="1"/>
  <c r="D87" i="44" a="1"/>
  <c r="D87" i="44" s="1"/>
  <c r="I88" i="44" a="1"/>
  <c r="I88" i="44" s="1"/>
  <c r="H87" i="44" a="1"/>
  <c r="H87" i="44" s="1"/>
  <c r="G87" i="44" a="1"/>
  <c r="G87" i="44" s="1"/>
  <c r="N85" i="44" a="1"/>
  <c r="N85" i="44" s="1"/>
  <c r="O85" i="44" a="1"/>
  <c r="O85" i="44" s="1"/>
  <c r="F87" i="44" a="1"/>
  <c r="F87" i="44" s="1"/>
  <c r="K87" i="44" a="1"/>
  <c r="K87" i="44" s="1"/>
  <c r="J85" i="44" a="1"/>
  <c r="J85" i="44" s="1"/>
  <c r="H85" i="44" a="1"/>
  <c r="H85" i="44" s="1"/>
  <c r="L83" i="44" a="1"/>
  <c r="L83" i="44" s="1"/>
  <c r="G85" i="44" a="1"/>
  <c r="G85" i="44" s="1"/>
  <c r="I85" i="44" a="1"/>
  <c r="I85" i="44" s="1"/>
  <c r="L85" i="44" a="1"/>
  <c r="L85" i="44" s="1"/>
  <c r="K85" i="44" a="1"/>
  <c r="K85" i="44" s="1"/>
  <c r="D85" i="44" a="1"/>
  <c r="D85" i="44" s="1"/>
  <c r="F83" i="44" a="1"/>
  <c r="F83" i="44" s="1"/>
  <c r="E87" i="44" a="1"/>
  <c r="E87" i="44" s="1"/>
  <c r="G83" i="44" a="1"/>
  <c r="G83" i="44" s="1"/>
  <c r="K83" i="44" a="1"/>
  <c r="K83" i="44" s="1"/>
  <c r="F85" i="44" a="1"/>
  <c r="F85" i="44" s="1"/>
  <c r="N83" i="44" a="1"/>
  <c r="N83" i="44" s="1"/>
  <c r="E83" i="44" a="1"/>
  <c r="E83" i="44" s="1"/>
  <c r="E85" i="44" a="1"/>
  <c r="E85" i="44" s="1"/>
  <c r="J83" i="44" a="1"/>
  <c r="J83" i="44" s="1"/>
  <c r="I83" i="44" a="1"/>
  <c r="I83" i="44" s="1"/>
  <c r="O83" i="44" a="1"/>
  <c r="O83" i="44" s="1"/>
  <c r="H83" i="44" a="1"/>
  <c r="H83" i="44" s="1"/>
  <c r="M83" i="44" a="1"/>
  <c r="M83" i="44" s="1"/>
  <c r="D83" i="44" a="1"/>
  <c r="D83" i="44" s="1"/>
  <c r="E14" i="44" a="1"/>
  <c r="E14" i="44" s="1"/>
  <c r="N30" i="44" a="1"/>
  <c r="N30" i="44" s="1"/>
  <c r="D14" i="44" a="1"/>
  <c r="D14" i="44" s="1"/>
  <c r="M30" i="44" a="1"/>
  <c r="M30" i="44" s="1"/>
  <c r="I19" i="44" a="1"/>
  <c r="I19" i="44" s="1"/>
  <c r="G19" i="44" a="1"/>
  <c r="G19" i="44" s="1"/>
  <c r="F30" i="44" a="1"/>
  <c r="F30" i="44" s="1"/>
  <c r="J19" i="44" a="1"/>
  <c r="J19" i="44" s="1"/>
  <c r="H19" i="44" a="1"/>
  <c r="H19" i="44" s="1"/>
  <c r="L16" i="44" a="1"/>
  <c r="L16" i="44" s="1"/>
  <c r="K28" i="44" a="1"/>
  <c r="K28" i="44" s="1"/>
  <c r="K16" i="44" a="1"/>
  <c r="K16" i="44" s="1"/>
  <c r="J16" i="44" a="1"/>
  <c r="J16" i="44" s="1"/>
  <c r="L28" i="44" a="1"/>
  <c r="L28" i="44" s="1"/>
  <c r="M16" i="44" a="1"/>
  <c r="M16" i="44" s="1"/>
  <c r="H30" i="44" a="1"/>
  <c r="H30" i="44" s="1"/>
  <c r="G30" i="44" a="1"/>
  <c r="G30" i="44" s="1"/>
  <c r="H16" i="44" a="1"/>
  <c r="H16" i="44" s="1"/>
  <c r="J28" i="44" a="1"/>
  <c r="J28" i="44" s="1"/>
  <c r="G16" i="44" a="1"/>
  <c r="G16" i="44" s="1"/>
  <c r="I16" i="44" a="1"/>
  <c r="I16" i="44" s="1"/>
  <c r="F16" i="44" a="1"/>
  <c r="F16" i="44" s="1"/>
  <c r="E111" i="80"/>
  <c r="E110" i="80"/>
  <c r="E109" i="80"/>
  <c r="E108" i="80"/>
  <c r="E107" i="80"/>
  <c r="E106" i="80"/>
  <c r="E105" i="80"/>
  <c r="E104" i="80"/>
  <c r="E103" i="80"/>
  <c r="E102" i="80"/>
  <c r="E101" i="80"/>
  <c r="E100" i="80"/>
  <c r="E99" i="80"/>
  <c r="E98" i="80"/>
  <c r="E97" i="80"/>
  <c r="E96" i="80"/>
  <c r="E95" i="80"/>
  <c r="E94" i="80"/>
  <c r="E93" i="80"/>
  <c r="E92" i="80"/>
  <c r="E91" i="80"/>
  <c r="E90" i="80"/>
  <c r="E89" i="80"/>
  <c r="E88" i="80"/>
  <c r="E87" i="80"/>
  <c r="E86" i="80"/>
  <c r="E85" i="80"/>
  <c r="E84" i="80"/>
  <c r="E83" i="80"/>
  <c r="E82" i="80"/>
  <c r="E81" i="80"/>
  <c r="E80" i="80"/>
  <c r="E79" i="80"/>
  <c r="E78" i="80"/>
  <c r="E77" i="80"/>
  <c r="E76" i="80"/>
  <c r="E75" i="80"/>
  <c r="E74" i="80"/>
  <c r="E73" i="80"/>
  <c r="E72" i="80"/>
  <c r="E71" i="80"/>
  <c r="E70" i="80"/>
  <c r="E69" i="80"/>
  <c r="E68" i="80"/>
  <c r="E67" i="80"/>
  <c r="E66" i="80"/>
  <c r="E65" i="80"/>
  <c r="E64" i="80"/>
  <c r="E63" i="80"/>
  <c r="E62" i="80"/>
  <c r="E61" i="80"/>
  <c r="E60" i="80"/>
  <c r="E59" i="80"/>
  <c r="E58" i="80"/>
  <c r="E57" i="80"/>
  <c r="E56" i="80"/>
  <c r="E55" i="80"/>
  <c r="E54" i="80"/>
  <c r="E53" i="80"/>
  <c r="E52" i="80"/>
  <c r="E51" i="80"/>
  <c r="E50" i="80"/>
  <c r="E49" i="80"/>
  <c r="E48" i="80"/>
  <c r="E40" i="80"/>
  <c r="E38" i="80"/>
  <c r="E47" i="80" s="1"/>
  <c r="E37" i="80"/>
  <c r="E36" i="80"/>
  <c r="E35" i="80"/>
  <c r="E34" i="80"/>
  <c r="E33" i="80"/>
  <c r="E32" i="80"/>
  <c r="E31" i="80"/>
  <c r="E30" i="80"/>
  <c r="E29" i="80"/>
  <c r="E28" i="80"/>
  <c r="E27" i="80"/>
  <c r="E26" i="80"/>
  <c r="E25" i="80"/>
  <c r="E24" i="80"/>
  <c r="E23" i="80"/>
  <c r="E18" i="80"/>
  <c r="E17" i="80"/>
  <c r="E20" i="80" s="1"/>
  <c r="E22" i="80" s="1"/>
  <c r="E14" i="80"/>
  <c r="E15" i="80" s="1"/>
  <c r="E8" i="80"/>
  <c r="E13" i="80" s="1"/>
  <c r="E6" i="80"/>
  <c r="E5" i="80"/>
  <c r="E7" i="80" s="1"/>
  <c r="H330" i="74" l="1"/>
  <c r="H336" i="74" s="1"/>
  <c r="K330" i="74"/>
  <c r="O330" i="74"/>
  <c r="H324" i="74"/>
  <c r="G330" i="74"/>
  <c r="F324" i="74"/>
  <c r="I324" i="74"/>
  <c r="L330" i="74"/>
  <c r="L324" i="74"/>
  <c r="O324" i="74"/>
  <c r="J330" i="74"/>
  <c r="N330" i="74"/>
  <c r="P290" i="70"/>
  <c r="J324" i="74"/>
  <c r="N324" i="74"/>
  <c r="I330" i="74"/>
  <c r="P329" i="74"/>
  <c r="F131" i="76" s="1"/>
  <c r="P291" i="70"/>
  <c r="F330" i="74"/>
  <c r="K324" i="74"/>
  <c r="P328" i="74"/>
  <c r="F130" i="76" s="1"/>
  <c r="G324" i="74"/>
  <c r="M324" i="74"/>
  <c r="D330" i="74"/>
  <c r="M330" i="74"/>
  <c r="E330" i="74"/>
  <c r="E336" i="74" s="1"/>
  <c r="N154" i="75"/>
  <c r="M155" i="75"/>
  <c r="N155" i="75"/>
  <c r="E154" i="75"/>
  <c r="I154" i="75"/>
  <c r="G155" i="75"/>
  <c r="H156" i="75"/>
  <c r="M154" i="75"/>
  <c r="D155" i="75"/>
  <c r="I156" i="75"/>
  <c r="O155" i="75"/>
  <c r="O156" i="75"/>
  <c r="F154" i="75"/>
  <c r="F155" i="75"/>
  <c r="J155" i="75"/>
  <c r="F156" i="75"/>
  <c r="J156" i="75"/>
  <c r="O154" i="75"/>
  <c r="I155" i="75"/>
  <c r="N156" i="75"/>
  <c r="L156" i="75"/>
  <c r="H154" i="75"/>
  <c r="K154" i="75"/>
  <c r="K155" i="75"/>
  <c r="G156" i="75"/>
  <c r="M156" i="75"/>
  <c r="E155" i="75"/>
  <c r="J154" i="75"/>
  <c r="L155" i="75"/>
  <c r="K156" i="75"/>
  <c r="E156" i="75"/>
  <c r="G154" i="75"/>
  <c r="L154" i="75"/>
  <c r="H155" i="75"/>
  <c r="D156" i="75"/>
  <c r="P93" i="44"/>
  <c r="Q93" i="44" s="1"/>
  <c r="P122" i="70"/>
  <c r="P123" i="70"/>
  <c r="P56" i="70"/>
  <c r="P57" i="70"/>
  <c r="D164" i="44"/>
  <c r="P89" i="70"/>
  <c r="P94" i="44"/>
  <c r="Q94" i="44" s="1"/>
  <c r="D163" i="44"/>
  <c r="P88" i="70"/>
  <c r="D26" i="70"/>
  <c r="P17" i="75"/>
  <c r="E9" i="80"/>
  <c r="E41" i="80"/>
  <c r="E10" i="80"/>
  <c r="E42" i="80"/>
  <c r="E43" i="80"/>
  <c r="E12" i="80"/>
  <c r="E44" i="80"/>
  <c r="E16" i="80"/>
  <c r="E11" i="80"/>
  <c r="E19" i="80"/>
  <c r="E21" i="80" s="1"/>
  <c r="E45" i="80"/>
  <c r="E46" i="80"/>
  <c r="E39" i="80"/>
  <c r="O336" i="74" l="1"/>
  <c r="L336" i="74"/>
  <c r="M336" i="74"/>
  <c r="G336" i="74"/>
  <c r="K336" i="74"/>
  <c r="I336" i="74"/>
  <c r="N336" i="74"/>
  <c r="J336" i="74"/>
  <c r="F336" i="74"/>
  <c r="P156" i="75"/>
  <c r="P155" i="75"/>
  <c r="P80" i="75"/>
  <c r="B5" i="79"/>
  <c r="K92" i="10"/>
  <c r="I92" i="10"/>
  <c r="J60" i="10"/>
  <c r="I60" i="10"/>
  <c r="H60" i="10"/>
  <c r="O316" i="77"/>
  <c r="G316" i="77"/>
  <c r="F316" i="77"/>
  <c r="K310" i="77"/>
  <c r="O310" i="77"/>
  <c r="N310" i="77"/>
  <c r="M310" i="77"/>
  <c r="G310" i="77"/>
  <c r="F310" i="77"/>
  <c r="E310" i="77"/>
  <c r="P316" i="77"/>
  <c r="H316" i="77"/>
  <c r="N316" i="77"/>
  <c r="M316" i="77"/>
  <c r="L316" i="77"/>
  <c r="E316" i="77"/>
  <c r="P310" i="77"/>
  <c r="L310" i="77"/>
  <c r="H310" i="77"/>
  <c r="F12" i="77"/>
  <c r="G12" i="77"/>
  <c r="H12" i="77"/>
  <c r="I12" i="77"/>
  <c r="J12" i="77"/>
  <c r="K12" i="77"/>
  <c r="L12" i="77"/>
  <c r="L331" i="77" s="1"/>
  <c r="M12" i="77"/>
  <c r="N12" i="77"/>
  <c r="O12" i="77"/>
  <c r="P12" i="77"/>
  <c r="E12" i="77"/>
  <c r="B78" i="74"/>
  <c r="J302" i="77" l="1"/>
  <c r="J331" i="77"/>
  <c r="E302" i="77"/>
  <c r="E331" i="77"/>
  <c r="I302" i="77"/>
  <c r="I331" i="77"/>
  <c r="P302" i="77"/>
  <c r="P331" i="77"/>
  <c r="H302" i="77"/>
  <c r="H331" i="77"/>
  <c r="O302" i="77"/>
  <c r="O331" i="77"/>
  <c r="G302" i="77"/>
  <c r="G331" i="77"/>
  <c r="N302" i="77"/>
  <c r="N331" i="77"/>
  <c r="F302" i="77"/>
  <c r="F331" i="77"/>
  <c r="M302" i="77"/>
  <c r="M331" i="77"/>
  <c r="L302" i="77"/>
  <c r="K302" i="77"/>
  <c r="K331" i="77"/>
  <c r="Q304" i="77"/>
  <c r="G92" i="10"/>
  <c r="G125" i="10"/>
  <c r="I145" i="75"/>
  <c r="G147" i="75"/>
  <c r="O147" i="75"/>
  <c r="D145" i="75"/>
  <c r="H145" i="75"/>
  <c r="H147" i="75"/>
  <c r="L149" i="75"/>
  <c r="P48" i="75"/>
  <c r="O145" i="75"/>
  <c r="G145" i="75"/>
  <c r="I147" i="75"/>
  <c r="E149" i="75"/>
  <c r="M149" i="75"/>
  <c r="N145" i="75"/>
  <c r="F145" i="75"/>
  <c r="J147" i="75"/>
  <c r="M145" i="75"/>
  <c r="E145" i="75"/>
  <c r="K147" i="75"/>
  <c r="G149" i="75"/>
  <c r="L145" i="75"/>
  <c r="D147" i="75"/>
  <c r="L147" i="75"/>
  <c r="E147" i="75"/>
  <c r="M147" i="75"/>
  <c r="I149" i="75"/>
  <c r="J145" i="75"/>
  <c r="F147" i="75"/>
  <c r="N147" i="75"/>
  <c r="J149" i="75"/>
  <c r="F149" i="75"/>
  <c r="N149" i="75"/>
  <c r="O149" i="75"/>
  <c r="H149" i="75"/>
  <c r="K145" i="75"/>
  <c r="K149" i="75"/>
  <c r="J92" i="10"/>
  <c r="P85" i="75"/>
  <c r="D92" i="10"/>
  <c r="L92" i="10"/>
  <c r="D125" i="10"/>
  <c r="L125" i="10"/>
  <c r="K60" i="10"/>
  <c r="I125" i="10"/>
  <c r="E60" i="10"/>
  <c r="M60" i="10"/>
  <c r="E92" i="10"/>
  <c r="M92" i="10"/>
  <c r="E125" i="10"/>
  <c r="M125" i="10"/>
  <c r="F60" i="10"/>
  <c r="N60" i="10"/>
  <c r="F92" i="10"/>
  <c r="N92" i="10"/>
  <c r="F125" i="10"/>
  <c r="N125" i="10"/>
  <c r="K125" i="10"/>
  <c r="O92" i="10"/>
  <c r="P53" i="75"/>
  <c r="H125" i="10"/>
  <c r="P94" i="75"/>
  <c r="P89" i="75"/>
  <c r="P91" i="75"/>
  <c r="P82" i="75"/>
  <c r="P96" i="75"/>
  <c r="P84" i="75"/>
  <c r="P88" i="75"/>
  <c r="P90" i="75"/>
  <c r="P50" i="75"/>
  <c r="P62" i="75"/>
  <c r="P57" i="75"/>
  <c r="P59" i="75"/>
  <c r="P64" i="75"/>
  <c r="P52" i="75"/>
  <c r="P56" i="75"/>
  <c r="P58" i="75"/>
  <c r="J125" i="10"/>
  <c r="O125" i="10"/>
  <c r="P124" i="10"/>
  <c r="P91" i="10"/>
  <c r="H92" i="10"/>
  <c r="O157" i="10"/>
  <c r="G60" i="10"/>
  <c r="O60" i="10"/>
  <c r="P59" i="10"/>
  <c r="D60" i="10"/>
  <c r="L60" i="10"/>
  <c r="K157" i="10"/>
  <c r="I157" i="10"/>
  <c r="E157" i="10"/>
  <c r="G157" i="10"/>
  <c r="P58" i="10"/>
  <c r="P90" i="10"/>
  <c r="L157" i="10"/>
  <c r="H157" i="10"/>
  <c r="D157" i="10"/>
  <c r="J157" i="10"/>
  <c r="N157" i="10"/>
  <c r="M157" i="10"/>
  <c r="P123" i="10"/>
  <c r="F157" i="10"/>
  <c r="J310" i="77"/>
  <c r="Q313" i="77"/>
  <c r="K316" i="77"/>
  <c r="K322" i="77" s="1"/>
  <c r="K328" i="77" s="1"/>
  <c r="Q306" i="77"/>
  <c r="I310" i="77"/>
  <c r="I316" i="77"/>
  <c r="Q318" i="77"/>
  <c r="H322" i="77"/>
  <c r="H328" i="77" s="1"/>
  <c r="Q309" i="77"/>
  <c r="J316" i="77"/>
  <c r="P322" i="77"/>
  <c r="P328" i="77" s="1"/>
  <c r="L322" i="77"/>
  <c r="L328" i="77" s="1"/>
  <c r="E322" i="77"/>
  <c r="E328" i="77" s="1"/>
  <c r="M322" i="77"/>
  <c r="M328" i="77" s="1"/>
  <c r="F322" i="77"/>
  <c r="F328" i="77" s="1"/>
  <c r="N322" i="77"/>
  <c r="N328" i="77" s="1"/>
  <c r="G322" i="77"/>
  <c r="G328" i="77" s="1"/>
  <c r="O322" i="77"/>
  <c r="O328" i="77" s="1"/>
  <c r="Q308" i="77"/>
  <c r="Q312" i="77"/>
  <c r="Q320" i="77"/>
  <c r="I322" i="77" l="1"/>
  <c r="I328" i="77" s="1"/>
  <c r="J322" i="77"/>
  <c r="J328" i="77" s="1"/>
  <c r="P157" i="10"/>
  <c r="Q316" i="77"/>
  <c r="Q310" i="77"/>
  <c r="Q322" i="77" l="1"/>
  <c r="Q328" i="77" s="1"/>
  <c r="D25" i="65"/>
  <c r="F25" i="65"/>
  <c r="G25" i="65"/>
  <c r="H25" i="65"/>
  <c r="I25" i="65"/>
  <c r="D26" i="65"/>
  <c r="F26" i="65"/>
  <c r="G26" i="65"/>
  <c r="H26" i="65"/>
  <c r="I26" i="65"/>
  <c r="F24" i="73"/>
  <c r="F25" i="73"/>
  <c r="O256" i="70"/>
  <c r="N256" i="70"/>
  <c r="M256" i="70"/>
  <c r="L256" i="70"/>
  <c r="K256" i="70"/>
  <c r="J256" i="70"/>
  <c r="I256" i="70"/>
  <c r="H256" i="70"/>
  <c r="G256" i="70"/>
  <c r="F256" i="70"/>
  <c r="O255" i="70"/>
  <c r="N255" i="70"/>
  <c r="M255" i="70"/>
  <c r="L255" i="70"/>
  <c r="K255" i="70"/>
  <c r="J255" i="70"/>
  <c r="I255" i="70"/>
  <c r="H255" i="70"/>
  <c r="G255" i="70"/>
  <c r="F255" i="70"/>
  <c r="O221" i="70"/>
  <c r="N221" i="70"/>
  <c r="M221" i="70"/>
  <c r="L221" i="70"/>
  <c r="K221" i="70"/>
  <c r="J221" i="70"/>
  <c r="I221" i="70"/>
  <c r="H221" i="70"/>
  <c r="G221" i="70"/>
  <c r="F221" i="70"/>
  <c r="E221" i="70"/>
  <c r="O220" i="70"/>
  <c r="N220" i="70"/>
  <c r="M220" i="70"/>
  <c r="L220" i="70"/>
  <c r="K220" i="70"/>
  <c r="J220" i="70"/>
  <c r="I220" i="70"/>
  <c r="H220" i="70"/>
  <c r="G220" i="70"/>
  <c r="F220" i="70"/>
  <c r="E220" i="70"/>
  <c r="D193" i="70"/>
  <c r="D191" i="70"/>
  <c r="L188" i="70"/>
  <c r="D188" i="70"/>
  <c r="H187" i="70"/>
  <c r="D185" i="70"/>
  <c r="D181" i="70"/>
  <c r="B5" i="78"/>
  <c r="E26" i="65"/>
  <c r="E25" i="65"/>
  <c r="E24" i="65"/>
  <c r="O26" i="44"/>
  <c r="N26" i="44"/>
  <c r="L26" i="44"/>
  <c r="J26" i="44"/>
  <c r="H26" i="44"/>
  <c r="G26" i="44"/>
  <c r="F26" i="44"/>
  <c r="Q411" i="74" l="1"/>
  <c r="M26" i="44"/>
  <c r="L90" i="70"/>
  <c r="I26" i="44"/>
  <c r="K26" i="44"/>
  <c r="G144" i="70"/>
  <c r="E26" i="44"/>
  <c r="D26" i="44"/>
  <c r="F58" i="70"/>
  <c r="H58" i="70"/>
  <c r="K90" i="70"/>
  <c r="K26" i="70"/>
  <c r="N90" i="70"/>
  <c r="L26" i="70"/>
  <c r="H26" i="70"/>
  <c r="D58" i="70"/>
  <c r="F26" i="70"/>
  <c r="D90" i="70"/>
  <c r="M90" i="70"/>
  <c r="L58" i="70"/>
  <c r="G90" i="70"/>
  <c r="O90" i="70"/>
  <c r="H90" i="70"/>
  <c r="F90" i="70"/>
  <c r="I90" i="70"/>
  <c r="J90" i="70"/>
  <c r="D154" i="70"/>
  <c r="K58" i="70"/>
  <c r="E58" i="70"/>
  <c r="G58" i="70"/>
  <c r="M58" i="70"/>
  <c r="N58" i="70"/>
  <c r="O58" i="70"/>
  <c r="I58" i="70"/>
  <c r="P221" i="70"/>
  <c r="J58" i="70"/>
  <c r="L154" i="70"/>
  <c r="H155" i="70"/>
  <c r="E26" i="70"/>
  <c r="G187" i="70"/>
  <c r="G323" i="70" s="1"/>
  <c r="G154" i="70"/>
  <c r="M154" i="70"/>
  <c r="M187" i="70"/>
  <c r="M323" i="70" s="1"/>
  <c r="N155" i="70"/>
  <c r="N188" i="70"/>
  <c r="N324" i="70" s="1"/>
  <c r="G26" i="70"/>
  <c r="M26" i="70"/>
  <c r="O187" i="70"/>
  <c r="O323" i="70" s="1"/>
  <c r="O154" i="70"/>
  <c r="I155" i="70"/>
  <c r="I188" i="70"/>
  <c r="I324" i="70" s="1"/>
  <c r="N154" i="70"/>
  <c r="N187" i="70"/>
  <c r="N323" i="70" s="1"/>
  <c r="N26" i="70"/>
  <c r="I154" i="70"/>
  <c r="I187" i="70"/>
  <c r="I323" i="70" s="1"/>
  <c r="J155" i="70"/>
  <c r="J188" i="70"/>
  <c r="J324" i="70" s="1"/>
  <c r="O26" i="70"/>
  <c r="J154" i="70"/>
  <c r="J187" i="70"/>
  <c r="J323" i="70" s="1"/>
  <c r="K188" i="70"/>
  <c r="K324" i="70" s="1"/>
  <c r="K155" i="70"/>
  <c r="O188" i="70"/>
  <c r="O324" i="70" s="1"/>
  <c r="O155" i="70"/>
  <c r="I26" i="70"/>
  <c r="K154" i="70"/>
  <c r="K187" i="70"/>
  <c r="K323" i="70" s="1"/>
  <c r="E188" i="70"/>
  <c r="J26" i="70"/>
  <c r="E187" i="70"/>
  <c r="F188" i="70"/>
  <c r="F324" i="70" s="1"/>
  <c r="F155" i="70"/>
  <c r="F154" i="70"/>
  <c r="F187" i="70"/>
  <c r="F323" i="70" s="1"/>
  <c r="G155" i="70"/>
  <c r="G188" i="70"/>
  <c r="G324" i="70" s="1"/>
  <c r="M188" i="70"/>
  <c r="M324" i="70" s="1"/>
  <c r="M155" i="70"/>
  <c r="L155" i="70"/>
  <c r="D155" i="70"/>
  <c r="H154" i="70"/>
  <c r="H188" i="70"/>
  <c r="H324" i="70" s="1"/>
  <c r="D187" i="70"/>
  <c r="D323" i="70" s="1"/>
  <c r="L187" i="70"/>
  <c r="L323" i="70" s="1"/>
  <c r="L324" i="70"/>
  <c r="D324" i="70"/>
  <c r="P220" i="70"/>
  <c r="H323" i="70"/>
  <c r="P188" i="70" l="1"/>
  <c r="D25" i="73" s="1"/>
  <c r="P187" i="70"/>
  <c r="D24" i="73" s="1"/>
  <c r="A72" i="44" l="1"/>
  <c r="B72" i="44"/>
  <c r="A62" i="44"/>
  <c r="B62" i="44"/>
  <c r="C62" i="44"/>
  <c r="A64" i="44"/>
  <c r="B64" i="44"/>
  <c r="C64" i="44"/>
  <c r="A66" i="44"/>
  <c r="B66" i="44"/>
  <c r="A68" i="44"/>
  <c r="B68" i="44"/>
  <c r="C68" i="44"/>
  <c r="A69" i="44"/>
  <c r="B69" i="44"/>
  <c r="C69" i="44"/>
  <c r="A70" i="44"/>
  <c r="B70" i="44"/>
  <c r="A60" i="44"/>
  <c r="B60" i="44"/>
  <c r="A50" i="44"/>
  <c r="B50" i="44"/>
  <c r="C50" i="44"/>
  <c r="A52" i="44"/>
  <c r="B52" i="44"/>
  <c r="C52" i="44"/>
  <c r="A53" i="44"/>
  <c r="B53" i="44"/>
  <c r="C53" i="44"/>
  <c r="A54" i="44"/>
  <c r="B54" i="44"/>
  <c r="A56" i="44"/>
  <c r="B56" i="44"/>
  <c r="C56" i="44"/>
  <c r="A57" i="44"/>
  <c r="B57" i="44"/>
  <c r="C57" i="44"/>
  <c r="A58" i="44"/>
  <c r="B58" i="44"/>
  <c r="C58" i="44"/>
  <c r="A59" i="44"/>
  <c r="B59" i="44"/>
  <c r="C59" i="44"/>
  <c r="C48" i="44"/>
  <c r="B48" i="44"/>
  <c r="A48" i="44"/>
  <c r="B9" i="44"/>
  <c r="B78" i="44" s="1"/>
  <c r="B5" i="44"/>
  <c r="B5" i="74" s="1"/>
  <c r="B5" i="76" s="1"/>
  <c r="B5" i="65"/>
  <c r="K50" i="44" l="1" a="1"/>
  <c r="K50" i="44" s="1"/>
  <c r="O50" i="44" a="1"/>
  <c r="O50" i="44" s="1"/>
  <c r="I50" i="44" a="1"/>
  <c r="I50" i="44" s="1"/>
  <c r="M50" i="44" a="1"/>
  <c r="M50" i="44" s="1"/>
  <c r="J50" i="44" a="1"/>
  <c r="J50" i="44" s="1"/>
  <c r="D50" i="44" a="1"/>
  <c r="D50" i="44" s="1"/>
  <c r="F50" i="44" a="1"/>
  <c r="F50" i="44" s="1"/>
  <c r="G50" i="44" a="1"/>
  <c r="G50" i="44" s="1"/>
  <c r="H50" i="44" a="1"/>
  <c r="H50" i="44" s="1"/>
  <c r="L50" i="44" a="1"/>
  <c r="L50" i="44" s="1"/>
  <c r="E50" i="44" a="1"/>
  <c r="E50" i="44" s="1"/>
  <c r="N50" i="44" a="1"/>
  <c r="N50" i="44" s="1"/>
  <c r="O48" i="44" a="1"/>
  <c r="O48" i="44" s="1"/>
  <c r="G48" i="44" a="1"/>
  <c r="G48" i="44" s="1"/>
  <c r="H48" i="44" a="1"/>
  <c r="H48" i="44" s="1"/>
  <c r="F48" i="44" a="1"/>
  <c r="F48" i="44" s="1"/>
  <c r="K48" i="44" a="1"/>
  <c r="K48" i="44" s="1"/>
  <c r="I48" i="44" a="1"/>
  <c r="I48" i="44" s="1"/>
  <c r="L48" i="44" a="1"/>
  <c r="L48" i="44" s="1"/>
  <c r="J48" i="44" a="1"/>
  <c r="J48" i="44" s="1"/>
  <c r="M48" i="44" a="1"/>
  <c r="M48" i="44" s="1"/>
  <c r="E48" i="44" a="1"/>
  <c r="E48" i="44" s="1"/>
  <c r="N48" i="44" a="1"/>
  <c r="N48" i="44" s="1"/>
  <c r="D48" i="44" a="1"/>
  <c r="D48" i="44" s="1"/>
  <c r="I57" i="44" a="1"/>
  <c r="I57" i="44" s="1"/>
  <c r="N57" i="44" a="1"/>
  <c r="N57" i="44" s="1"/>
  <c r="D57" i="44" a="1"/>
  <c r="D57" i="44" s="1"/>
  <c r="L57" i="44" a="1"/>
  <c r="L57" i="44" s="1"/>
  <c r="H57" i="44" a="1"/>
  <c r="H57" i="44" s="1"/>
  <c r="F57" i="44" a="1"/>
  <c r="F57" i="44" s="1"/>
  <c r="E57" i="44" a="1"/>
  <c r="E57" i="44" s="1"/>
  <c r="J57" i="44" a="1"/>
  <c r="J57" i="44" s="1"/>
  <c r="M57" i="44" a="1"/>
  <c r="M57" i="44" s="1"/>
  <c r="K57" i="44" a="1"/>
  <c r="K57" i="44" s="1"/>
  <c r="G57" i="44" a="1"/>
  <c r="G57" i="44" s="1"/>
  <c r="O57" i="44" a="1"/>
  <c r="O57" i="44" s="1"/>
  <c r="D53" i="44" a="1"/>
  <c r="D53" i="44" s="1"/>
  <c r="F53" i="44" a="1"/>
  <c r="F53" i="44" s="1"/>
  <c r="G53" i="44" a="1"/>
  <c r="G53" i="44" s="1"/>
  <c r="E53" i="44" a="1"/>
  <c r="E53" i="44" s="1"/>
  <c r="M53" i="44" a="1"/>
  <c r="M53" i="44" s="1"/>
  <c r="N53" i="44" a="1"/>
  <c r="N53" i="44" s="1"/>
  <c r="O53" i="44" a="1"/>
  <c r="O53" i="44" s="1"/>
  <c r="H53" i="44" a="1"/>
  <c r="H53" i="44" s="1"/>
  <c r="J53" i="44" a="1"/>
  <c r="J53" i="44" s="1"/>
  <c r="K53" i="44" a="1"/>
  <c r="K53" i="44" s="1"/>
  <c r="I53" i="44" a="1"/>
  <c r="I53" i="44" s="1"/>
  <c r="L53" i="44" a="1"/>
  <c r="L53" i="44" s="1"/>
  <c r="O62" i="44" a="1"/>
  <c r="O62" i="44" s="1"/>
  <c r="E62" i="44" a="1"/>
  <c r="E62" i="44" s="1"/>
  <c r="L62" i="44" a="1"/>
  <c r="L62" i="44" s="1"/>
  <c r="F62" i="44" a="1"/>
  <c r="F62" i="44" s="1"/>
  <c r="N62" i="44" a="1"/>
  <c r="N62" i="44" s="1"/>
  <c r="G62" i="44" a="1"/>
  <c r="G62" i="44" s="1"/>
  <c r="K62" i="44" a="1"/>
  <c r="K62" i="44" s="1"/>
  <c r="M62" i="44" a="1"/>
  <c r="M62" i="44" s="1"/>
  <c r="J62" i="44" a="1"/>
  <c r="J62" i="44" s="1"/>
  <c r="D62" i="44" a="1"/>
  <c r="D62" i="44" s="1"/>
  <c r="H62" i="44" a="1"/>
  <c r="H62" i="44" s="1"/>
  <c r="I62" i="44" a="1"/>
  <c r="I62" i="44" s="1"/>
  <c r="L58" i="44" a="1"/>
  <c r="L58" i="44" s="1"/>
  <c r="L296" i="74" s="1"/>
  <c r="J58" i="44" a="1"/>
  <c r="J58" i="44" s="1"/>
  <c r="J296" i="74" s="1"/>
  <c r="G58" i="44" a="1"/>
  <c r="G58" i="44" s="1"/>
  <c r="G296" i="74" s="1"/>
  <c r="H58" i="44" a="1"/>
  <c r="H58" i="44" s="1"/>
  <c r="H296" i="74" s="1"/>
  <c r="K58" i="44" a="1"/>
  <c r="K58" i="44" s="1"/>
  <c r="K296" i="74" s="1"/>
  <c r="D58" i="44" a="1"/>
  <c r="D58" i="44" s="1"/>
  <c r="D296" i="74" s="1"/>
  <c r="E58" i="44" a="1"/>
  <c r="E58" i="44" s="1"/>
  <c r="I58" i="44" a="1"/>
  <c r="I58" i="44" s="1"/>
  <c r="I296" i="74" s="1"/>
  <c r="N58" i="44" a="1"/>
  <c r="N58" i="44" s="1"/>
  <c r="N296" i="74" s="1"/>
  <c r="M58" i="44" a="1"/>
  <c r="M58" i="44" s="1"/>
  <c r="M296" i="74" s="1"/>
  <c r="F58" i="44" a="1"/>
  <c r="F58" i="44" s="1"/>
  <c r="F296" i="74" s="1"/>
  <c r="O58" i="44" a="1"/>
  <c r="O58" i="44" s="1"/>
  <c r="O296" i="74" s="1"/>
  <c r="K64" i="44" a="1"/>
  <c r="K64" i="44" s="1"/>
  <c r="J64" i="44" a="1"/>
  <c r="J64" i="44" s="1"/>
  <c r="O64" i="44" a="1"/>
  <c r="O64" i="44" s="1"/>
  <c r="O403" i="74" s="1"/>
  <c r="L64" i="44" a="1"/>
  <c r="L64" i="44" s="1"/>
  <c r="E64" i="44" a="1"/>
  <c r="E64" i="44" s="1"/>
  <c r="N64" i="44" a="1"/>
  <c r="N64" i="44" s="1"/>
  <c r="F64" i="44" a="1"/>
  <c r="F64" i="44" s="1"/>
  <c r="G64" i="44" a="1"/>
  <c r="G64" i="44" s="1"/>
  <c r="G403" i="74" s="1"/>
  <c r="M64" i="44" a="1"/>
  <c r="M64" i="44" s="1"/>
  <c r="M403" i="74" s="1"/>
  <c r="I64" i="44" a="1"/>
  <c r="I64" i="44" s="1"/>
  <c r="I403" i="74" s="1"/>
  <c r="H64" i="44" a="1"/>
  <c r="H64" i="44" s="1"/>
  <c r="D64" i="44" a="1"/>
  <c r="D64" i="44" s="1"/>
  <c r="L59" i="44" a="1"/>
  <c r="L59" i="44" s="1"/>
  <c r="L297" i="74" s="1"/>
  <c r="I59" i="44" a="1"/>
  <c r="I59" i="44" s="1"/>
  <c r="I297" i="74" s="1"/>
  <c r="E59" i="44" a="1"/>
  <c r="E59" i="44" s="1"/>
  <c r="H59" i="44" a="1"/>
  <c r="H59" i="44" s="1"/>
  <c r="H297" i="74" s="1"/>
  <c r="F59" i="44" a="1"/>
  <c r="F59" i="44" s="1"/>
  <c r="F297" i="74" s="1"/>
  <c r="O59" i="44" a="1"/>
  <c r="O59" i="44" s="1"/>
  <c r="O297" i="74" s="1"/>
  <c r="D59" i="44" a="1"/>
  <c r="D59" i="44" s="1"/>
  <c r="D297" i="74" s="1"/>
  <c r="J59" i="44" a="1"/>
  <c r="J59" i="44" s="1"/>
  <c r="J297" i="74" s="1"/>
  <c r="N59" i="44" a="1"/>
  <c r="N59" i="44" s="1"/>
  <c r="N297" i="74" s="1"/>
  <c r="M59" i="44" a="1"/>
  <c r="M59" i="44" s="1"/>
  <c r="M297" i="74" s="1"/>
  <c r="K59" i="44" a="1"/>
  <c r="K59" i="44" s="1"/>
  <c r="K297" i="74" s="1"/>
  <c r="G59" i="44" a="1"/>
  <c r="G59" i="44" s="1"/>
  <c r="G297" i="74" s="1"/>
  <c r="I56" i="44" a="1"/>
  <c r="I56" i="44" s="1"/>
  <c r="N56" i="44" a="1"/>
  <c r="N56" i="44" s="1"/>
  <c r="H56" i="44" a="1"/>
  <c r="H56" i="44" s="1"/>
  <c r="K56" i="44" a="1"/>
  <c r="K56" i="44" s="1"/>
  <c r="D56" i="44" a="1"/>
  <c r="D56" i="44" s="1"/>
  <c r="O56" i="44" a="1"/>
  <c r="O56" i="44" s="1"/>
  <c r="M56" i="44" a="1"/>
  <c r="M56" i="44" s="1"/>
  <c r="G56" i="44" a="1"/>
  <c r="G56" i="44" s="1"/>
  <c r="L56" i="44" a="1"/>
  <c r="L56" i="44" s="1"/>
  <c r="J56" i="44" a="1"/>
  <c r="J56" i="44" s="1"/>
  <c r="E56" i="44" a="1"/>
  <c r="E56" i="44" s="1"/>
  <c r="F56" i="44" a="1"/>
  <c r="F56" i="44" s="1"/>
  <c r="I52" i="44" a="1"/>
  <c r="I52" i="44" s="1"/>
  <c r="K52" i="44" a="1"/>
  <c r="K52" i="44" s="1"/>
  <c r="L52" i="44" a="1"/>
  <c r="L52" i="44" s="1"/>
  <c r="H52" i="44" a="1"/>
  <c r="H52" i="44" s="1"/>
  <c r="F52" i="44" a="1"/>
  <c r="F52" i="44" s="1"/>
  <c r="O52" i="44" a="1"/>
  <c r="O52" i="44" s="1"/>
  <c r="M52" i="44" a="1"/>
  <c r="M52" i="44" s="1"/>
  <c r="J52" i="44" a="1"/>
  <c r="J52" i="44" s="1"/>
  <c r="D52" i="44" a="1"/>
  <c r="D52" i="44" s="1"/>
  <c r="G52" i="44" a="1"/>
  <c r="G52" i="44" s="1"/>
  <c r="E52" i="44" a="1"/>
  <c r="E52" i="44" s="1"/>
  <c r="N52" i="44" a="1"/>
  <c r="N52" i="44" s="1"/>
  <c r="B148" i="44"/>
  <c r="B43" i="44"/>
  <c r="B113" i="44"/>
  <c r="B105" i="70"/>
  <c r="A182" i="76"/>
  <c r="A148" i="76"/>
  <c r="A113" i="76"/>
  <c r="A79" i="76"/>
  <c r="A44" i="76"/>
  <c r="B143" i="44"/>
  <c r="B109" i="44"/>
  <c r="B74" i="44"/>
  <c r="E297" i="74" l="1"/>
  <c r="E398" i="74" s="1"/>
  <c r="E296" i="74"/>
  <c r="E397" i="74" s="1"/>
  <c r="G128" i="44"/>
  <c r="G398" i="74"/>
  <c r="H128" i="44"/>
  <c r="H398" i="74"/>
  <c r="O127" i="44"/>
  <c r="O397" i="74"/>
  <c r="H127" i="44"/>
  <c r="H397" i="74"/>
  <c r="D117" i="44"/>
  <c r="M128" i="44"/>
  <c r="M398" i="74"/>
  <c r="I128" i="44"/>
  <c r="I398" i="74"/>
  <c r="N403" i="74"/>
  <c r="M127" i="44"/>
  <c r="M397" i="74"/>
  <c r="J127" i="44"/>
  <c r="J397" i="74"/>
  <c r="G127" i="44"/>
  <c r="G397" i="74"/>
  <c r="D54" i="44"/>
  <c r="N128" i="44"/>
  <c r="N398" i="74"/>
  <c r="L128" i="44"/>
  <c r="L398" i="74"/>
  <c r="E403" i="74"/>
  <c r="N127" i="44"/>
  <c r="N397" i="74"/>
  <c r="L127" i="44"/>
  <c r="L397" i="74"/>
  <c r="J128" i="44"/>
  <c r="J398" i="74"/>
  <c r="P302" i="74"/>
  <c r="D403" i="74"/>
  <c r="L403" i="74"/>
  <c r="I127" i="44"/>
  <c r="I397" i="74"/>
  <c r="K128" i="44"/>
  <c r="K398" i="74"/>
  <c r="D398" i="74"/>
  <c r="H403" i="74"/>
  <c r="F127" i="44"/>
  <c r="F397" i="74"/>
  <c r="O128" i="44"/>
  <c r="O398" i="74"/>
  <c r="J403" i="74"/>
  <c r="D397" i="74"/>
  <c r="F403" i="74"/>
  <c r="F128" i="44"/>
  <c r="F398" i="74"/>
  <c r="K403" i="74"/>
  <c r="K127" i="44"/>
  <c r="K397" i="74"/>
  <c r="D60" i="44"/>
  <c r="G60" i="44"/>
  <c r="I60" i="44"/>
  <c r="N60" i="44"/>
  <c r="L60" i="44"/>
  <c r="O60" i="44"/>
  <c r="H60" i="44"/>
  <c r="J60" i="44"/>
  <c r="M60" i="44"/>
  <c r="F60" i="44"/>
  <c r="K60" i="44"/>
  <c r="P59" i="44"/>
  <c r="E97" i="76" s="1"/>
  <c r="E200" i="76" s="1"/>
  <c r="D128" i="44"/>
  <c r="P58" i="44"/>
  <c r="E96" i="76" s="1"/>
  <c r="E199" i="76" s="1"/>
  <c r="D127" i="44"/>
  <c r="D36" i="73"/>
  <c r="D66" i="44" l="1"/>
  <c r="Q59" i="44"/>
  <c r="D97" i="76"/>
  <c r="Q58" i="44"/>
  <c r="D96" i="76"/>
  <c r="P403" i="74"/>
  <c r="P397" i="74"/>
  <c r="P398" i="74"/>
  <c r="P296" i="74"/>
  <c r="P297" i="74"/>
  <c r="Q71" i="76"/>
  <c r="Q72" i="76"/>
  <c r="F97" i="76" l="1"/>
  <c r="F200" i="76" s="1"/>
  <c r="F96" i="76"/>
  <c r="F199" i="76" s="1"/>
  <c r="D200" i="76"/>
  <c r="D199" i="76"/>
  <c r="N73" i="76"/>
  <c r="N71" i="76"/>
  <c r="J96" i="76" l="1"/>
  <c r="T96" i="76" s="1"/>
  <c r="J200" i="76"/>
  <c r="T200" i="76" s="1"/>
  <c r="J199" i="76"/>
  <c r="T199" i="76" s="1"/>
  <c r="J97" i="76"/>
  <c r="T97" i="76" s="1"/>
  <c r="N21" i="75"/>
  <c r="F21" i="75"/>
  <c r="O21" i="75"/>
  <c r="K21" i="75"/>
  <c r="G21" i="75"/>
  <c r="J21" i="75"/>
  <c r="M21" i="75"/>
  <c r="I21" i="75"/>
  <c r="E21" i="75"/>
  <c r="L21" i="75"/>
  <c r="H21" i="75"/>
  <c r="F162" i="44" l="1"/>
  <c r="G162" i="44"/>
  <c r="H162" i="44"/>
  <c r="I162" i="44"/>
  <c r="J162" i="44"/>
  <c r="K162" i="44"/>
  <c r="L162" i="44"/>
  <c r="M162" i="44"/>
  <c r="N162" i="44"/>
  <c r="O162" i="44"/>
  <c r="D162" i="44"/>
  <c r="B146" i="74" l="1"/>
  <c r="Q56" i="76" l="1"/>
  <c r="Q65" i="76"/>
  <c r="Q60" i="76"/>
  <c r="Q67" i="76"/>
  <c r="A46" i="76" l="1"/>
  <c r="E311" i="70"/>
  <c r="F311" i="70"/>
  <c r="G311" i="70"/>
  <c r="H311" i="70"/>
  <c r="I311" i="70"/>
  <c r="J311" i="70"/>
  <c r="K311" i="70"/>
  <c r="L311" i="70"/>
  <c r="M311" i="70"/>
  <c r="N311" i="70"/>
  <c r="O311" i="70"/>
  <c r="D311" i="70"/>
  <c r="E278" i="70"/>
  <c r="F278" i="70"/>
  <c r="G278" i="70"/>
  <c r="H278" i="70"/>
  <c r="I278" i="70"/>
  <c r="J278" i="70"/>
  <c r="K278" i="70"/>
  <c r="L278" i="70"/>
  <c r="M278" i="70"/>
  <c r="N278" i="70"/>
  <c r="O278" i="70"/>
  <c r="D278" i="70"/>
  <c r="E243" i="70"/>
  <c r="F243" i="70"/>
  <c r="G243" i="70"/>
  <c r="H243" i="70"/>
  <c r="I243" i="70"/>
  <c r="J243" i="70"/>
  <c r="K243" i="70"/>
  <c r="L243" i="70"/>
  <c r="M243" i="70"/>
  <c r="N243" i="70"/>
  <c r="O243" i="70"/>
  <c r="D243" i="70"/>
  <c r="E208" i="70"/>
  <c r="F208" i="70"/>
  <c r="G208" i="70"/>
  <c r="H208" i="70"/>
  <c r="I208" i="70"/>
  <c r="J208" i="70"/>
  <c r="K208" i="70"/>
  <c r="L208" i="70"/>
  <c r="M208" i="70"/>
  <c r="N208" i="70"/>
  <c r="O208" i="70"/>
  <c r="D208" i="70"/>
  <c r="M124" i="75" l="1"/>
  <c r="L124" i="75"/>
  <c r="K124" i="75"/>
  <c r="J124" i="75"/>
  <c r="I124" i="75"/>
  <c r="H124" i="75"/>
  <c r="F124" i="75"/>
  <c r="E124" i="75"/>
  <c r="D124" i="75"/>
  <c r="D289" i="70"/>
  <c r="I186" i="70"/>
  <c r="B44" i="74"/>
  <c r="O71" i="74"/>
  <c r="N71" i="74"/>
  <c r="M71" i="74"/>
  <c r="L71" i="74"/>
  <c r="K71" i="74"/>
  <c r="J71" i="74"/>
  <c r="I71" i="74"/>
  <c r="H71" i="74"/>
  <c r="G71" i="74"/>
  <c r="F71" i="74"/>
  <c r="E71" i="74"/>
  <c r="D71" i="74"/>
  <c r="P70" i="74"/>
  <c r="P69" i="74"/>
  <c r="Q210" i="76"/>
  <c r="I210" i="76"/>
  <c r="G210" i="76"/>
  <c r="F210" i="76"/>
  <c r="E210" i="76"/>
  <c r="D210" i="76"/>
  <c r="Q209" i="76"/>
  <c r="G209" i="76"/>
  <c r="E209" i="76"/>
  <c r="D209" i="76"/>
  <c r="Q205" i="76"/>
  <c r="Q203" i="76"/>
  <c r="G203" i="76"/>
  <c r="Q198" i="76"/>
  <c r="G198" i="76"/>
  <c r="G197" i="76"/>
  <c r="G201" i="76" s="1"/>
  <c r="Q194" i="76"/>
  <c r="I71" i="76"/>
  <c r="J71" i="76" s="1"/>
  <c r="J73" i="76" s="1"/>
  <c r="P72" i="76"/>
  <c r="P71" i="76"/>
  <c r="P209" i="76" s="1"/>
  <c r="A150" i="76"/>
  <c r="Q177" i="76"/>
  <c r="P177" i="76"/>
  <c r="O177" i="76"/>
  <c r="M177" i="76"/>
  <c r="L177" i="76"/>
  <c r="I177" i="76"/>
  <c r="G177" i="76"/>
  <c r="F177" i="76"/>
  <c r="E177" i="76"/>
  <c r="D177" i="76"/>
  <c r="R176" i="76"/>
  <c r="J176" i="76"/>
  <c r="R175" i="76"/>
  <c r="J175" i="76"/>
  <c r="R171" i="76"/>
  <c r="J171" i="76"/>
  <c r="R169" i="76"/>
  <c r="J169" i="76"/>
  <c r="P167" i="76"/>
  <c r="O167" i="76"/>
  <c r="M167" i="76"/>
  <c r="L167" i="76"/>
  <c r="L173" i="76" s="1"/>
  <c r="G167" i="76"/>
  <c r="R164" i="76"/>
  <c r="I167" i="76"/>
  <c r="Q161" i="76"/>
  <c r="P161" i="76"/>
  <c r="O161" i="76"/>
  <c r="M161" i="76"/>
  <c r="L161" i="76"/>
  <c r="D161" i="76"/>
  <c r="R160" i="76"/>
  <c r="I161" i="76"/>
  <c r="J160" i="76"/>
  <c r="R159" i="76"/>
  <c r="F161" i="76"/>
  <c r="E161" i="76"/>
  <c r="R157" i="76"/>
  <c r="J157" i="76"/>
  <c r="R155" i="76"/>
  <c r="J155" i="76"/>
  <c r="P284" i="74"/>
  <c r="B279" i="74"/>
  <c r="F209" i="76"/>
  <c r="B344" i="74"/>
  <c r="B346" i="74"/>
  <c r="P108" i="76"/>
  <c r="O108" i="76"/>
  <c r="M108" i="76"/>
  <c r="L108" i="76"/>
  <c r="P92" i="76"/>
  <c r="O92" i="76"/>
  <c r="M92" i="76"/>
  <c r="L92" i="76"/>
  <c r="G92" i="76"/>
  <c r="Q142" i="76"/>
  <c r="Q132" i="76"/>
  <c r="Q126" i="76"/>
  <c r="P142" i="76"/>
  <c r="O142" i="76"/>
  <c r="M142" i="76"/>
  <c r="L142" i="76"/>
  <c r="P132" i="76"/>
  <c r="O132" i="76"/>
  <c r="M132" i="76"/>
  <c r="L132" i="76"/>
  <c r="P126" i="76"/>
  <c r="O126" i="76"/>
  <c r="M126" i="76"/>
  <c r="L126" i="76"/>
  <c r="J141" i="76"/>
  <c r="J140" i="76"/>
  <c r="J136" i="76"/>
  <c r="G126" i="76"/>
  <c r="E126" i="76"/>
  <c r="D126" i="76"/>
  <c r="G73" i="76"/>
  <c r="F73" i="76"/>
  <c r="E73" i="76"/>
  <c r="D73" i="76"/>
  <c r="G57" i="76"/>
  <c r="E57" i="76"/>
  <c r="D57" i="76"/>
  <c r="G108" i="76"/>
  <c r="G142" i="76"/>
  <c r="G37" i="76"/>
  <c r="R141" i="76"/>
  <c r="R140" i="76"/>
  <c r="R136" i="76"/>
  <c r="R134" i="76"/>
  <c r="R129" i="76"/>
  <c r="R128" i="76"/>
  <c r="R125" i="76"/>
  <c r="R124" i="76"/>
  <c r="R122" i="76"/>
  <c r="R120" i="76"/>
  <c r="R107" i="76"/>
  <c r="R106" i="76"/>
  <c r="R102" i="76"/>
  <c r="R100" i="76"/>
  <c r="R95" i="76"/>
  <c r="R91" i="76"/>
  <c r="J107" i="76"/>
  <c r="J106" i="76"/>
  <c r="A184" i="76"/>
  <c r="I142" i="76"/>
  <c r="F142" i="76"/>
  <c r="E142" i="76"/>
  <c r="D142" i="76"/>
  <c r="A115" i="76"/>
  <c r="I108" i="76"/>
  <c r="F108" i="76"/>
  <c r="E108" i="76"/>
  <c r="D108" i="76"/>
  <c r="A81" i="76"/>
  <c r="I37" i="76"/>
  <c r="D37" i="76"/>
  <c r="E36" i="65"/>
  <c r="E35" i="65"/>
  <c r="K186" i="70"/>
  <c r="E186" i="70"/>
  <c r="D186" i="70"/>
  <c r="N185" i="70"/>
  <c r="M185" i="70"/>
  <c r="L185" i="70"/>
  <c r="J185" i="70"/>
  <c r="F185" i="70"/>
  <c r="D36" i="65"/>
  <c r="D35" i="65"/>
  <c r="P166" i="75"/>
  <c r="O137" i="44"/>
  <c r="O139" i="44" s="1"/>
  <c r="E37" i="65" s="1"/>
  <c r="O165" i="75"/>
  <c r="O167" i="75" s="1"/>
  <c r="N137" i="44"/>
  <c r="N139" i="44" s="1"/>
  <c r="M137" i="44"/>
  <c r="M139" i="44" s="1"/>
  <c r="K70" i="44"/>
  <c r="H70" i="44"/>
  <c r="I100" i="10"/>
  <c r="I102" i="10" s="1"/>
  <c r="D102" i="75"/>
  <c r="P327" i="74"/>
  <c r="F129" i="76" s="1"/>
  <c r="J129" i="76" s="1"/>
  <c r="O231" i="70"/>
  <c r="N231" i="70"/>
  <c r="M231" i="70"/>
  <c r="L231" i="70"/>
  <c r="K231" i="70"/>
  <c r="J231" i="70"/>
  <c r="I231" i="70"/>
  <c r="H231" i="70"/>
  <c r="G231" i="70"/>
  <c r="F231" i="70"/>
  <c r="E231" i="70"/>
  <c r="O230" i="70"/>
  <c r="N230" i="70"/>
  <c r="M230" i="70"/>
  <c r="L230" i="70"/>
  <c r="K230" i="70"/>
  <c r="J230" i="70"/>
  <c r="I230" i="70"/>
  <c r="H230" i="70"/>
  <c r="G230" i="70"/>
  <c r="F230" i="70"/>
  <c r="E230" i="70"/>
  <c r="D231" i="70"/>
  <c r="D230" i="70"/>
  <c r="O226" i="70"/>
  <c r="N226" i="70"/>
  <c r="M226" i="70"/>
  <c r="L226" i="70"/>
  <c r="K226" i="70"/>
  <c r="J226" i="70"/>
  <c r="I226" i="70"/>
  <c r="H226" i="70"/>
  <c r="G226" i="70"/>
  <c r="F226" i="70"/>
  <c r="E226" i="70"/>
  <c r="D226" i="70"/>
  <c r="O224" i="70"/>
  <c r="N224" i="70"/>
  <c r="M224" i="70"/>
  <c r="L224" i="70"/>
  <c r="K224" i="70"/>
  <c r="J224" i="70"/>
  <c r="I224" i="70"/>
  <c r="H224" i="70"/>
  <c r="G224" i="70"/>
  <c r="F224" i="70"/>
  <c r="E224" i="70"/>
  <c r="D224" i="70"/>
  <c r="O219" i="70"/>
  <c r="N219" i="70"/>
  <c r="M219" i="70"/>
  <c r="L219" i="70"/>
  <c r="K219" i="70"/>
  <c r="J219" i="70"/>
  <c r="I219" i="70"/>
  <c r="H219" i="70"/>
  <c r="G219" i="70"/>
  <c r="F219" i="70"/>
  <c r="E219" i="70"/>
  <c r="D219" i="70"/>
  <c r="P112" i="70"/>
  <c r="I15" i="65" s="1"/>
  <c r="P114" i="70"/>
  <c r="I17" i="65" s="1"/>
  <c r="P116" i="70"/>
  <c r="I19" i="65" s="1"/>
  <c r="P117" i="70"/>
  <c r="I20" i="65" s="1"/>
  <c r="P120" i="70"/>
  <c r="P55" i="70"/>
  <c r="P60" i="70"/>
  <c r="G29" i="65" s="1"/>
  <c r="P126" i="70"/>
  <c r="I29" i="65" s="1"/>
  <c r="P62" i="70"/>
  <c r="G31" i="65" s="1"/>
  <c r="P128" i="70"/>
  <c r="I31" i="65" s="1"/>
  <c r="P34" i="70"/>
  <c r="F34" i="73" s="1"/>
  <c r="P66" i="70"/>
  <c r="G35" i="65" s="1"/>
  <c r="P132" i="70"/>
  <c r="P35" i="70"/>
  <c r="F35" i="73" s="1"/>
  <c r="P67" i="70"/>
  <c r="P133" i="70"/>
  <c r="I36" i="65" s="1"/>
  <c r="D36" i="70"/>
  <c r="E36" i="70"/>
  <c r="F36" i="70"/>
  <c r="G36" i="70"/>
  <c r="H36" i="70"/>
  <c r="I36" i="70"/>
  <c r="J36" i="70"/>
  <c r="K36" i="70"/>
  <c r="L36" i="70"/>
  <c r="M36" i="70"/>
  <c r="N36" i="70"/>
  <c r="O36" i="70"/>
  <c r="B39" i="70"/>
  <c r="B41" i="70"/>
  <c r="D44" i="70"/>
  <c r="D110" i="70" s="1"/>
  <c r="E44" i="70"/>
  <c r="E110" i="70" s="1"/>
  <c r="F44" i="70"/>
  <c r="F110" i="70" s="1"/>
  <c r="G44" i="70"/>
  <c r="G110" i="70" s="1"/>
  <c r="H44" i="70"/>
  <c r="H110" i="70" s="1"/>
  <c r="I44" i="70"/>
  <c r="I110" i="70" s="1"/>
  <c r="J44" i="70"/>
  <c r="J110" i="70" s="1"/>
  <c r="K44" i="70"/>
  <c r="K110" i="70" s="1"/>
  <c r="L44" i="70"/>
  <c r="L110" i="70" s="1"/>
  <c r="M44" i="70"/>
  <c r="M110" i="70" s="1"/>
  <c r="N44" i="70"/>
  <c r="N110" i="70" s="1"/>
  <c r="O44" i="70"/>
  <c r="O110" i="70" s="1"/>
  <c r="P44" i="70"/>
  <c r="P110" i="70" s="1"/>
  <c r="D68" i="70"/>
  <c r="E68" i="70"/>
  <c r="F68" i="70"/>
  <c r="G68" i="70"/>
  <c r="H68" i="70"/>
  <c r="I68" i="70"/>
  <c r="J68" i="70"/>
  <c r="K68" i="70"/>
  <c r="L68" i="70"/>
  <c r="M68" i="70"/>
  <c r="N68" i="70"/>
  <c r="O68" i="70"/>
  <c r="B71" i="70"/>
  <c r="D76" i="70"/>
  <c r="E76" i="70"/>
  <c r="F76" i="70"/>
  <c r="G76" i="70"/>
  <c r="H76" i="70"/>
  <c r="I76" i="70"/>
  <c r="J76" i="70"/>
  <c r="K76" i="70"/>
  <c r="L76" i="70"/>
  <c r="M76" i="70"/>
  <c r="N76" i="70"/>
  <c r="O76" i="70"/>
  <c r="P76" i="70"/>
  <c r="B110" i="70"/>
  <c r="C110" i="70"/>
  <c r="D130" i="70"/>
  <c r="E130" i="70"/>
  <c r="F130" i="70"/>
  <c r="G130" i="70"/>
  <c r="H130" i="70"/>
  <c r="I130" i="70"/>
  <c r="J130" i="70"/>
  <c r="K130" i="70"/>
  <c r="L130" i="70"/>
  <c r="M130" i="70"/>
  <c r="N130" i="70"/>
  <c r="O130" i="70"/>
  <c r="D134" i="70"/>
  <c r="E134" i="70"/>
  <c r="F134" i="70"/>
  <c r="G134" i="70"/>
  <c r="H134" i="70"/>
  <c r="I134" i="70"/>
  <c r="J134" i="70"/>
  <c r="K134" i="70"/>
  <c r="L134" i="70"/>
  <c r="M134" i="70"/>
  <c r="N134" i="70"/>
  <c r="O134" i="70"/>
  <c r="B137" i="70"/>
  <c r="B139" i="70"/>
  <c r="D142" i="70"/>
  <c r="E142" i="70"/>
  <c r="F142" i="70"/>
  <c r="G142" i="70"/>
  <c r="H142" i="70"/>
  <c r="I142" i="70"/>
  <c r="J142" i="70"/>
  <c r="K142" i="70"/>
  <c r="L142" i="70"/>
  <c r="M142" i="70"/>
  <c r="N142" i="70"/>
  <c r="O142" i="70"/>
  <c r="P165" i="70"/>
  <c r="B170" i="70"/>
  <c r="B172" i="70"/>
  <c r="D175" i="70"/>
  <c r="E175" i="70"/>
  <c r="F175" i="70"/>
  <c r="G175" i="70"/>
  <c r="H175" i="70"/>
  <c r="I175" i="70"/>
  <c r="J175" i="70"/>
  <c r="K175" i="70"/>
  <c r="L175" i="70"/>
  <c r="M175" i="70"/>
  <c r="N175" i="70"/>
  <c r="D197" i="70"/>
  <c r="E197" i="70"/>
  <c r="F197" i="70"/>
  <c r="G197" i="70"/>
  <c r="H197" i="70"/>
  <c r="I197" i="70"/>
  <c r="J197" i="70"/>
  <c r="K197" i="70"/>
  <c r="L197" i="70"/>
  <c r="M197" i="70"/>
  <c r="N197" i="70"/>
  <c r="O197" i="70"/>
  <c r="D198" i="70"/>
  <c r="E198" i="70"/>
  <c r="F198" i="70"/>
  <c r="G198" i="70"/>
  <c r="H198" i="70"/>
  <c r="I198" i="70"/>
  <c r="J198" i="70"/>
  <c r="K198" i="70"/>
  <c r="L198" i="70"/>
  <c r="M198" i="70"/>
  <c r="N198" i="70"/>
  <c r="O198" i="70"/>
  <c r="B203" i="70"/>
  <c r="B205" i="70"/>
  <c r="B238" i="70"/>
  <c r="B240" i="70"/>
  <c r="D266" i="70"/>
  <c r="F266" i="70"/>
  <c r="G266" i="70"/>
  <c r="H266" i="70"/>
  <c r="I266" i="70"/>
  <c r="J266" i="70"/>
  <c r="K266" i="70"/>
  <c r="L266" i="70"/>
  <c r="M266" i="70"/>
  <c r="N266" i="70"/>
  <c r="O266" i="70"/>
  <c r="B273" i="70"/>
  <c r="B275" i="70"/>
  <c r="D280" i="70"/>
  <c r="E280" i="70"/>
  <c r="F280" i="70"/>
  <c r="G280" i="70"/>
  <c r="H280" i="70"/>
  <c r="I280" i="70"/>
  <c r="J280" i="70"/>
  <c r="K280" i="70"/>
  <c r="L280" i="70"/>
  <c r="M280" i="70"/>
  <c r="N280" i="70"/>
  <c r="O280" i="70"/>
  <c r="D282" i="70"/>
  <c r="E282" i="70"/>
  <c r="F282" i="70"/>
  <c r="G282" i="70"/>
  <c r="H282" i="70"/>
  <c r="I282" i="70"/>
  <c r="J282" i="70"/>
  <c r="K282" i="70"/>
  <c r="L282" i="70"/>
  <c r="M282" i="70"/>
  <c r="N282" i="70"/>
  <c r="O282" i="70"/>
  <c r="D284" i="70"/>
  <c r="D286" i="70" s="1"/>
  <c r="E284" i="70"/>
  <c r="F284" i="70"/>
  <c r="G284" i="70"/>
  <c r="H284" i="70"/>
  <c r="I284" i="70"/>
  <c r="J284" i="70"/>
  <c r="K284" i="70"/>
  <c r="L284" i="70"/>
  <c r="M284" i="70"/>
  <c r="N284" i="70"/>
  <c r="O284" i="70"/>
  <c r="E285" i="70"/>
  <c r="F285" i="70"/>
  <c r="G285" i="70"/>
  <c r="H285" i="70"/>
  <c r="I285" i="70"/>
  <c r="J285" i="70"/>
  <c r="K285" i="70"/>
  <c r="L285" i="70"/>
  <c r="M285" i="70"/>
  <c r="N285" i="70"/>
  <c r="O285" i="70"/>
  <c r="D288" i="70"/>
  <c r="E288" i="70"/>
  <c r="F288" i="70"/>
  <c r="G288" i="70"/>
  <c r="H288" i="70"/>
  <c r="I288" i="70"/>
  <c r="J288" i="70"/>
  <c r="J292" i="70" s="1"/>
  <c r="K288" i="70"/>
  <c r="L288" i="70"/>
  <c r="M288" i="70"/>
  <c r="N288" i="70"/>
  <c r="O288" i="70"/>
  <c r="D294" i="70"/>
  <c r="E294" i="70"/>
  <c r="F294" i="70"/>
  <c r="G294" i="70"/>
  <c r="H294" i="70"/>
  <c r="I294" i="70"/>
  <c r="J294" i="70"/>
  <c r="K294" i="70"/>
  <c r="L294" i="70"/>
  <c r="M294" i="70"/>
  <c r="N294" i="70"/>
  <c r="O294" i="70"/>
  <c r="D296" i="70"/>
  <c r="E296" i="70"/>
  <c r="F296" i="70"/>
  <c r="G296" i="70"/>
  <c r="H296" i="70"/>
  <c r="I296" i="70"/>
  <c r="J296" i="70"/>
  <c r="K296" i="70"/>
  <c r="L296" i="70"/>
  <c r="M296" i="70"/>
  <c r="N296" i="70"/>
  <c r="O296" i="70"/>
  <c r="D300" i="70"/>
  <c r="E300" i="70"/>
  <c r="F300" i="70"/>
  <c r="G300" i="70"/>
  <c r="H300" i="70"/>
  <c r="I300" i="70"/>
  <c r="J300" i="70"/>
  <c r="K300" i="70"/>
  <c r="L300" i="70"/>
  <c r="M300" i="70"/>
  <c r="N300" i="70"/>
  <c r="O300" i="70"/>
  <c r="D301" i="70"/>
  <c r="E301" i="70"/>
  <c r="F301" i="70"/>
  <c r="G301" i="70"/>
  <c r="H301" i="70"/>
  <c r="I301" i="70"/>
  <c r="J301" i="70"/>
  <c r="K301" i="70"/>
  <c r="L301" i="70"/>
  <c r="M301" i="70"/>
  <c r="N301" i="70"/>
  <c r="O301" i="70"/>
  <c r="B306" i="70"/>
  <c r="B308" i="70"/>
  <c r="P334" i="70"/>
  <c r="B8" i="10"/>
  <c r="B41" i="10" s="1"/>
  <c r="B43" i="10"/>
  <c r="P15" i="10"/>
  <c r="P17" i="10"/>
  <c r="P31" i="10"/>
  <c r="P35" i="10"/>
  <c r="P36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46" i="10"/>
  <c r="P48" i="10"/>
  <c r="P50" i="10"/>
  <c r="P62" i="10"/>
  <c r="P64" i="10"/>
  <c r="P68" i="10"/>
  <c r="P69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101" i="10"/>
  <c r="P113" i="10"/>
  <c r="P115" i="10"/>
  <c r="P117" i="10"/>
  <c r="P118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21" i="10"/>
  <c r="P127" i="10"/>
  <c r="P129" i="10"/>
  <c r="P133" i="10"/>
  <c r="P134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B8" i="75"/>
  <c r="B43" i="75"/>
  <c r="P31" i="75"/>
  <c r="P35" i="75"/>
  <c r="P36" i="75"/>
  <c r="D37" i="75"/>
  <c r="E37" i="75"/>
  <c r="F37" i="75"/>
  <c r="G37" i="75"/>
  <c r="H37" i="75"/>
  <c r="I37" i="75"/>
  <c r="J37" i="75"/>
  <c r="K37" i="75"/>
  <c r="L37" i="75"/>
  <c r="M37" i="75"/>
  <c r="N37" i="75"/>
  <c r="O37" i="75"/>
  <c r="P46" i="75"/>
  <c r="P68" i="75"/>
  <c r="P69" i="75"/>
  <c r="D70" i="75"/>
  <c r="E70" i="75"/>
  <c r="F70" i="75"/>
  <c r="G70" i="75"/>
  <c r="H70" i="75"/>
  <c r="I70" i="75"/>
  <c r="J70" i="75"/>
  <c r="K70" i="75"/>
  <c r="L70" i="75"/>
  <c r="M70" i="75"/>
  <c r="N70" i="75"/>
  <c r="O70" i="75"/>
  <c r="P101" i="75"/>
  <c r="P112" i="75"/>
  <c r="P145" i="75" s="1"/>
  <c r="P114" i="75"/>
  <c r="P147" i="75" s="1"/>
  <c r="P116" i="75"/>
  <c r="P117" i="75"/>
  <c r="D118" i="75"/>
  <c r="E118" i="75"/>
  <c r="F118" i="75"/>
  <c r="G118" i="75"/>
  <c r="H118" i="75"/>
  <c r="I118" i="75"/>
  <c r="J118" i="75"/>
  <c r="K118" i="75"/>
  <c r="L118" i="75"/>
  <c r="M118" i="75"/>
  <c r="N118" i="75"/>
  <c r="O118" i="75"/>
  <c r="P120" i="75"/>
  <c r="G124" i="75"/>
  <c r="N124" i="75"/>
  <c r="O124" i="75"/>
  <c r="P126" i="75"/>
  <c r="P128" i="75"/>
  <c r="P132" i="75"/>
  <c r="P133" i="75"/>
  <c r="D134" i="75"/>
  <c r="E134" i="75"/>
  <c r="F134" i="75"/>
  <c r="G134" i="75"/>
  <c r="H134" i="75"/>
  <c r="I134" i="75"/>
  <c r="J134" i="75"/>
  <c r="K134" i="75"/>
  <c r="L134" i="75"/>
  <c r="M134" i="75"/>
  <c r="N134" i="75"/>
  <c r="O134" i="75"/>
  <c r="B7" i="44"/>
  <c r="B146" i="44" s="1"/>
  <c r="D150" i="44"/>
  <c r="G150" i="44"/>
  <c r="D12" i="44"/>
  <c r="E12" i="44"/>
  <c r="F12" i="44"/>
  <c r="G12" i="44"/>
  <c r="H12" i="44"/>
  <c r="I12" i="44"/>
  <c r="J12" i="44"/>
  <c r="K12" i="44"/>
  <c r="L12" i="44"/>
  <c r="M12" i="44"/>
  <c r="N12" i="44"/>
  <c r="O12" i="44"/>
  <c r="P83" i="44"/>
  <c r="Q83" i="44" s="1"/>
  <c r="P85" i="44"/>
  <c r="Q85" i="44" s="1"/>
  <c r="P87" i="44"/>
  <c r="Q87" i="44" s="1"/>
  <c r="P88" i="44"/>
  <c r="Q88" i="44" s="1"/>
  <c r="D89" i="44"/>
  <c r="E89" i="44"/>
  <c r="F89" i="44"/>
  <c r="G89" i="44"/>
  <c r="H89" i="44"/>
  <c r="I89" i="44"/>
  <c r="J89" i="44"/>
  <c r="K89" i="44"/>
  <c r="L89" i="44"/>
  <c r="M89" i="44"/>
  <c r="N89" i="44"/>
  <c r="O89" i="44"/>
  <c r="O101" i="44" s="1"/>
  <c r="P91" i="44"/>
  <c r="Q91" i="44" s="1"/>
  <c r="P92" i="44"/>
  <c r="Q92" i="44" s="1"/>
  <c r="D95" i="44"/>
  <c r="E95" i="44"/>
  <c r="F95" i="44"/>
  <c r="G95" i="44"/>
  <c r="H95" i="44"/>
  <c r="I95" i="44"/>
  <c r="J95" i="44"/>
  <c r="K95" i="44"/>
  <c r="L95" i="44"/>
  <c r="M95" i="44"/>
  <c r="N95" i="44"/>
  <c r="P97" i="44"/>
  <c r="Q97" i="44" s="1"/>
  <c r="Q99" i="44"/>
  <c r="P103" i="44"/>
  <c r="Q103" i="44" s="1"/>
  <c r="P104" i="44"/>
  <c r="Q104" i="44" s="1"/>
  <c r="D105" i="44"/>
  <c r="E105" i="44"/>
  <c r="F105" i="44"/>
  <c r="G105" i="44"/>
  <c r="H105" i="44"/>
  <c r="I105" i="44"/>
  <c r="J105" i="44"/>
  <c r="K105" i="44"/>
  <c r="L105" i="44"/>
  <c r="M105" i="44"/>
  <c r="N105" i="44"/>
  <c r="O105" i="44"/>
  <c r="P115" i="44"/>
  <c r="P138" i="44"/>
  <c r="Q138" i="44" s="1"/>
  <c r="P35" i="74"/>
  <c r="P36" i="74"/>
  <c r="D37" i="74"/>
  <c r="E37" i="74"/>
  <c r="F37" i="74"/>
  <c r="G37" i="74"/>
  <c r="H37" i="74"/>
  <c r="I37" i="74"/>
  <c r="J37" i="74"/>
  <c r="K37" i="74"/>
  <c r="L37" i="74"/>
  <c r="M37" i="74"/>
  <c r="N37" i="74"/>
  <c r="O37" i="74"/>
  <c r="L72" i="76"/>
  <c r="L210" i="76" s="1"/>
  <c r="B112" i="74"/>
  <c r="M72" i="76"/>
  <c r="M210" i="76" s="1"/>
  <c r="O56" i="76"/>
  <c r="O194" i="76" s="1"/>
  <c r="O60" i="76"/>
  <c r="O198" i="76" s="1"/>
  <c r="B281" i="74"/>
  <c r="B311" i="74"/>
  <c r="B313" i="74"/>
  <c r="P326" i="74"/>
  <c r="F128" i="76" s="1"/>
  <c r="F132" i="76" s="1"/>
  <c r="P332" i="74"/>
  <c r="F134" i="76" s="1"/>
  <c r="J134" i="76" s="1"/>
  <c r="P334" i="74"/>
  <c r="P338" i="74"/>
  <c r="P339" i="74"/>
  <c r="D340" i="74"/>
  <c r="E340" i="74"/>
  <c r="F340" i="74"/>
  <c r="G340" i="74"/>
  <c r="H340" i="74"/>
  <c r="I340" i="74"/>
  <c r="J340" i="74"/>
  <c r="K340" i="74"/>
  <c r="L340" i="74"/>
  <c r="M340" i="74"/>
  <c r="N340" i="74"/>
  <c r="O340" i="74"/>
  <c r="B380" i="74"/>
  <c r="B382" i="74"/>
  <c r="O55" i="76"/>
  <c r="O193" i="76" s="1"/>
  <c r="M71" i="76"/>
  <c r="M209" i="76" s="1"/>
  <c r="D100" i="10"/>
  <c r="D166" i="10" s="1"/>
  <c r="G102" i="75"/>
  <c r="J100" i="10"/>
  <c r="J166" i="10" s="1"/>
  <c r="J164" i="70"/>
  <c r="J166" i="70" s="1"/>
  <c r="J165" i="75"/>
  <c r="J167" i="75" s="1"/>
  <c r="N265" i="70"/>
  <c r="N102" i="75"/>
  <c r="N100" i="10"/>
  <c r="N102" i="10" s="1"/>
  <c r="K102" i="75"/>
  <c r="K100" i="10"/>
  <c r="K102" i="10" s="1"/>
  <c r="F100" i="10"/>
  <c r="F102" i="10" s="1"/>
  <c r="O265" i="70"/>
  <c r="I35" i="65"/>
  <c r="O72" i="76"/>
  <c r="O210" i="76" s="1"/>
  <c r="L37" i="76"/>
  <c r="L73" i="76" s="1"/>
  <c r="L71" i="76"/>
  <c r="O71" i="76"/>
  <c r="O209" i="76" s="1"/>
  <c r="R35" i="76"/>
  <c r="R37" i="76" s="1"/>
  <c r="P37" i="76"/>
  <c r="P73" i="76" s="1"/>
  <c r="T36" i="76"/>
  <c r="M37" i="76"/>
  <c r="M73" i="76" s="1"/>
  <c r="Q37" i="76"/>
  <c r="Q73" i="76" s="1"/>
  <c r="O37" i="76"/>
  <c r="O73" i="76" s="1"/>
  <c r="T84" i="76"/>
  <c r="T153" i="76"/>
  <c r="T187" i="76"/>
  <c r="T49" i="76"/>
  <c r="T118" i="76"/>
  <c r="J153" i="76"/>
  <c r="J187" i="76"/>
  <c r="J84" i="76"/>
  <c r="J118" i="76"/>
  <c r="J49" i="76"/>
  <c r="E49" i="76"/>
  <c r="E118" i="76"/>
  <c r="E153" i="76"/>
  <c r="E187" i="76"/>
  <c r="E84" i="76"/>
  <c r="G187" i="76"/>
  <c r="G153" i="76"/>
  <c r="G49" i="76"/>
  <c r="G118" i="76"/>
  <c r="G84" i="76"/>
  <c r="D49" i="76"/>
  <c r="D153" i="76"/>
  <c r="D187" i="76"/>
  <c r="D118" i="76"/>
  <c r="D84" i="76"/>
  <c r="R84" i="76"/>
  <c r="R153" i="76"/>
  <c r="R49" i="76"/>
  <c r="R118" i="76"/>
  <c r="R187" i="76"/>
  <c r="I187" i="76"/>
  <c r="I153" i="76"/>
  <c r="I49" i="76"/>
  <c r="I84" i="76"/>
  <c r="I118" i="76"/>
  <c r="F118" i="76"/>
  <c r="F153" i="76"/>
  <c r="F84" i="76"/>
  <c r="F187" i="76"/>
  <c r="I92" i="76"/>
  <c r="F37" i="76"/>
  <c r="J35" i="76"/>
  <c r="G33" i="76"/>
  <c r="G39" i="76" s="1"/>
  <c r="E37" i="76"/>
  <c r="I126" i="76"/>
  <c r="J128" i="76" l="1"/>
  <c r="J132" i="76" s="1"/>
  <c r="L292" i="70"/>
  <c r="I23" i="65"/>
  <c r="T176" i="76"/>
  <c r="O46" i="44"/>
  <c r="O81" i="44" s="1"/>
  <c r="O13" i="10"/>
  <c r="O13" i="74"/>
  <c r="G46" i="44"/>
  <c r="G81" i="44" s="1"/>
  <c r="G13" i="74"/>
  <c r="G13" i="10"/>
  <c r="G144" i="10" s="1"/>
  <c r="N151" i="44"/>
  <c r="N13" i="10"/>
  <c r="N144" i="10" s="1"/>
  <c r="N13" i="74"/>
  <c r="F46" i="44"/>
  <c r="F81" i="44" s="1"/>
  <c r="F13" i="10"/>
  <c r="F46" i="10" s="1"/>
  <c r="F13" i="74"/>
  <c r="M46" i="44"/>
  <c r="M81" i="44" s="1"/>
  <c r="M13" i="10"/>
  <c r="M111" i="10" s="1"/>
  <c r="M13" i="74"/>
  <c r="E115" i="44"/>
  <c r="E13" i="74"/>
  <c r="E13" i="10"/>
  <c r="I115" i="44"/>
  <c r="I13" i="74"/>
  <c r="I13" i="10"/>
  <c r="I46" i="10" s="1"/>
  <c r="H151" i="44"/>
  <c r="H13" i="10"/>
  <c r="H111" i="10" s="1"/>
  <c r="H13" i="74"/>
  <c r="L115" i="44"/>
  <c r="L13" i="10"/>
  <c r="L111" i="10" s="1"/>
  <c r="L13" i="74"/>
  <c r="D115" i="44"/>
  <c r="D13" i="10"/>
  <c r="D46" i="10" s="1"/>
  <c r="D13" i="74"/>
  <c r="K115" i="44"/>
  <c r="K13" i="10"/>
  <c r="K46" i="10" s="1"/>
  <c r="K13" i="74"/>
  <c r="J46" i="44"/>
  <c r="J81" i="44" s="1"/>
  <c r="J13" i="74"/>
  <c r="J13" i="10"/>
  <c r="T107" i="76"/>
  <c r="L179" i="76"/>
  <c r="O173" i="76"/>
  <c r="O179" i="76" s="1"/>
  <c r="T129" i="76"/>
  <c r="G69" i="76"/>
  <c r="G75" i="76" s="1"/>
  <c r="M173" i="76"/>
  <c r="M179" i="76" s="1"/>
  <c r="M292" i="70"/>
  <c r="H292" i="70"/>
  <c r="H136" i="70"/>
  <c r="J142" i="76"/>
  <c r="T141" i="76"/>
  <c r="I173" i="76"/>
  <c r="I179" i="76" s="1"/>
  <c r="T140" i="76"/>
  <c r="T169" i="76"/>
  <c r="O104" i="76"/>
  <c r="O110" i="76" s="1"/>
  <c r="T134" i="76"/>
  <c r="T128" i="76"/>
  <c r="L104" i="76"/>
  <c r="L110" i="76" s="1"/>
  <c r="P104" i="76"/>
  <c r="P110" i="76" s="1"/>
  <c r="I73" i="76"/>
  <c r="D138" i="76"/>
  <c r="D144" i="76" s="1"/>
  <c r="M104" i="76"/>
  <c r="M110" i="76" s="1"/>
  <c r="E138" i="76"/>
  <c r="E144" i="76" s="1"/>
  <c r="P173" i="76"/>
  <c r="P179" i="76" s="1"/>
  <c r="T106" i="76"/>
  <c r="I104" i="76"/>
  <c r="I110" i="76" s="1"/>
  <c r="T160" i="76"/>
  <c r="J177" i="76"/>
  <c r="D211" i="76"/>
  <c r="E211" i="76"/>
  <c r="P138" i="76"/>
  <c r="P144" i="76" s="1"/>
  <c r="T175" i="76"/>
  <c r="G211" i="76"/>
  <c r="D292" i="70"/>
  <c r="D298" i="70" s="1"/>
  <c r="P330" i="74"/>
  <c r="G292" i="70"/>
  <c r="E292" i="70"/>
  <c r="P37" i="10"/>
  <c r="I292" i="70"/>
  <c r="O292" i="70"/>
  <c r="N292" i="70"/>
  <c r="K292" i="70"/>
  <c r="O136" i="70"/>
  <c r="G136" i="70"/>
  <c r="I21" i="65"/>
  <c r="I136" i="70"/>
  <c r="P37" i="75"/>
  <c r="R132" i="76"/>
  <c r="T155" i="76"/>
  <c r="I37" i="65"/>
  <c r="I209" i="76"/>
  <c r="I211" i="76" s="1"/>
  <c r="O59" i="76"/>
  <c r="R126" i="76"/>
  <c r="Q138" i="76"/>
  <c r="Q144" i="76" s="1"/>
  <c r="T157" i="76"/>
  <c r="M136" i="70"/>
  <c r="E136" i="70"/>
  <c r="J108" i="76"/>
  <c r="T136" i="76"/>
  <c r="I138" i="76"/>
  <c r="I144" i="76" s="1"/>
  <c r="H199" i="70"/>
  <c r="D136" i="70"/>
  <c r="O138" i="76"/>
  <c r="O144" i="76" s="1"/>
  <c r="R161" i="76"/>
  <c r="T171" i="76"/>
  <c r="O51" i="76"/>
  <c r="L209" i="76"/>
  <c r="L211" i="76" s="1"/>
  <c r="R71" i="76"/>
  <c r="T71" i="76" s="1"/>
  <c r="O67" i="76"/>
  <c r="O205" i="76" s="1"/>
  <c r="O53" i="76"/>
  <c r="O191" i="76" s="1"/>
  <c r="O130" i="75"/>
  <c r="O136" i="75" s="1"/>
  <c r="G199" i="70"/>
  <c r="K136" i="70"/>
  <c r="J136" i="70"/>
  <c r="E69" i="76"/>
  <c r="E75" i="76" s="1"/>
  <c r="G138" i="76"/>
  <c r="G144" i="76" s="1"/>
  <c r="L138" i="76"/>
  <c r="L144" i="76" s="1"/>
  <c r="J210" i="76"/>
  <c r="Q211" i="76"/>
  <c r="D69" i="76"/>
  <c r="D75" i="76" s="1"/>
  <c r="M102" i="75"/>
  <c r="G100" i="70"/>
  <c r="M100" i="10"/>
  <c r="M166" i="10" s="1"/>
  <c r="M168" i="10" s="1"/>
  <c r="G100" i="10"/>
  <c r="G102" i="10" s="1"/>
  <c r="O100" i="10"/>
  <c r="O166" i="10" s="1"/>
  <c r="O168" i="10" s="1"/>
  <c r="M211" i="76"/>
  <c r="T72" i="76"/>
  <c r="O211" i="76"/>
  <c r="R73" i="76"/>
  <c r="T73" i="76" s="1"/>
  <c r="R177" i="76"/>
  <c r="R108" i="76"/>
  <c r="E100" i="10"/>
  <c r="F35" i="65"/>
  <c r="M138" i="76"/>
  <c r="M144" i="76" s="1"/>
  <c r="R142" i="76"/>
  <c r="H131" i="10"/>
  <c r="H137" i="10" s="1"/>
  <c r="P210" i="76"/>
  <c r="P211" i="76" s="1"/>
  <c r="T35" i="76"/>
  <c r="H165" i="75"/>
  <c r="H167" i="75" s="1"/>
  <c r="D168" i="10"/>
  <c r="E165" i="75"/>
  <c r="E167" i="75" s="1"/>
  <c r="H100" i="10"/>
  <c r="H102" i="10" s="1"/>
  <c r="O21" i="76"/>
  <c r="O57" i="76" s="1"/>
  <c r="O115" i="44"/>
  <c r="E46" i="10"/>
  <c r="G195" i="76"/>
  <c r="J159" i="76"/>
  <c r="T159" i="76" s="1"/>
  <c r="F136" i="70"/>
  <c r="E164" i="76"/>
  <c r="B75" i="10"/>
  <c r="B108" i="10" s="1"/>
  <c r="B141" i="10" s="1"/>
  <c r="F165" i="75"/>
  <c r="F167" i="75" s="1"/>
  <c r="J168" i="10"/>
  <c r="L131" i="10"/>
  <c r="L137" i="10" s="1"/>
  <c r="I265" i="70"/>
  <c r="I267" i="70" s="1"/>
  <c r="E163" i="76"/>
  <c r="O164" i="70"/>
  <c r="O166" i="70" s="1"/>
  <c r="L165" i="75"/>
  <c r="L167" i="75" s="1"/>
  <c r="E131" i="10"/>
  <c r="E137" i="10" s="1"/>
  <c r="I131" i="10"/>
  <c r="I137" i="10" s="1"/>
  <c r="M131" i="10"/>
  <c r="M137" i="10" s="1"/>
  <c r="D163" i="76"/>
  <c r="Q163" i="76"/>
  <c r="Q167" i="76" s="1"/>
  <c r="R167" i="76" s="1"/>
  <c r="E46" i="44"/>
  <c r="E81" i="44" s="1"/>
  <c r="D165" i="75"/>
  <c r="D167" i="75" s="1"/>
  <c r="L164" i="70"/>
  <c r="L166" i="70" s="1"/>
  <c r="F166" i="10"/>
  <c r="F168" i="10" s="1"/>
  <c r="I102" i="75"/>
  <c r="P135" i="10"/>
  <c r="O131" i="10"/>
  <c r="O137" i="10" s="1"/>
  <c r="I166" i="10"/>
  <c r="I168" i="10" s="1"/>
  <c r="F164" i="70"/>
  <c r="F166" i="70" s="1"/>
  <c r="L100" i="10"/>
  <c r="L102" i="10" s="1"/>
  <c r="D164" i="76"/>
  <c r="J37" i="76"/>
  <c r="T37" i="76" s="1"/>
  <c r="O195" i="76"/>
  <c r="G161" i="76"/>
  <c r="J161" i="76" s="1"/>
  <c r="F211" i="76"/>
  <c r="P71" i="74"/>
  <c r="M53" i="76"/>
  <c r="M191" i="76" s="1"/>
  <c r="P340" i="74"/>
  <c r="M51" i="76"/>
  <c r="M56" i="76"/>
  <c r="M194" i="76" s="1"/>
  <c r="M65" i="76"/>
  <c r="M203" i="76" s="1"/>
  <c r="M60" i="76"/>
  <c r="M198" i="76" s="1"/>
  <c r="M59" i="76"/>
  <c r="M55" i="76"/>
  <c r="M193" i="76" s="1"/>
  <c r="P37" i="74"/>
  <c r="M151" i="44"/>
  <c r="L101" i="44"/>
  <c r="L107" i="44" s="1"/>
  <c r="H101" i="44"/>
  <c r="H107" i="44" s="1"/>
  <c r="E151" i="44"/>
  <c r="M115" i="44"/>
  <c r="B41" i="44"/>
  <c r="B76" i="44" s="1"/>
  <c r="K101" i="44"/>
  <c r="K107" i="44" s="1"/>
  <c r="G101" i="44"/>
  <c r="G107" i="44" s="1"/>
  <c r="Q89" i="44"/>
  <c r="M70" i="44"/>
  <c r="N70" i="44"/>
  <c r="O151" i="44"/>
  <c r="K137" i="44"/>
  <c r="K139" i="44" s="1"/>
  <c r="D114" i="44"/>
  <c r="N101" i="44"/>
  <c r="N107" i="44" s="1"/>
  <c r="F101" i="44"/>
  <c r="F107" i="44" s="1"/>
  <c r="O70" i="44"/>
  <c r="D45" i="44"/>
  <c r="D80" i="44" s="1"/>
  <c r="G114" i="44"/>
  <c r="M101" i="44"/>
  <c r="M107" i="44" s="1"/>
  <c r="I101" i="44"/>
  <c r="I107" i="44" s="1"/>
  <c r="G45" i="44"/>
  <c r="G80" i="44" s="1"/>
  <c r="J101" i="44"/>
  <c r="J107" i="44" s="1"/>
  <c r="J115" i="44"/>
  <c r="G151" i="44"/>
  <c r="Q95" i="44"/>
  <c r="F70" i="44"/>
  <c r="F137" i="44"/>
  <c r="F139" i="44" s="1"/>
  <c r="E101" i="44"/>
  <c r="E107" i="44" s="1"/>
  <c r="G115" i="44"/>
  <c r="J151" i="44"/>
  <c r="P95" i="44"/>
  <c r="P89" i="44"/>
  <c r="E137" i="44"/>
  <c r="E139" i="44" s="1"/>
  <c r="E70" i="44"/>
  <c r="H137" i="44"/>
  <c r="H139" i="44" s="1"/>
  <c r="L137" i="44"/>
  <c r="L139" i="44" s="1"/>
  <c r="L70" i="44"/>
  <c r="D101" i="44"/>
  <c r="P105" i="44"/>
  <c r="Q105" i="44" s="1"/>
  <c r="L46" i="44"/>
  <c r="L81" i="44" s="1"/>
  <c r="L151" i="44"/>
  <c r="J137" i="44"/>
  <c r="J139" i="44" s="1"/>
  <c r="J70" i="44"/>
  <c r="N46" i="44"/>
  <c r="N81" i="44" s="1"/>
  <c r="N115" i="44"/>
  <c r="I137" i="44"/>
  <c r="I139" i="44" s="1"/>
  <c r="I70" i="44"/>
  <c r="G70" i="44"/>
  <c r="G137" i="44"/>
  <c r="G139" i="44" s="1"/>
  <c r="F151" i="44"/>
  <c r="F115" i="44"/>
  <c r="D151" i="44"/>
  <c r="D46" i="44"/>
  <c r="D81" i="44" s="1"/>
  <c r="D70" i="44"/>
  <c r="D137" i="44"/>
  <c r="O107" i="44"/>
  <c r="I46" i="44"/>
  <c r="I81" i="44" s="1"/>
  <c r="I151" i="44"/>
  <c r="P134" i="75"/>
  <c r="P70" i="75"/>
  <c r="G130" i="75"/>
  <c r="G136" i="75" s="1"/>
  <c r="N165" i="75"/>
  <c r="N167" i="75" s="1"/>
  <c r="N130" i="75"/>
  <c r="N136" i="75" s="1"/>
  <c r="P118" i="75"/>
  <c r="E130" i="75"/>
  <c r="E136" i="75" s="1"/>
  <c r="G165" i="75"/>
  <c r="G167" i="75" s="1"/>
  <c r="B75" i="75"/>
  <c r="B107" i="75" s="1"/>
  <c r="B140" i="75" s="1"/>
  <c r="J130" i="75"/>
  <c r="J136" i="75" s="1"/>
  <c r="J102" i="75"/>
  <c r="K165" i="75"/>
  <c r="K167" i="75" s="1"/>
  <c r="O102" i="75"/>
  <c r="I130" i="75"/>
  <c r="I136" i="75" s="1"/>
  <c r="M130" i="75"/>
  <c r="M136" i="75" s="1"/>
  <c r="F130" i="75"/>
  <c r="F136" i="75" s="1"/>
  <c r="D130" i="75"/>
  <c r="D136" i="75" s="1"/>
  <c r="H130" i="75"/>
  <c r="H136" i="75" s="1"/>
  <c r="K130" i="75"/>
  <c r="K136" i="75" s="1"/>
  <c r="M165" i="75"/>
  <c r="M167" i="75" s="1"/>
  <c r="H102" i="75"/>
  <c r="L130" i="75"/>
  <c r="L136" i="75" s="1"/>
  <c r="P121" i="75"/>
  <c r="P124" i="75" s="1"/>
  <c r="F131" i="10"/>
  <c r="F137" i="10" s="1"/>
  <c r="D102" i="10"/>
  <c r="N166" i="10"/>
  <c r="N168" i="10" s="1"/>
  <c r="P167" i="10"/>
  <c r="J131" i="10"/>
  <c r="J137" i="10" s="1"/>
  <c r="G131" i="10"/>
  <c r="G137" i="10" s="1"/>
  <c r="E144" i="10"/>
  <c r="O144" i="10"/>
  <c r="N131" i="10"/>
  <c r="N137" i="10" s="1"/>
  <c r="P119" i="10"/>
  <c r="K131" i="10"/>
  <c r="K137" i="10" s="1"/>
  <c r="P70" i="10"/>
  <c r="D131" i="10"/>
  <c r="D137" i="10" s="1"/>
  <c r="E111" i="10"/>
  <c r="P122" i="10"/>
  <c r="P125" i="10" s="1"/>
  <c r="J111" i="10"/>
  <c r="J78" i="10"/>
  <c r="K166" i="10"/>
  <c r="K168" i="10" s="1"/>
  <c r="O111" i="10"/>
  <c r="J102" i="10"/>
  <c r="O46" i="10"/>
  <c r="F144" i="10"/>
  <c r="F78" i="10"/>
  <c r="J46" i="10"/>
  <c r="N111" i="10"/>
  <c r="J100" i="70"/>
  <c r="O186" i="70"/>
  <c r="L286" i="70"/>
  <c r="M302" i="70"/>
  <c r="I302" i="70"/>
  <c r="E302" i="70"/>
  <c r="M286" i="70"/>
  <c r="N164" i="70"/>
  <c r="N166" i="70" s="1"/>
  <c r="J265" i="70"/>
  <c r="J267" i="70" s="1"/>
  <c r="O286" i="70"/>
  <c r="I199" i="70"/>
  <c r="P134" i="70"/>
  <c r="F232" i="70"/>
  <c r="N302" i="70"/>
  <c r="K185" i="70"/>
  <c r="K189" i="70" s="1"/>
  <c r="G265" i="70"/>
  <c r="G267" i="70" s="1"/>
  <c r="J302" i="70"/>
  <c r="F302" i="70"/>
  <c r="F199" i="70"/>
  <c r="G232" i="70"/>
  <c r="O232" i="70"/>
  <c r="L302" i="70"/>
  <c r="P294" i="70"/>
  <c r="E185" i="70"/>
  <c r="E189" i="70" s="1"/>
  <c r="N186" i="70"/>
  <c r="N189" i="70" s="1"/>
  <c r="O100" i="70"/>
  <c r="G164" i="70"/>
  <c r="G166" i="70" s="1"/>
  <c r="N100" i="70"/>
  <c r="H286" i="70"/>
  <c r="O267" i="70"/>
  <c r="P301" i="70"/>
  <c r="I185" i="70"/>
  <c r="I189" i="70" s="1"/>
  <c r="G302" i="70"/>
  <c r="N232" i="70"/>
  <c r="H164" i="70"/>
  <c r="H166" i="70" s="1"/>
  <c r="H265" i="70"/>
  <c r="H100" i="70"/>
  <c r="N267" i="70"/>
  <c r="N333" i="70"/>
  <c r="N335" i="70" s="1"/>
  <c r="O333" i="70"/>
  <c r="O335" i="70" s="1"/>
  <c r="O302" i="70"/>
  <c r="L199" i="70"/>
  <c r="L136" i="70"/>
  <c r="J186" i="70"/>
  <c r="J189" i="70" s="1"/>
  <c r="P288" i="70"/>
  <c r="I286" i="70"/>
  <c r="D199" i="70"/>
  <c r="J232" i="70"/>
  <c r="K232" i="70"/>
  <c r="P289" i="70"/>
  <c r="K265" i="70"/>
  <c r="K267" i="70" s="1"/>
  <c r="K100" i="70"/>
  <c r="K302" i="70"/>
  <c r="M186" i="70"/>
  <c r="M189" i="70" s="1"/>
  <c r="P198" i="70"/>
  <c r="K164" i="70"/>
  <c r="K166" i="70" s="1"/>
  <c r="H302" i="70"/>
  <c r="P300" i="70"/>
  <c r="D302" i="70"/>
  <c r="P296" i="70"/>
  <c r="B107" i="70"/>
  <c r="B73" i="70"/>
  <c r="P121" i="70"/>
  <c r="P124" i="70" s="1"/>
  <c r="G185" i="70"/>
  <c r="F186" i="70"/>
  <c r="F189" i="70" s="1"/>
  <c r="L186" i="70"/>
  <c r="L189" i="70" s="1"/>
  <c r="N199" i="70"/>
  <c r="J199" i="70"/>
  <c r="P224" i="70"/>
  <c r="P226" i="70"/>
  <c r="P231" i="70"/>
  <c r="L232" i="70"/>
  <c r="E232" i="70"/>
  <c r="I232" i="70"/>
  <c r="M232" i="70"/>
  <c r="K286" i="70"/>
  <c r="N286" i="70"/>
  <c r="J286" i="70"/>
  <c r="N136" i="70"/>
  <c r="B41" i="75"/>
  <c r="B138" i="75"/>
  <c r="B73" i="75"/>
  <c r="B105" i="75" s="1"/>
  <c r="D232" i="70"/>
  <c r="M164" i="70"/>
  <c r="M166" i="70" s="1"/>
  <c r="M265" i="70"/>
  <c r="M100" i="70"/>
  <c r="F36" i="65"/>
  <c r="P36" i="70"/>
  <c r="G24" i="65"/>
  <c r="P219" i="70"/>
  <c r="H232" i="70"/>
  <c r="P230" i="70"/>
  <c r="H186" i="70"/>
  <c r="P118" i="70"/>
  <c r="E199" i="70"/>
  <c r="P197" i="70"/>
  <c r="E286" i="70"/>
  <c r="P285" i="70"/>
  <c r="P282" i="70"/>
  <c r="P280" i="70"/>
  <c r="O199" i="70"/>
  <c r="K199" i="70"/>
  <c r="G36" i="65"/>
  <c r="G37" i="65" s="1"/>
  <c r="P68" i="70"/>
  <c r="D189" i="70"/>
  <c r="P22" i="70"/>
  <c r="H185" i="70"/>
  <c r="O185" i="70"/>
  <c r="G186" i="70"/>
  <c r="P23" i="70"/>
  <c r="L46" i="10"/>
  <c r="L144" i="10"/>
  <c r="B139" i="10"/>
  <c r="B73" i="10"/>
  <c r="B106" i="10" s="1"/>
  <c r="K151" i="44"/>
  <c r="K46" i="44"/>
  <c r="K81" i="44" s="1"/>
  <c r="H115" i="44"/>
  <c r="H46" i="44"/>
  <c r="H81" i="44" s="1"/>
  <c r="K111" i="10"/>
  <c r="G286" i="70"/>
  <c r="F286" i="70"/>
  <c r="P284" i="70"/>
  <c r="M199" i="70"/>
  <c r="T132" i="76" l="1"/>
  <c r="K144" i="10"/>
  <c r="N46" i="10"/>
  <c r="H46" i="10"/>
  <c r="I144" i="10"/>
  <c r="G46" i="10"/>
  <c r="I111" i="10"/>
  <c r="M144" i="10"/>
  <c r="M46" i="10"/>
  <c r="O197" i="76"/>
  <c r="O201" i="76" s="1"/>
  <c r="O63" i="76"/>
  <c r="M197" i="76"/>
  <c r="M201" i="76" s="1"/>
  <c r="M63" i="76"/>
  <c r="O189" i="76"/>
  <c r="M189" i="76"/>
  <c r="K13" i="75"/>
  <c r="K78" i="10"/>
  <c r="H149" i="74"/>
  <c r="H182" i="74"/>
  <c r="H250" i="74"/>
  <c r="H115" i="74"/>
  <c r="H216" i="74"/>
  <c r="H81" i="74"/>
  <c r="H47" i="74"/>
  <c r="H385" i="74"/>
  <c r="H284" i="74"/>
  <c r="H316" i="74"/>
  <c r="H349" i="74"/>
  <c r="N13" i="75"/>
  <c r="N78" i="10"/>
  <c r="D216" i="74"/>
  <c r="D81" i="74"/>
  <c r="D182" i="74"/>
  <c r="D250" i="74"/>
  <c r="D115" i="74"/>
  <c r="D149" i="74"/>
  <c r="D47" i="74"/>
  <c r="D385" i="74"/>
  <c r="D349" i="74"/>
  <c r="D284" i="74"/>
  <c r="D316" i="74"/>
  <c r="M13" i="75"/>
  <c r="M78" i="10"/>
  <c r="G13" i="75"/>
  <c r="G78" i="10"/>
  <c r="G111" i="10"/>
  <c r="D13" i="75"/>
  <c r="D78" i="10"/>
  <c r="D111" i="10"/>
  <c r="D144" i="10"/>
  <c r="I13" i="75"/>
  <c r="I78" i="10"/>
  <c r="G216" i="74"/>
  <c r="G115" i="74"/>
  <c r="G250" i="74"/>
  <c r="G81" i="74"/>
  <c r="G182" i="74"/>
  <c r="G149" i="74"/>
  <c r="G47" i="74"/>
  <c r="G385" i="74"/>
  <c r="G316" i="74"/>
  <c r="G349" i="74"/>
  <c r="G284" i="74"/>
  <c r="J13" i="75"/>
  <c r="J144" i="10"/>
  <c r="I81" i="74"/>
  <c r="I149" i="74"/>
  <c r="I182" i="74"/>
  <c r="I216" i="74"/>
  <c r="I250" i="74"/>
  <c r="I115" i="74"/>
  <c r="I47" i="74"/>
  <c r="I385" i="74"/>
  <c r="I316" i="74"/>
  <c r="I349" i="74"/>
  <c r="I284" i="74"/>
  <c r="F149" i="74"/>
  <c r="F81" i="74"/>
  <c r="F182" i="74"/>
  <c r="F115" i="74"/>
  <c r="F216" i="74"/>
  <c r="F250" i="74"/>
  <c r="F385" i="74"/>
  <c r="F47" i="74"/>
  <c r="F284" i="74"/>
  <c r="F349" i="74"/>
  <c r="F316" i="74"/>
  <c r="H13" i="75"/>
  <c r="H78" i="10"/>
  <c r="J115" i="74"/>
  <c r="J149" i="74"/>
  <c r="J81" i="74"/>
  <c r="J182" i="74"/>
  <c r="J216" i="74"/>
  <c r="J250" i="74"/>
  <c r="J47" i="74"/>
  <c r="J385" i="74"/>
  <c r="J349" i="74"/>
  <c r="J316" i="74"/>
  <c r="J284" i="74"/>
  <c r="L216" i="74"/>
  <c r="L250" i="74"/>
  <c r="L81" i="74"/>
  <c r="L115" i="74"/>
  <c r="L149" i="74"/>
  <c r="L182" i="74"/>
  <c r="L385" i="74"/>
  <c r="L47" i="74"/>
  <c r="L349" i="74"/>
  <c r="L284" i="74"/>
  <c r="L316" i="74"/>
  <c r="F13" i="75"/>
  <c r="F111" i="10"/>
  <c r="O216" i="74"/>
  <c r="O149" i="74"/>
  <c r="O81" i="74"/>
  <c r="O250" i="74"/>
  <c r="O182" i="74"/>
  <c r="O115" i="74"/>
  <c r="O385" i="74"/>
  <c r="O47" i="74"/>
  <c r="O316" i="74"/>
  <c r="O349" i="74"/>
  <c r="O284" i="74"/>
  <c r="L13" i="75"/>
  <c r="L78" i="10"/>
  <c r="E13" i="75"/>
  <c r="E78" i="10"/>
  <c r="O13" i="75"/>
  <c r="O78" i="10"/>
  <c r="M182" i="74"/>
  <c r="M149" i="74"/>
  <c r="M250" i="74"/>
  <c r="M81" i="74"/>
  <c r="M216" i="74"/>
  <c r="M115" i="74"/>
  <c r="M385" i="74"/>
  <c r="M47" i="74"/>
  <c r="M284" i="74"/>
  <c r="M316" i="74"/>
  <c r="M349" i="74"/>
  <c r="H144" i="10"/>
  <c r="K81" i="74"/>
  <c r="K115" i="74"/>
  <c r="K216" i="74"/>
  <c r="K250" i="74"/>
  <c r="K149" i="74"/>
  <c r="K182" i="74"/>
  <c r="K385" i="74"/>
  <c r="K47" i="74"/>
  <c r="K349" i="74"/>
  <c r="K284" i="74"/>
  <c r="K316" i="74"/>
  <c r="E216" i="74"/>
  <c r="E149" i="74"/>
  <c r="E250" i="74"/>
  <c r="E182" i="74"/>
  <c r="E115" i="74"/>
  <c r="E81" i="74"/>
  <c r="E47" i="74"/>
  <c r="E385" i="74"/>
  <c r="E284" i="74"/>
  <c r="E316" i="74"/>
  <c r="E349" i="74"/>
  <c r="N182" i="74"/>
  <c r="N216" i="74"/>
  <c r="N149" i="74"/>
  <c r="N250" i="74"/>
  <c r="N81" i="74"/>
  <c r="N115" i="74"/>
  <c r="N385" i="74"/>
  <c r="N47" i="74"/>
  <c r="N284" i="74"/>
  <c r="N349" i="74"/>
  <c r="N316" i="74"/>
  <c r="R209" i="76"/>
  <c r="T142" i="76"/>
  <c r="T177" i="76"/>
  <c r="L67" i="76"/>
  <c r="L205" i="76" s="1"/>
  <c r="P131" i="10"/>
  <c r="P137" i="10" s="1"/>
  <c r="O189" i="70"/>
  <c r="P292" i="70"/>
  <c r="G189" i="70"/>
  <c r="P26" i="70"/>
  <c r="F292" i="70"/>
  <c r="F298" i="70" s="1"/>
  <c r="F304" i="70" s="1"/>
  <c r="H189" i="70"/>
  <c r="R163" i="76"/>
  <c r="O102" i="10"/>
  <c r="J209" i="76"/>
  <c r="H166" i="10"/>
  <c r="H168" i="10" s="1"/>
  <c r="T161" i="76"/>
  <c r="L166" i="10"/>
  <c r="L168" i="10" s="1"/>
  <c r="M102" i="10"/>
  <c r="R210" i="76"/>
  <c r="T210" i="76" s="1"/>
  <c r="M67" i="76"/>
  <c r="M205" i="76" s="1"/>
  <c r="D167" i="76"/>
  <c r="D173" i="76" s="1"/>
  <c r="D179" i="76" s="1"/>
  <c r="F265" i="70"/>
  <c r="F267" i="70" s="1"/>
  <c r="G166" i="10"/>
  <c r="G168" i="10" s="1"/>
  <c r="P100" i="10"/>
  <c r="P102" i="10" s="1"/>
  <c r="M298" i="70"/>
  <c r="M304" i="70" s="1"/>
  <c r="E102" i="75"/>
  <c r="L265" i="70"/>
  <c r="L333" i="70" s="1"/>
  <c r="L335" i="70" s="1"/>
  <c r="E166" i="10"/>
  <c r="E168" i="10" s="1"/>
  <c r="E102" i="10"/>
  <c r="F37" i="65"/>
  <c r="L100" i="70"/>
  <c r="R138" i="76"/>
  <c r="P100" i="75"/>
  <c r="P102" i="75" s="1"/>
  <c r="R144" i="76"/>
  <c r="F100" i="70"/>
  <c r="F102" i="75"/>
  <c r="Q173" i="76"/>
  <c r="R173" i="76" s="1"/>
  <c r="M195" i="76"/>
  <c r="M21" i="76"/>
  <c r="M57" i="76" s="1"/>
  <c r="I333" i="70"/>
  <c r="I335" i="70" s="1"/>
  <c r="D265" i="70"/>
  <c r="D100" i="70"/>
  <c r="I100" i="70"/>
  <c r="I164" i="70"/>
  <c r="I166" i="70" s="1"/>
  <c r="P130" i="70"/>
  <c r="P136" i="70" s="1"/>
  <c r="I24" i="65"/>
  <c r="D164" i="70"/>
  <c r="D166" i="70" s="1"/>
  <c r="L102" i="75"/>
  <c r="I165" i="75"/>
  <c r="I167" i="75" s="1"/>
  <c r="E167" i="76"/>
  <c r="E173" i="76" s="1"/>
  <c r="E179" i="76" s="1"/>
  <c r="G173" i="76"/>
  <c r="G179" i="76" s="1"/>
  <c r="B111" i="44"/>
  <c r="P137" i="44"/>
  <c r="Q137" i="44" s="1"/>
  <c r="D139" i="44"/>
  <c r="P70" i="44"/>
  <c r="Q70" i="44" s="1"/>
  <c r="P101" i="44"/>
  <c r="Q101" i="44" s="1"/>
  <c r="D107" i="44"/>
  <c r="P107" i="44" s="1"/>
  <c r="Q107" i="44" s="1"/>
  <c r="P130" i="75"/>
  <c r="P136" i="75" s="1"/>
  <c r="J333" i="70"/>
  <c r="J335" i="70" s="1"/>
  <c r="P286" i="70"/>
  <c r="K333" i="70"/>
  <c r="K335" i="70" s="1"/>
  <c r="L298" i="70"/>
  <c r="L304" i="70" s="1"/>
  <c r="G333" i="70"/>
  <c r="G335" i="70" s="1"/>
  <c r="J298" i="70"/>
  <c r="J304" i="70" s="1"/>
  <c r="O298" i="70"/>
  <c r="O304" i="70" s="1"/>
  <c r="E298" i="70"/>
  <c r="E304" i="70" s="1"/>
  <c r="N298" i="70"/>
  <c r="N304" i="70" s="1"/>
  <c r="P302" i="70"/>
  <c r="I298" i="70"/>
  <c r="I304" i="70" s="1"/>
  <c r="K298" i="70"/>
  <c r="K304" i="70" s="1"/>
  <c r="P199" i="70"/>
  <c r="G298" i="70"/>
  <c r="G304" i="70" s="1"/>
  <c r="H298" i="70"/>
  <c r="H304" i="70" s="1"/>
  <c r="P232" i="70"/>
  <c r="H267" i="70"/>
  <c r="H333" i="70"/>
  <c r="H335" i="70" s="1"/>
  <c r="D304" i="70"/>
  <c r="F36" i="73"/>
  <c r="M267" i="70"/>
  <c r="M333" i="70"/>
  <c r="M335" i="70" s="1"/>
  <c r="F23" i="65"/>
  <c r="F22" i="73"/>
  <c r="F23" i="73"/>
  <c r="F24" i="65"/>
  <c r="P186" i="70"/>
  <c r="D23" i="73" s="1"/>
  <c r="P185" i="70"/>
  <c r="D22" i="73" s="1"/>
  <c r="T209" i="76" l="1"/>
  <c r="M69" i="76"/>
  <c r="R211" i="76"/>
  <c r="L110" i="75"/>
  <c r="L143" i="75"/>
  <c r="L46" i="75"/>
  <c r="L78" i="75"/>
  <c r="N78" i="75"/>
  <c r="N46" i="75"/>
  <c r="N143" i="75"/>
  <c r="N110" i="75"/>
  <c r="G78" i="75"/>
  <c r="G143" i="75"/>
  <c r="G110" i="75"/>
  <c r="G46" i="75"/>
  <c r="D78" i="75"/>
  <c r="D110" i="75"/>
  <c r="D143" i="75"/>
  <c r="D46" i="75"/>
  <c r="I78" i="75"/>
  <c r="I143" i="75"/>
  <c r="I110" i="75"/>
  <c r="I46" i="75"/>
  <c r="M143" i="75"/>
  <c r="M110" i="75"/>
  <c r="M78" i="75"/>
  <c r="M46" i="75"/>
  <c r="E78" i="75"/>
  <c r="E110" i="75"/>
  <c r="E46" i="75"/>
  <c r="E143" i="75"/>
  <c r="O78" i="75"/>
  <c r="O46" i="75"/>
  <c r="O143" i="75"/>
  <c r="O110" i="75"/>
  <c r="F78" i="75"/>
  <c r="F46" i="75"/>
  <c r="F110" i="75"/>
  <c r="F143" i="75"/>
  <c r="H78" i="75"/>
  <c r="H110" i="75"/>
  <c r="H46" i="75"/>
  <c r="H143" i="75"/>
  <c r="J78" i="75"/>
  <c r="J46" i="75"/>
  <c r="J110" i="75"/>
  <c r="J143" i="75"/>
  <c r="K143" i="75"/>
  <c r="K46" i="75"/>
  <c r="K78" i="75"/>
  <c r="K110" i="75"/>
  <c r="J211" i="76"/>
  <c r="F26" i="73"/>
  <c r="I27" i="65"/>
  <c r="I33" i="65" s="1"/>
  <c r="I39" i="65" s="1"/>
  <c r="F27" i="65"/>
  <c r="D26" i="73"/>
  <c r="P189" i="70"/>
  <c r="F333" i="70"/>
  <c r="F335" i="70" s="1"/>
  <c r="P166" i="10"/>
  <c r="P168" i="10" s="1"/>
  <c r="L267" i="70"/>
  <c r="Q179" i="76"/>
  <c r="R179" i="76" s="1"/>
  <c r="P165" i="75"/>
  <c r="P167" i="75" s="1"/>
  <c r="M207" i="76"/>
  <c r="M213" i="76" s="1"/>
  <c r="M33" i="76"/>
  <c r="M39" i="76" s="1"/>
  <c r="M75" i="76" s="1"/>
  <c r="D267" i="70"/>
  <c r="D333" i="70"/>
  <c r="D335" i="70" s="1"/>
  <c r="P139" i="44"/>
  <c r="Q139" i="44" s="1"/>
  <c r="D37" i="65" s="1"/>
  <c r="P298" i="70"/>
  <c r="P304" i="70" s="1"/>
  <c r="T211" i="76" l="1"/>
  <c r="R94" i="76" l="1"/>
  <c r="R90" i="76" l="1"/>
  <c r="R92" i="76"/>
  <c r="R88" i="76"/>
  <c r="R86" i="76"/>
  <c r="Q110" i="76" l="1"/>
  <c r="P58" i="74" l="1"/>
  <c r="P51" i="74"/>
  <c r="P49" i="74" l="1"/>
  <c r="E55" i="74"/>
  <c r="E67" i="74" s="1"/>
  <c r="E73" i="74" s="1"/>
  <c r="F55" i="74"/>
  <c r="G55" i="74"/>
  <c r="H55" i="74"/>
  <c r="I55" i="74"/>
  <c r="J55" i="74"/>
  <c r="K55" i="74"/>
  <c r="L55" i="74"/>
  <c r="M55" i="74"/>
  <c r="N55" i="74"/>
  <c r="O55" i="74"/>
  <c r="P57" i="74"/>
  <c r="P61" i="74" s="1"/>
  <c r="D55" i="74"/>
  <c r="P53" i="74"/>
  <c r="P65" i="74"/>
  <c r="I27" i="76" l="1"/>
  <c r="M67" i="74"/>
  <c r="M73" i="74" s="1"/>
  <c r="K67" i="74"/>
  <c r="K73" i="74" s="1"/>
  <c r="G67" i="74"/>
  <c r="G73" i="74" s="1"/>
  <c r="H67" i="74"/>
  <c r="H73" i="74" s="1"/>
  <c r="D67" i="74"/>
  <c r="D73" i="74" s="1"/>
  <c r="O67" i="74"/>
  <c r="O73" i="74" s="1"/>
  <c r="I67" i="74"/>
  <c r="I73" i="74" s="1"/>
  <c r="N67" i="74"/>
  <c r="N73" i="74" s="1"/>
  <c r="J67" i="74"/>
  <c r="J73" i="74" s="1"/>
  <c r="F67" i="74"/>
  <c r="F73" i="74" s="1"/>
  <c r="F57" i="76"/>
  <c r="F63" i="76"/>
  <c r="I63" i="76"/>
  <c r="F164" i="76"/>
  <c r="I21" i="76"/>
  <c r="F163" i="76" l="1"/>
  <c r="F167" i="76" s="1"/>
  <c r="F69" i="76"/>
  <c r="F75" i="76" s="1"/>
  <c r="I33" i="76"/>
  <c r="I39" i="76" s="1"/>
  <c r="I205" i="76"/>
  <c r="I198" i="76"/>
  <c r="J164" i="76"/>
  <c r="T164" i="76" s="1"/>
  <c r="I203" i="76"/>
  <c r="I57" i="76"/>
  <c r="I69" i="76" s="1"/>
  <c r="J69" i="76" s="1"/>
  <c r="I195" i="76"/>
  <c r="I197" i="76"/>
  <c r="F131" i="44"/>
  <c r="J131" i="44"/>
  <c r="N131" i="44"/>
  <c r="I201" i="76" l="1"/>
  <c r="I207" i="76" s="1"/>
  <c r="I213" i="76" s="1"/>
  <c r="J63" i="76"/>
  <c r="I75" i="76"/>
  <c r="J163" i="76"/>
  <c r="T163" i="76" s="1"/>
  <c r="P15" i="74"/>
  <c r="J57" i="76"/>
  <c r="M131" i="44"/>
  <c r="I131" i="44"/>
  <c r="P17" i="74"/>
  <c r="L131" i="44"/>
  <c r="H131" i="44"/>
  <c r="P29" i="74"/>
  <c r="P24" i="74"/>
  <c r="O131" i="44"/>
  <c r="K131" i="44"/>
  <c r="G131" i="44"/>
  <c r="P20" i="74"/>
  <c r="O193" i="70"/>
  <c r="K193" i="70"/>
  <c r="G193" i="70"/>
  <c r="N191" i="70"/>
  <c r="J191" i="70"/>
  <c r="F191" i="70"/>
  <c r="O160" i="10"/>
  <c r="K160" i="10"/>
  <c r="G160" i="10"/>
  <c r="O159" i="75"/>
  <c r="K159" i="75"/>
  <c r="G159" i="75"/>
  <c r="P23" i="44"/>
  <c r="E23" i="65"/>
  <c r="O133" i="44"/>
  <c r="K133" i="44"/>
  <c r="G133" i="44"/>
  <c r="M21" i="74"/>
  <c r="I21" i="74"/>
  <c r="E21" i="74"/>
  <c r="N193" i="70"/>
  <c r="J193" i="70"/>
  <c r="F193" i="70"/>
  <c r="M191" i="70"/>
  <c r="I191" i="70"/>
  <c r="E191" i="70"/>
  <c r="H181" i="70"/>
  <c r="N160" i="10"/>
  <c r="J160" i="10"/>
  <c r="F160" i="10"/>
  <c r="N159" i="75"/>
  <c r="J159" i="75"/>
  <c r="F159" i="75"/>
  <c r="P28" i="44"/>
  <c r="O126" i="44"/>
  <c r="G126" i="44"/>
  <c r="N133" i="44"/>
  <c r="J133" i="44"/>
  <c r="F133" i="44"/>
  <c r="P19" i="74"/>
  <c r="D21" i="74"/>
  <c r="L21" i="74"/>
  <c r="H21" i="74"/>
  <c r="P28" i="70"/>
  <c r="M193" i="70"/>
  <c r="I193" i="70"/>
  <c r="E193" i="70"/>
  <c r="L191" i="70"/>
  <c r="H191" i="70"/>
  <c r="M160" i="10"/>
  <c r="I160" i="10"/>
  <c r="E160" i="10"/>
  <c r="M159" i="75"/>
  <c r="I159" i="75"/>
  <c r="E159" i="75"/>
  <c r="N126" i="44"/>
  <c r="J126" i="44"/>
  <c r="F126" i="44"/>
  <c r="M133" i="44"/>
  <c r="I133" i="44"/>
  <c r="P31" i="74"/>
  <c r="O21" i="74"/>
  <c r="K21" i="74"/>
  <c r="G21" i="74"/>
  <c r="F173" i="76"/>
  <c r="J167" i="76"/>
  <c r="T167" i="76" s="1"/>
  <c r="D179" i="70"/>
  <c r="P30" i="70"/>
  <c r="L193" i="70"/>
  <c r="H193" i="70"/>
  <c r="O191" i="70"/>
  <c r="K191" i="70"/>
  <c r="G191" i="70"/>
  <c r="P29" i="10"/>
  <c r="L160" i="10"/>
  <c r="H160" i="10"/>
  <c r="P29" i="75"/>
  <c r="L159" i="75"/>
  <c r="H159" i="75"/>
  <c r="P63" i="74" s="1"/>
  <c r="P22" i="44"/>
  <c r="M126" i="44"/>
  <c r="I126" i="44"/>
  <c r="P30" i="44"/>
  <c r="L133" i="44"/>
  <c r="H133" i="44"/>
  <c r="P23" i="74"/>
  <c r="N21" i="74"/>
  <c r="J21" i="74"/>
  <c r="F21" i="74"/>
  <c r="E27" i="65" l="1"/>
  <c r="Q28" i="44"/>
  <c r="D29" i="65" s="1"/>
  <c r="P27" i="74"/>
  <c r="P26" i="44"/>
  <c r="Q26" i="44" s="1"/>
  <c r="D33" i="74"/>
  <c r="D39" i="74" s="1"/>
  <c r="J75" i="76"/>
  <c r="L33" i="74"/>
  <c r="L39" i="74" s="1"/>
  <c r="O33" i="74"/>
  <c r="O39" i="74" s="1"/>
  <c r="G33" i="74"/>
  <c r="G39" i="74" s="1"/>
  <c r="H33" i="74"/>
  <c r="H39" i="74" s="1"/>
  <c r="K33" i="74"/>
  <c r="K39" i="74" s="1"/>
  <c r="E33" i="74"/>
  <c r="E39" i="74" s="1"/>
  <c r="I33" i="74"/>
  <c r="I39" i="74" s="1"/>
  <c r="M33" i="74"/>
  <c r="M39" i="74" s="1"/>
  <c r="P21" i="74"/>
  <c r="F33" i="74"/>
  <c r="F39" i="74" s="1"/>
  <c r="J33" i="74"/>
  <c r="J39" i="74" s="1"/>
  <c r="K126" i="44"/>
  <c r="P18" i="70"/>
  <c r="F19" i="65" s="1"/>
  <c r="N33" i="74"/>
  <c r="N39" i="74" s="1"/>
  <c r="Q30" i="44"/>
  <c r="Q22" i="44"/>
  <c r="D23" i="65" s="1"/>
  <c r="Q29" i="75"/>
  <c r="H21" i="10"/>
  <c r="L177" i="70"/>
  <c r="I179" i="70"/>
  <c r="F181" i="70"/>
  <c r="F20" i="70"/>
  <c r="N20" i="70"/>
  <c r="N32" i="70" s="1"/>
  <c r="N38" i="70" s="1"/>
  <c r="K182" i="70"/>
  <c r="P193" i="70"/>
  <c r="D30" i="73" s="1"/>
  <c r="M254" i="70"/>
  <c r="M322" i="70" s="1"/>
  <c r="M153" i="70"/>
  <c r="O153" i="70"/>
  <c r="O254" i="70"/>
  <c r="O322" i="70" s="1"/>
  <c r="F153" i="70"/>
  <c r="F254" i="70"/>
  <c r="F322" i="70" s="1"/>
  <c r="J161" i="75"/>
  <c r="I161" i="75"/>
  <c r="M161" i="75"/>
  <c r="H126" i="44"/>
  <c r="J20" i="44"/>
  <c r="J32" i="44" s="1"/>
  <c r="J38" i="44" s="1"/>
  <c r="L125" i="44"/>
  <c r="D160" i="10"/>
  <c r="P160" i="10" s="1"/>
  <c r="P94" i="10"/>
  <c r="D21" i="10"/>
  <c r="P19" i="10"/>
  <c r="G20" i="44"/>
  <c r="G32" i="44" s="1"/>
  <c r="G38" i="44" s="1"/>
  <c r="I125" i="44"/>
  <c r="I129" i="44" s="1"/>
  <c r="E21" i="10"/>
  <c r="M21" i="10"/>
  <c r="P24" i="10"/>
  <c r="M177" i="70"/>
  <c r="J179" i="70"/>
  <c r="G181" i="70"/>
  <c r="G20" i="70"/>
  <c r="O20" i="70"/>
  <c r="O32" i="70" s="1"/>
  <c r="O38" i="70" s="1"/>
  <c r="O181" i="70"/>
  <c r="L182" i="70"/>
  <c r="P191" i="70"/>
  <c r="D28" i="73" s="1"/>
  <c r="F125" i="44"/>
  <c r="F129" i="44" s="1"/>
  <c r="N125" i="44"/>
  <c r="N129" i="44" s="1"/>
  <c r="H153" i="70"/>
  <c r="H254" i="70"/>
  <c r="H322" i="70" s="1"/>
  <c r="J254" i="70"/>
  <c r="J322" i="70" s="1"/>
  <c r="J153" i="70"/>
  <c r="L254" i="70"/>
  <c r="L322" i="70" s="1"/>
  <c r="L153" i="70"/>
  <c r="D20" i="44"/>
  <c r="H33" i="75"/>
  <c r="H39" i="75" s="1"/>
  <c r="P23" i="75"/>
  <c r="J21" i="10"/>
  <c r="J177" i="70"/>
  <c r="G179" i="70"/>
  <c r="O179" i="70"/>
  <c r="L181" i="70"/>
  <c r="L20" i="70"/>
  <c r="L32" i="70" s="1"/>
  <c r="L38" i="70" s="1"/>
  <c r="I182" i="70"/>
  <c r="P19" i="70"/>
  <c r="D182" i="70"/>
  <c r="D183" i="70" s="1"/>
  <c r="E161" i="75"/>
  <c r="F161" i="75"/>
  <c r="H161" i="75"/>
  <c r="E20" i="44"/>
  <c r="E32" i="44" s="1"/>
  <c r="E38" i="44" s="1"/>
  <c r="G125" i="44"/>
  <c r="G129" i="44" s="1"/>
  <c r="L126" i="44"/>
  <c r="G21" i="10"/>
  <c r="O21" i="10"/>
  <c r="P20" i="10"/>
  <c r="O177" i="70"/>
  <c r="L179" i="70"/>
  <c r="I181" i="70"/>
  <c r="I20" i="70"/>
  <c r="I32" i="70" s="1"/>
  <c r="I38" i="70" s="1"/>
  <c r="F182" i="70"/>
  <c r="N182" i="70"/>
  <c r="D133" i="44"/>
  <c r="D125" i="44"/>
  <c r="P19" i="75"/>
  <c r="D21" i="75"/>
  <c r="L21" i="10"/>
  <c r="K155" i="10"/>
  <c r="H177" i="70"/>
  <c r="E179" i="70"/>
  <c r="M179" i="70"/>
  <c r="J181" i="70"/>
  <c r="J20" i="70"/>
  <c r="J32" i="70" s="1"/>
  <c r="J38" i="70" s="1"/>
  <c r="G182" i="70"/>
  <c r="O182" i="70"/>
  <c r="P16" i="70"/>
  <c r="F28" i="73"/>
  <c r="F29" i="65"/>
  <c r="N254" i="70"/>
  <c r="N322" i="70" s="1"/>
  <c r="N153" i="70"/>
  <c r="D254" i="70"/>
  <c r="D153" i="70"/>
  <c r="O161" i="75"/>
  <c r="G161" i="75"/>
  <c r="D20" i="70"/>
  <c r="F20" i="44"/>
  <c r="F32" i="44" s="1"/>
  <c r="F38" i="44" s="1"/>
  <c r="H125" i="44"/>
  <c r="F33" i="75"/>
  <c r="F39" i="75" s="1"/>
  <c r="D159" i="75"/>
  <c r="P159" i="75" s="1"/>
  <c r="F30" i="73"/>
  <c r="F31" i="65"/>
  <c r="R30" i="70"/>
  <c r="F179" i="76"/>
  <c r="J179" i="76" s="1"/>
  <c r="T179" i="76" s="1"/>
  <c r="J173" i="76"/>
  <c r="T173" i="76" s="1"/>
  <c r="K20" i="44"/>
  <c r="K32" i="44" s="1"/>
  <c r="K38" i="44" s="1"/>
  <c r="M125" i="44"/>
  <c r="M129" i="44" s="1"/>
  <c r="P24" i="75"/>
  <c r="I21" i="10"/>
  <c r="I177" i="70"/>
  <c r="F179" i="70"/>
  <c r="N179" i="70"/>
  <c r="K181" i="70"/>
  <c r="K20" i="70"/>
  <c r="K32" i="70" s="1"/>
  <c r="K38" i="70" s="1"/>
  <c r="H182" i="70"/>
  <c r="H20" i="44"/>
  <c r="H32" i="44" s="1"/>
  <c r="H38" i="44" s="1"/>
  <c r="J125" i="44"/>
  <c r="J129" i="44" s="1"/>
  <c r="G254" i="70"/>
  <c r="G322" i="70" s="1"/>
  <c r="G153" i="70"/>
  <c r="I153" i="70"/>
  <c r="I254" i="70"/>
  <c r="I322" i="70" s="1"/>
  <c r="K254" i="70"/>
  <c r="K322" i="70" s="1"/>
  <c r="K153" i="70"/>
  <c r="D131" i="44"/>
  <c r="L33" i="75"/>
  <c r="L39" i="75" s="1"/>
  <c r="F21" i="10"/>
  <c r="N21" i="10"/>
  <c r="M155" i="10"/>
  <c r="K179" i="70"/>
  <c r="H20" i="70"/>
  <c r="H32" i="70" s="1"/>
  <c r="H38" i="70" s="1"/>
  <c r="E182" i="70"/>
  <c r="M182" i="70"/>
  <c r="L161" i="75"/>
  <c r="N161" i="75"/>
  <c r="K161" i="75"/>
  <c r="I20" i="44"/>
  <c r="I32" i="44" s="1"/>
  <c r="I38" i="44" s="1"/>
  <c r="Q23" i="44"/>
  <c r="D24" i="65" s="1"/>
  <c r="I33" i="75"/>
  <c r="I39" i="75" s="1"/>
  <c r="P20" i="75"/>
  <c r="K21" i="10"/>
  <c r="K177" i="70"/>
  <c r="H179" i="70"/>
  <c r="E181" i="70"/>
  <c r="E20" i="70"/>
  <c r="M181" i="70"/>
  <c r="M20" i="70"/>
  <c r="M32" i="70" s="1"/>
  <c r="M38" i="70" s="1"/>
  <c r="J182" i="70"/>
  <c r="Q24" i="75" l="1"/>
  <c r="P149" i="75"/>
  <c r="Q20" i="75"/>
  <c r="H129" i="44"/>
  <c r="G396" i="74"/>
  <c r="J396" i="74"/>
  <c r="I396" i="74"/>
  <c r="M396" i="74"/>
  <c r="F396" i="74"/>
  <c r="O396" i="74"/>
  <c r="K396" i="74"/>
  <c r="E396" i="74"/>
  <c r="L396" i="74"/>
  <c r="N396" i="74"/>
  <c r="O401" i="74"/>
  <c r="I401" i="74"/>
  <c r="G401" i="74"/>
  <c r="M401" i="74"/>
  <c r="H395" i="74"/>
  <c r="L129" i="44"/>
  <c r="P27" i="75"/>
  <c r="P20" i="70"/>
  <c r="F20" i="73" s="1"/>
  <c r="D27" i="65"/>
  <c r="D31" i="65"/>
  <c r="J183" i="70"/>
  <c r="J195" i="70" s="1"/>
  <c r="J201" i="70" s="1"/>
  <c r="K183" i="70"/>
  <c r="K195" i="70" s="1"/>
  <c r="K201" i="70" s="1"/>
  <c r="E183" i="70"/>
  <c r="P33" i="74"/>
  <c r="P39" i="74" s="1"/>
  <c r="F183" i="70"/>
  <c r="L183" i="70"/>
  <c r="L195" i="70" s="1"/>
  <c r="L201" i="70" s="1"/>
  <c r="M183" i="70"/>
  <c r="M195" i="70" s="1"/>
  <c r="M201" i="70" s="1"/>
  <c r="P181" i="70"/>
  <c r="D18" i="73" s="1"/>
  <c r="L155" i="10"/>
  <c r="N33" i="75"/>
  <c r="N39" i="75" s="1"/>
  <c r="J155" i="10"/>
  <c r="N155" i="10"/>
  <c r="E155" i="10"/>
  <c r="P179" i="70"/>
  <c r="D16" i="73" s="1"/>
  <c r="F18" i="73"/>
  <c r="G155" i="10"/>
  <c r="H155" i="10"/>
  <c r="D154" i="75"/>
  <c r="P21" i="75"/>
  <c r="Q19" i="75"/>
  <c r="P182" i="70"/>
  <c r="D19" i="73" s="1"/>
  <c r="D33" i="75"/>
  <c r="D39" i="75" s="1"/>
  <c r="D32" i="44"/>
  <c r="D38" i="44" s="1"/>
  <c r="D155" i="10"/>
  <c r="P89" i="10"/>
  <c r="E33" i="75"/>
  <c r="E39" i="75" s="1"/>
  <c r="Q23" i="75"/>
  <c r="P57" i="10"/>
  <c r="J33" i="75"/>
  <c r="J39" i="75" s="1"/>
  <c r="H183" i="70"/>
  <c r="H195" i="70" s="1"/>
  <c r="H201" i="70" s="1"/>
  <c r="G33" i="75"/>
  <c r="G39" i="75" s="1"/>
  <c r="D126" i="44"/>
  <c r="D129" i="44" s="1"/>
  <c r="F17" i="65"/>
  <c r="F16" i="73"/>
  <c r="R16" i="70"/>
  <c r="F155" i="10"/>
  <c r="M33" i="75"/>
  <c r="M39" i="75" s="1"/>
  <c r="F19" i="73"/>
  <c r="F20" i="65"/>
  <c r="F21" i="65" s="1"/>
  <c r="I155" i="10"/>
  <c r="O183" i="70"/>
  <c r="O195" i="70" s="1"/>
  <c r="O201" i="70" s="1"/>
  <c r="G183" i="70"/>
  <c r="P21" i="10"/>
  <c r="N183" i="70"/>
  <c r="N195" i="70" s="1"/>
  <c r="N201" i="70" s="1"/>
  <c r="K125" i="44"/>
  <c r="K129" i="44" s="1"/>
  <c r="O33" i="75"/>
  <c r="O39" i="75" s="1"/>
  <c r="D161" i="75"/>
  <c r="P161" i="75" s="1"/>
  <c r="D322" i="70"/>
  <c r="O125" i="44"/>
  <c r="O129" i="44" s="1"/>
  <c r="I183" i="70"/>
  <c r="I195" i="70" s="1"/>
  <c r="I201" i="70" s="1"/>
  <c r="K33" i="75"/>
  <c r="K39" i="75" s="1"/>
  <c r="O155" i="10"/>
  <c r="F24" i="76" l="1"/>
  <c r="Q24" i="10" s="1"/>
  <c r="J401" i="74"/>
  <c r="N298" i="74"/>
  <c r="N395" i="74"/>
  <c r="N399" i="74" s="1"/>
  <c r="H401" i="74"/>
  <c r="K401" i="74"/>
  <c r="I298" i="74"/>
  <c r="I395" i="74"/>
  <c r="I399" i="74" s="1"/>
  <c r="P294" i="74"/>
  <c r="D298" i="74"/>
  <c r="D395" i="74"/>
  <c r="N401" i="74"/>
  <c r="P295" i="74"/>
  <c r="D396" i="74"/>
  <c r="J298" i="74"/>
  <c r="J395" i="74"/>
  <c r="J399" i="74" s="1"/>
  <c r="E298" i="74"/>
  <c r="E395" i="74"/>
  <c r="E399" i="74" s="1"/>
  <c r="O298" i="74"/>
  <c r="O395" i="74"/>
  <c r="O399" i="74" s="1"/>
  <c r="E401" i="74"/>
  <c r="L401" i="74"/>
  <c r="L298" i="74"/>
  <c r="L395" i="74"/>
  <c r="L399" i="74" s="1"/>
  <c r="M298" i="74"/>
  <c r="M395" i="74"/>
  <c r="M399" i="74" s="1"/>
  <c r="F298" i="74"/>
  <c r="F395" i="74"/>
  <c r="F399" i="74" s="1"/>
  <c r="F401" i="74"/>
  <c r="G298" i="74"/>
  <c r="G395" i="74"/>
  <c r="G399" i="74" s="1"/>
  <c r="K298" i="74"/>
  <c r="K395" i="74"/>
  <c r="K399" i="74" s="1"/>
  <c r="P300" i="74"/>
  <c r="D401" i="74"/>
  <c r="H298" i="74"/>
  <c r="H396" i="74"/>
  <c r="H399" i="74" s="1"/>
  <c r="Q410" i="74"/>
  <c r="J41" i="76"/>
  <c r="D20" i="73"/>
  <c r="P33" i="75"/>
  <c r="P39" i="75" s="1"/>
  <c r="P183" i="70"/>
  <c r="L67" i="74"/>
  <c r="L73" i="74" s="1"/>
  <c r="P155" i="10"/>
  <c r="P154" i="75"/>
  <c r="E24" i="76" l="1"/>
  <c r="E31" i="76"/>
  <c r="D31" i="76"/>
  <c r="F29" i="76"/>
  <c r="Q29" i="10" s="1"/>
  <c r="E29" i="76"/>
  <c r="P298" i="74"/>
  <c r="P396" i="74"/>
  <c r="P401" i="74"/>
  <c r="P395" i="74"/>
  <c r="D399" i="74"/>
  <c r="Q412" i="74"/>
  <c r="Q51" i="76"/>
  <c r="D24" i="76" l="1"/>
  <c r="F31" i="76"/>
  <c r="J31" i="76" s="1"/>
  <c r="P399" i="74"/>
  <c r="L56" i="76"/>
  <c r="L53" i="76"/>
  <c r="L60" i="76"/>
  <c r="L51" i="76"/>
  <c r="Q53" i="76"/>
  <c r="Q191" i="76" s="1"/>
  <c r="Q189" i="76"/>
  <c r="D29" i="76" l="1"/>
  <c r="Q30" i="70"/>
  <c r="J24" i="76"/>
  <c r="R23" i="44"/>
  <c r="L194" i="76"/>
  <c r="L198" i="76"/>
  <c r="L191" i="76"/>
  <c r="L189" i="76"/>
  <c r="Q59" i="76"/>
  <c r="Q63" i="76" s="1"/>
  <c r="Q55" i="76"/>
  <c r="J29" i="76" l="1"/>
  <c r="L59" i="76"/>
  <c r="L63" i="76" s="1"/>
  <c r="L55" i="76"/>
  <c r="L65" i="76"/>
  <c r="L21" i="76"/>
  <c r="L57" i="76" s="1"/>
  <c r="Q21" i="76"/>
  <c r="Q57" i="76" s="1"/>
  <c r="Q69" i="76" s="1"/>
  <c r="Q193" i="76"/>
  <c r="Q195" i="76" s="1"/>
  <c r="Q197" i="76"/>
  <c r="Q201" i="76" s="1"/>
  <c r="Q33" i="76" l="1"/>
  <c r="Q207" i="76"/>
  <c r="Q213" i="76" s="1"/>
  <c r="L69" i="76"/>
  <c r="L197" i="76"/>
  <c r="L201" i="76" s="1"/>
  <c r="O65" i="76"/>
  <c r="O33" i="76"/>
  <c r="L203" i="76"/>
  <c r="L193" i="76"/>
  <c r="L195" i="76" s="1"/>
  <c r="L33" i="76"/>
  <c r="O203" i="76" l="1"/>
  <c r="O207" i="76" s="1"/>
  <c r="O213" i="76" s="1"/>
  <c r="O69" i="76"/>
  <c r="Q39" i="76"/>
  <c r="Q75" i="76" s="1"/>
  <c r="L207" i="76"/>
  <c r="L213" i="76" s="1"/>
  <c r="L39" i="76"/>
  <c r="O39" i="76"/>
  <c r="O75" i="76" s="1"/>
  <c r="L75" i="76" l="1"/>
  <c r="P53" i="76" l="1"/>
  <c r="P65" i="76"/>
  <c r="P60" i="76"/>
  <c r="P56" i="76"/>
  <c r="P51" i="76"/>
  <c r="N53" i="76" l="1"/>
  <c r="R53" i="76" s="1"/>
  <c r="T29" i="76"/>
  <c r="N51" i="76"/>
  <c r="R51" i="76" s="1"/>
  <c r="N65" i="76"/>
  <c r="R65" i="76" s="1"/>
  <c r="N56" i="76"/>
  <c r="R56" i="76" s="1"/>
  <c r="T24" i="76"/>
  <c r="N60" i="76"/>
  <c r="R60" i="76" s="1"/>
  <c r="P198" i="76"/>
  <c r="P203" i="76"/>
  <c r="P191" i="76"/>
  <c r="P194" i="76"/>
  <c r="P189" i="76"/>
  <c r="N189" i="76" l="1"/>
  <c r="N191" i="76"/>
  <c r="R33" i="76"/>
  <c r="N67" i="76"/>
  <c r="N205" i="76" s="1"/>
  <c r="N55" i="76"/>
  <c r="N193" i="76" s="1"/>
  <c r="N203" i="76"/>
  <c r="N198" i="76"/>
  <c r="N194" i="76"/>
  <c r="R194" i="76"/>
  <c r="T56" i="76"/>
  <c r="R191" i="76"/>
  <c r="T53" i="76"/>
  <c r="T60" i="76"/>
  <c r="R198" i="76"/>
  <c r="R203" i="76"/>
  <c r="T65" i="76"/>
  <c r="N21" i="76"/>
  <c r="N57" i="76" s="1"/>
  <c r="G177" i="70"/>
  <c r="G195" i="70" s="1"/>
  <c r="G201" i="70" s="1"/>
  <c r="G32" i="70"/>
  <c r="G38" i="70" s="1"/>
  <c r="F177" i="70"/>
  <c r="F195" i="70" s="1"/>
  <c r="F201" i="70" s="1"/>
  <c r="F32" i="70"/>
  <c r="F38" i="70" s="1"/>
  <c r="D177" i="70"/>
  <c r="P14" i="70"/>
  <c r="D32" i="70"/>
  <c r="D38" i="70" s="1"/>
  <c r="E177" i="70"/>
  <c r="E195" i="70" s="1"/>
  <c r="E201" i="70" s="1"/>
  <c r="E32" i="70"/>
  <c r="E38" i="70" s="1"/>
  <c r="R189" i="76" l="1"/>
  <c r="T51" i="76"/>
  <c r="N59" i="76"/>
  <c r="N195" i="76"/>
  <c r="T31" i="76"/>
  <c r="P177" i="70"/>
  <c r="D14" i="73" s="1"/>
  <c r="D195" i="70"/>
  <c r="D201" i="70" s="1"/>
  <c r="P59" i="76"/>
  <c r="P63" i="76" s="1"/>
  <c r="P55" i="76"/>
  <c r="R55" i="76" s="1"/>
  <c r="P21" i="76"/>
  <c r="P67" i="76"/>
  <c r="R67" i="76" s="1"/>
  <c r="F15" i="65"/>
  <c r="F14" i="73"/>
  <c r="F32" i="73" s="1"/>
  <c r="F38" i="73" s="1"/>
  <c r="R14" i="70"/>
  <c r="P32" i="70"/>
  <c r="F33" i="65" l="1"/>
  <c r="F39" i="65" s="1"/>
  <c r="N197" i="76"/>
  <c r="N201" i="76" s="1"/>
  <c r="N207" i="76" s="1"/>
  <c r="N213" i="76" s="1"/>
  <c r="N63" i="76"/>
  <c r="N69" i="76" s="1"/>
  <c r="R59" i="76"/>
  <c r="R63" i="76" s="1"/>
  <c r="G25" i="73"/>
  <c r="G24" i="73"/>
  <c r="P195" i="70"/>
  <c r="P201" i="70" s="1"/>
  <c r="D32" i="73"/>
  <c r="N33" i="76"/>
  <c r="P33" i="76"/>
  <c r="P39" i="76" s="1"/>
  <c r="P75" i="76" s="1"/>
  <c r="P193" i="76"/>
  <c r="P195" i="76" s="1"/>
  <c r="P57" i="76"/>
  <c r="P197" i="76"/>
  <c r="P201" i="76" s="1"/>
  <c r="P38" i="70"/>
  <c r="P205" i="76"/>
  <c r="R57" i="76" l="1"/>
  <c r="P69" i="76"/>
  <c r="R39" i="76"/>
  <c r="D38" i="73"/>
  <c r="N39" i="76"/>
  <c r="N75" i="76" s="1"/>
  <c r="R75" i="76" s="1"/>
  <c r="T75" i="76" s="1"/>
  <c r="P207" i="76"/>
  <c r="P213" i="76" s="1"/>
  <c r="R205" i="76"/>
  <c r="T67" i="76"/>
  <c r="T59" i="76"/>
  <c r="T63" i="76" s="1"/>
  <c r="R197" i="76"/>
  <c r="R201" i="76" s="1"/>
  <c r="T55" i="76"/>
  <c r="R193" i="76"/>
  <c r="G32" i="73"/>
  <c r="T57" i="76" l="1"/>
  <c r="R69" i="76"/>
  <c r="T69" i="76" s="1"/>
  <c r="E25" i="73"/>
  <c r="E22" i="73"/>
  <c r="E24" i="73"/>
  <c r="E23" i="73"/>
  <c r="E28" i="73"/>
  <c r="E30" i="73"/>
  <c r="E19" i="73"/>
  <c r="E18" i="73"/>
  <c r="E16" i="73"/>
  <c r="E14" i="73"/>
  <c r="R195" i="76"/>
  <c r="R207" i="76" s="1"/>
  <c r="R213" i="76" s="1"/>
  <c r="G20" i="73"/>
  <c r="G23" i="73"/>
  <c r="G34" i="73"/>
  <c r="G36" i="73"/>
  <c r="G38" i="73" s="1"/>
  <c r="G22" i="73"/>
  <c r="G26" i="73"/>
  <c r="G35" i="73"/>
  <c r="G28" i="73"/>
  <c r="G30" i="73"/>
  <c r="G18" i="73"/>
  <c r="G19" i="73"/>
  <c r="G16" i="73"/>
  <c r="G14" i="73"/>
  <c r="E20" i="73" l="1"/>
  <c r="E26" i="73"/>
  <c r="E32" i="73" l="1"/>
  <c r="E38" i="73" s="1"/>
  <c r="E20" i="65" l="1"/>
  <c r="E17" i="65"/>
  <c r="E15" i="65"/>
  <c r="P14" i="44"/>
  <c r="Q14" i="44" l="1"/>
  <c r="D15" i="65" s="1"/>
  <c r="N20" i="44"/>
  <c r="N32" i="44" s="1"/>
  <c r="N38" i="44" s="1"/>
  <c r="M20" i="44"/>
  <c r="M32" i="44" s="1"/>
  <c r="M38" i="44" s="1"/>
  <c r="P19" i="44"/>
  <c r="Q19" i="44" s="1"/>
  <c r="D20" i="65" s="1"/>
  <c r="P16" i="44"/>
  <c r="L20" i="44"/>
  <c r="P18" i="44"/>
  <c r="E19" i="65"/>
  <c r="O20" i="44"/>
  <c r="E21" i="65" l="1"/>
  <c r="E33" i="65"/>
  <c r="E39" i="65" s="1"/>
  <c r="E387" i="74"/>
  <c r="N387" i="74"/>
  <c r="K387" i="74"/>
  <c r="G387" i="74"/>
  <c r="M387" i="74"/>
  <c r="J387" i="74"/>
  <c r="O387" i="74"/>
  <c r="L387" i="74"/>
  <c r="H387" i="74"/>
  <c r="F387" i="74"/>
  <c r="I387" i="74"/>
  <c r="O32" i="44"/>
  <c r="O38" i="44" s="1"/>
  <c r="Q16" i="44"/>
  <c r="D17" i="65" s="1"/>
  <c r="Q18" i="44"/>
  <c r="D19" i="65" s="1"/>
  <c r="D21" i="65" s="1"/>
  <c r="P20" i="44"/>
  <c r="Q20" i="44" s="1"/>
  <c r="L32" i="44"/>
  <c r="E15" i="76" l="1"/>
  <c r="S14" i="44" s="1"/>
  <c r="F15" i="76"/>
  <c r="Q14" i="70" s="1"/>
  <c r="N389" i="74"/>
  <c r="L389" i="74"/>
  <c r="O389" i="74"/>
  <c r="M389" i="74"/>
  <c r="J389" i="74"/>
  <c r="E389" i="74"/>
  <c r="I389" i="74"/>
  <c r="G389" i="74"/>
  <c r="H389" i="74"/>
  <c r="F389" i="74"/>
  <c r="K389" i="74"/>
  <c r="E392" i="74"/>
  <c r="M392" i="74"/>
  <c r="G392" i="74"/>
  <c r="L392" i="74"/>
  <c r="H392" i="74"/>
  <c r="N392" i="74"/>
  <c r="O392" i="74"/>
  <c r="K392" i="74"/>
  <c r="I392" i="74"/>
  <c r="F392" i="74"/>
  <c r="J392" i="74"/>
  <c r="P286" i="74"/>
  <c r="D387" i="74"/>
  <c r="P387" i="74" s="1"/>
  <c r="D33" i="65"/>
  <c r="D39" i="65" s="1"/>
  <c r="P32" i="44"/>
  <c r="Q32" i="44" s="1"/>
  <c r="Q38" i="44" s="1"/>
  <c r="L38" i="44"/>
  <c r="P38" i="44" s="1"/>
  <c r="E17" i="76" l="1"/>
  <c r="F19" i="76"/>
  <c r="F17" i="76"/>
  <c r="Q16" i="70" s="1"/>
  <c r="E19" i="76"/>
  <c r="G292" i="74"/>
  <c r="G304" i="74" s="1"/>
  <c r="G310" i="74" s="1"/>
  <c r="G391" i="74"/>
  <c r="G393" i="74" s="1"/>
  <c r="G405" i="74" s="1"/>
  <c r="G411" i="74" s="1"/>
  <c r="J292" i="74"/>
  <c r="J304" i="74" s="1"/>
  <c r="J310" i="74" s="1"/>
  <c r="J391" i="74"/>
  <c r="J393" i="74" s="1"/>
  <c r="J405" i="74" s="1"/>
  <c r="J411" i="74" s="1"/>
  <c r="P288" i="74"/>
  <c r="D389" i="74"/>
  <c r="P389" i="74" s="1"/>
  <c r="N292" i="74"/>
  <c r="N304" i="74" s="1"/>
  <c r="N310" i="74" s="1"/>
  <c r="N391" i="74"/>
  <c r="N393" i="74" s="1"/>
  <c r="N405" i="74" s="1"/>
  <c r="N411" i="74" s="1"/>
  <c r="O292" i="74"/>
  <c r="O304" i="74" s="1"/>
  <c r="O310" i="74" s="1"/>
  <c r="O391" i="74"/>
  <c r="O393" i="74" s="1"/>
  <c r="O405" i="74" s="1"/>
  <c r="O411" i="74" s="1"/>
  <c r="P290" i="74"/>
  <c r="D292" i="74"/>
  <c r="D304" i="74" s="1"/>
  <c r="D310" i="74" s="1"/>
  <c r="D391" i="74"/>
  <c r="I292" i="74"/>
  <c r="I304" i="74" s="1"/>
  <c r="I310" i="74" s="1"/>
  <c r="I391" i="74"/>
  <c r="I393" i="74" s="1"/>
  <c r="I405" i="74" s="1"/>
  <c r="I411" i="74" s="1"/>
  <c r="M292" i="74"/>
  <c r="M304" i="74" s="1"/>
  <c r="M310" i="74" s="1"/>
  <c r="M391" i="74"/>
  <c r="M393" i="74" s="1"/>
  <c r="M405" i="74" s="1"/>
  <c r="M411" i="74" s="1"/>
  <c r="F292" i="74"/>
  <c r="F304" i="74" s="1"/>
  <c r="F310" i="74" s="1"/>
  <c r="F391" i="74"/>
  <c r="F393" i="74" s="1"/>
  <c r="F405" i="74" s="1"/>
  <c r="F411" i="74" s="1"/>
  <c r="L292" i="74"/>
  <c r="L304" i="74" s="1"/>
  <c r="L310" i="74" s="1"/>
  <c r="L391" i="74"/>
  <c r="L393" i="74" s="1"/>
  <c r="L405" i="74" s="1"/>
  <c r="L411" i="74" s="1"/>
  <c r="E292" i="74"/>
  <c r="E304" i="74" s="1"/>
  <c r="E310" i="74" s="1"/>
  <c r="E391" i="74"/>
  <c r="E393" i="74" s="1"/>
  <c r="E405" i="74" s="1"/>
  <c r="E411" i="74" s="1"/>
  <c r="K292" i="74"/>
  <c r="K304" i="74" s="1"/>
  <c r="K310" i="74" s="1"/>
  <c r="K391" i="74"/>
  <c r="K393" i="74" s="1"/>
  <c r="K405" i="74" s="1"/>
  <c r="K411" i="74" s="1"/>
  <c r="H292" i="74"/>
  <c r="H304" i="74" s="1"/>
  <c r="H310" i="74" s="1"/>
  <c r="H391" i="74"/>
  <c r="H393" i="74" s="1"/>
  <c r="H405" i="74" s="1"/>
  <c r="H411" i="74" s="1"/>
  <c r="P291" i="74"/>
  <c r="D392" i="74"/>
  <c r="P392" i="74" s="1"/>
  <c r="E210" i="70"/>
  <c r="F210" i="70"/>
  <c r="G210" i="70"/>
  <c r="H210" i="70"/>
  <c r="I210" i="70"/>
  <c r="J210" i="70"/>
  <c r="K210" i="70"/>
  <c r="L210" i="70"/>
  <c r="M210" i="70"/>
  <c r="N210" i="70"/>
  <c r="O210" i="70"/>
  <c r="E212" i="70"/>
  <c r="F212" i="70"/>
  <c r="G212" i="70"/>
  <c r="H212" i="70"/>
  <c r="I212" i="70"/>
  <c r="J212" i="70"/>
  <c r="K212" i="70"/>
  <c r="L212" i="70"/>
  <c r="M212" i="70"/>
  <c r="N212" i="70"/>
  <c r="O212" i="70"/>
  <c r="E215" i="70"/>
  <c r="F215" i="70"/>
  <c r="G215" i="70"/>
  <c r="H215" i="70"/>
  <c r="I215" i="70"/>
  <c r="J215" i="70"/>
  <c r="K215" i="70"/>
  <c r="L215" i="70"/>
  <c r="M215" i="70"/>
  <c r="N215" i="70"/>
  <c r="O215" i="70"/>
  <c r="D15" i="76" l="1"/>
  <c r="J15" i="76" s="1"/>
  <c r="T15" i="76" s="1"/>
  <c r="D19" i="76"/>
  <c r="Q19" i="10"/>
  <c r="R14" i="44"/>
  <c r="D393" i="74"/>
  <c r="D405" i="74" s="1"/>
  <c r="D411" i="74" s="1"/>
  <c r="P391" i="74"/>
  <c r="P292" i="74"/>
  <c r="P304" i="74" s="1"/>
  <c r="P310" i="74" s="1"/>
  <c r="Q414" i="74" s="1"/>
  <c r="H218" i="70"/>
  <c r="H222" i="70" s="1"/>
  <c r="N214" i="70"/>
  <c r="N216" i="70" s="1"/>
  <c r="N52" i="70"/>
  <c r="J214" i="70"/>
  <c r="J216" i="70" s="1"/>
  <c r="J52" i="70"/>
  <c r="F214" i="70"/>
  <c r="F216" i="70" s="1"/>
  <c r="F52" i="70"/>
  <c r="P51" i="70"/>
  <c r="G20" i="65" s="1"/>
  <c r="D215" i="70"/>
  <c r="P215" i="70" s="1"/>
  <c r="L218" i="70"/>
  <c r="L222" i="70" s="1"/>
  <c r="D218" i="70"/>
  <c r="D222" i="70" s="1"/>
  <c r="P54" i="70"/>
  <c r="P58" i="70" s="1"/>
  <c r="K218" i="70"/>
  <c r="K222" i="70" s="1"/>
  <c r="G218" i="70"/>
  <c r="G222" i="70" s="1"/>
  <c r="P48" i="70"/>
  <c r="G17" i="65" s="1"/>
  <c r="D212" i="70"/>
  <c r="P212" i="70" s="1"/>
  <c r="N218" i="70"/>
  <c r="N222" i="70" s="1"/>
  <c r="J218" i="70"/>
  <c r="J222" i="70" s="1"/>
  <c r="F218" i="70"/>
  <c r="F222" i="70" s="1"/>
  <c r="L214" i="70"/>
  <c r="L216" i="70" s="1"/>
  <c r="L52" i="70"/>
  <c r="H214" i="70"/>
  <c r="H216" i="70" s="1"/>
  <c r="H52" i="70"/>
  <c r="D214" i="70"/>
  <c r="D52" i="70"/>
  <c r="M218" i="70"/>
  <c r="M222" i="70" s="1"/>
  <c r="I218" i="70"/>
  <c r="I222" i="70" s="1"/>
  <c r="E218" i="70"/>
  <c r="E222" i="70" s="1"/>
  <c r="O214" i="70"/>
  <c r="O216" i="70" s="1"/>
  <c r="O52" i="70"/>
  <c r="K214" i="70"/>
  <c r="K216" i="70" s="1"/>
  <c r="K52" i="70"/>
  <c r="G214" i="70"/>
  <c r="G216" i="70" s="1"/>
  <c r="G52" i="70"/>
  <c r="P46" i="70"/>
  <c r="G15" i="65" s="1"/>
  <c r="D210" i="70"/>
  <c r="P210" i="70" s="1"/>
  <c r="J19" i="76" l="1"/>
  <c r="R18" i="44"/>
  <c r="D17" i="76"/>
  <c r="J17" i="76" s="1"/>
  <c r="T17" i="76" s="1"/>
  <c r="P393" i="74"/>
  <c r="P405" i="74" s="1"/>
  <c r="P411" i="74" s="1"/>
  <c r="N228" i="70"/>
  <c r="N234" i="70" s="1"/>
  <c r="J228" i="70"/>
  <c r="J234" i="70" s="1"/>
  <c r="P50" i="70"/>
  <c r="P52" i="70" s="1"/>
  <c r="F228" i="70"/>
  <c r="F234" i="70" s="1"/>
  <c r="J64" i="70"/>
  <c r="J70" i="70" s="1"/>
  <c r="K64" i="70"/>
  <c r="K70" i="70" s="1"/>
  <c r="F64" i="70"/>
  <c r="F70" i="70" s="1"/>
  <c r="N64" i="70"/>
  <c r="N70" i="70" s="1"/>
  <c r="G23" i="65"/>
  <c r="G27" i="65" s="1"/>
  <c r="D216" i="70"/>
  <c r="D228" i="70" s="1"/>
  <c r="D234" i="70" s="1"/>
  <c r="G228" i="70"/>
  <c r="G234" i="70" s="1"/>
  <c r="L228" i="70"/>
  <c r="L234" i="70" s="1"/>
  <c r="E214" i="70"/>
  <c r="E216" i="70" s="1"/>
  <c r="E228" i="70" s="1"/>
  <c r="E234" i="70" s="1"/>
  <c r="E52" i="70"/>
  <c r="E64" i="70" s="1"/>
  <c r="E70" i="70" s="1"/>
  <c r="M214" i="70"/>
  <c r="M216" i="70" s="1"/>
  <c r="M228" i="70" s="1"/>
  <c r="M234" i="70" s="1"/>
  <c r="M52" i="70"/>
  <c r="M64" i="70" s="1"/>
  <c r="M70" i="70" s="1"/>
  <c r="K228" i="70"/>
  <c r="K234" i="70" s="1"/>
  <c r="L64" i="70"/>
  <c r="L70" i="70" s="1"/>
  <c r="D64" i="70"/>
  <c r="D70" i="70" s="1"/>
  <c r="H228" i="70"/>
  <c r="H234" i="70" s="1"/>
  <c r="I52" i="70"/>
  <c r="I64" i="70" s="1"/>
  <c r="I70" i="70" s="1"/>
  <c r="I214" i="70"/>
  <c r="I216" i="70" s="1"/>
  <c r="I228" i="70" s="1"/>
  <c r="I234" i="70" s="1"/>
  <c r="G64" i="70"/>
  <c r="G70" i="70" s="1"/>
  <c r="O218" i="70"/>
  <c r="O64" i="70"/>
  <c r="O70" i="70" s="1"/>
  <c r="H64" i="70"/>
  <c r="H70" i="70" s="1"/>
  <c r="T19" i="76" l="1"/>
  <c r="G19" i="65"/>
  <c r="G21" i="65" s="1"/>
  <c r="G33" i="65" s="1"/>
  <c r="G39" i="65" s="1"/>
  <c r="O222" i="70"/>
  <c r="O228" i="70" s="1"/>
  <c r="O234" i="70" s="1"/>
  <c r="P218" i="70"/>
  <c r="P222" i="70" s="1"/>
  <c r="P214" i="70"/>
  <c r="P216" i="70" s="1"/>
  <c r="P64" i="70"/>
  <c r="P70" i="70" s="1"/>
  <c r="P228" i="70" l="1"/>
  <c r="P234" i="70" s="1"/>
  <c r="L158" i="44" l="1"/>
  <c r="L149" i="70"/>
  <c r="L250" i="70"/>
  <c r="L318" i="70" s="1"/>
  <c r="H158" i="44"/>
  <c r="H250" i="70"/>
  <c r="H318" i="70" s="1"/>
  <c r="H149" i="70"/>
  <c r="O157" i="44"/>
  <c r="O249" i="70"/>
  <c r="O148" i="70"/>
  <c r="O84" i="70"/>
  <c r="K157" i="44"/>
  <c r="K84" i="70"/>
  <c r="K148" i="70"/>
  <c r="K249" i="70"/>
  <c r="G157" i="44"/>
  <c r="G249" i="70"/>
  <c r="G84" i="70"/>
  <c r="G148" i="70"/>
  <c r="N155" i="44"/>
  <c r="N146" i="70"/>
  <c r="N247" i="70"/>
  <c r="N315" i="70" s="1"/>
  <c r="J155" i="44"/>
  <c r="J247" i="70"/>
  <c r="J315" i="70" s="1"/>
  <c r="J146" i="70"/>
  <c r="F155" i="44"/>
  <c r="F146" i="70"/>
  <c r="F247" i="70"/>
  <c r="F315" i="70" s="1"/>
  <c r="M153" i="44"/>
  <c r="M245" i="70"/>
  <c r="M313" i="70" s="1"/>
  <c r="M144" i="70"/>
  <c r="I153" i="44"/>
  <c r="I245" i="70"/>
  <c r="I313" i="70" s="1"/>
  <c r="I144" i="70"/>
  <c r="O158" i="44"/>
  <c r="O250" i="70"/>
  <c r="O318" i="70" s="1"/>
  <c r="O149" i="70"/>
  <c r="N157" i="44"/>
  <c r="N249" i="70"/>
  <c r="N148" i="70"/>
  <c r="N84" i="70"/>
  <c r="F148" i="70"/>
  <c r="F157" i="44"/>
  <c r="F84" i="70"/>
  <c r="F249" i="70"/>
  <c r="I155" i="44"/>
  <c r="I146" i="70"/>
  <c r="I247" i="70"/>
  <c r="I315" i="70" s="1"/>
  <c r="L153" i="44"/>
  <c r="L144" i="70"/>
  <c r="L245" i="70"/>
  <c r="L313" i="70" s="1"/>
  <c r="N158" i="44"/>
  <c r="N250" i="70"/>
  <c r="N318" i="70" s="1"/>
  <c r="N149" i="70"/>
  <c r="J158" i="44"/>
  <c r="J149" i="70"/>
  <c r="J250" i="70"/>
  <c r="J318" i="70" s="1"/>
  <c r="F158" i="44"/>
  <c r="F149" i="70"/>
  <c r="F250" i="70"/>
  <c r="F318" i="70" s="1"/>
  <c r="M157" i="44"/>
  <c r="M148" i="70"/>
  <c r="M84" i="70"/>
  <c r="M249" i="70"/>
  <c r="I157" i="44"/>
  <c r="I249" i="70"/>
  <c r="I148" i="70"/>
  <c r="I84" i="70"/>
  <c r="L155" i="44"/>
  <c r="L247" i="70"/>
  <c r="L315" i="70" s="1"/>
  <c r="L146" i="70"/>
  <c r="H155" i="44"/>
  <c r="H247" i="70"/>
  <c r="H315" i="70" s="1"/>
  <c r="H146" i="70"/>
  <c r="O153" i="44"/>
  <c r="O144" i="70"/>
  <c r="O245" i="70"/>
  <c r="O313" i="70" s="1"/>
  <c r="K153" i="44"/>
  <c r="K245" i="70"/>
  <c r="K313" i="70" s="1"/>
  <c r="K144" i="70"/>
  <c r="G153" i="44"/>
  <c r="G245" i="70"/>
  <c r="G313" i="70" s="1"/>
  <c r="K158" i="44"/>
  <c r="K149" i="70"/>
  <c r="K250" i="70"/>
  <c r="K318" i="70" s="1"/>
  <c r="G158" i="44"/>
  <c r="G149" i="70"/>
  <c r="G250" i="70"/>
  <c r="G318" i="70" s="1"/>
  <c r="J157" i="44"/>
  <c r="J84" i="70"/>
  <c r="J249" i="70"/>
  <c r="J148" i="70"/>
  <c r="M155" i="44"/>
  <c r="M247" i="70"/>
  <c r="M315" i="70" s="1"/>
  <c r="M146" i="70"/>
  <c r="H153" i="44"/>
  <c r="H245" i="70"/>
  <c r="H313" i="70" s="1"/>
  <c r="H144" i="70"/>
  <c r="M158" i="44"/>
  <c r="M250" i="70"/>
  <c r="M318" i="70" s="1"/>
  <c r="M149" i="70"/>
  <c r="I158" i="44"/>
  <c r="I149" i="70"/>
  <c r="I250" i="70"/>
  <c r="I318" i="70" s="1"/>
  <c r="L157" i="44"/>
  <c r="L249" i="70"/>
  <c r="L84" i="70"/>
  <c r="L148" i="70"/>
  <c r="H157" i="44"/>
  <c r="H84" i="70"/>
  <c r="H249" i="70"/>
  <c r="H148" i="70"/>
  <c r="O155" i="44"/>
  <c r="O247" i="70"/>
  <c r="O315" i="70" s="1"/>
  <c r="O146" i="70"/>
  <c r="K155" i="44"/>
  <c r="K247" i="70"/>
  <c r="K315" i="70" s="1"/>
  <c r="K146" i="70"/>
  <c r="G155" i="44"/>
  <c r="G247" i="70"/>
  <c r="G315" i="70" s="1"/>
  <c r="G146" i="70"/>
  <c r="N153" i="44"/>
  <c r="N245" i="70"/>
  <c r="N313" i="70" s="1"/>
  <c r="N144" i="70"/>
  <c r="J153" i="44"/>
  <c r="J245" i="70"/>
  <c r="J313" i="70" s="1"/>
  <c r="J144" i="70"/>
  <c r="F153" i="44"/>
  <c r="F245" i="70"/>
  <c r="F313" i="70" s="1"/>
  <c r="F144" i="70"/>
  <c r="J150" i="70" l="1"/>
  <c r="H150" i="70"/>
  <c r="M150" i="70"/>
  <c r="L150" i="70"/>
  <c r="D167" i="44"/>
  <c r="D259" i="70"/>
  <c r="D158" i="70"/>
  <c r="H167" i="44"/>
  <c r="H259" i="70"/>
  <c r="H327" i="70" s="1"/>
  <c r="H158" i="70"/>
  <c r="N169" i="44"/>
  <c r="N261" i="70"/>
  <c r="N160" i="70"/>
  <c r="O161" i="44"/>
  <c r="O152" i="70"/>
  <c r="O156" i="70" s="1"/>
  <c r="O253" i="70"/>
  <c r="O257" i="70" s="1"/>
  <c r="O96" i="70"/>
  <c r="O102" i="70" s="1"/>
  <c r="I317" i="70"/>
  <c r="I319" i="70" s="1"/>
  <c r="I251" i="70"/>
  <c r="N167" i="44"/>
  <c r="N259" i="70"/>
  <c r="N327" i="70" s="1"/>
  <c r="N158" i="70"/>
  <c r="O167" i="44"/>
  <c r="O259" i="70"/>
  <c r="O327" i="70" s="1"/>
  <c r="O158" i="70"/>
  <c r="H169" i="44"/>
  <c r="H160" i="70"/>
  <c r="H261" i="70"/>
  <c r="J169" i="44"/>
  <c r="J261" i="70"/>
  <c r="J160" i="70"/>
  <c r="N161" i="44"/>
  <c r="N96" i="70"/>
  <c r="N102" i="70" s="1"/>
  <c r="N253" i="70"/>
  <c r="N257" i="70" s="1"/>
  <c r="N152" i="70"/>
  <c r="N156" i="70" s="1"/>
  <c r="K161" i="44"/>
  <c r="K96" i="70"/>
  <c r="K102" i="70" s="1"/>
  <c r="K253" i="70"/>
  <c r="K257" i="70" s="1"/>
  <c r="K152" i="70"/>
  <c r="K156" i="70" s="1"/>
  <c r="L251" i="70"/>
  <c r="L317" i="70"/>
  <c r="L319" i="70" s="1"/>
  <c r="F317" i="70"/>
  <c r="F319" i="70" s="1"/>
  <c r="F251" i="70"/>
  <c r="I169" i="44"/>
  <c r="I160" i="70"/>
  <c r="I261" i="70"/>
  <c r="M161" i="44"/>
  <c r="M96" i="70"/>
  <c r="M102" i="70" s="1"/>
  <c r="M152" i="70"/>
  <c r="M156" i="70" s="1"/>
  <c r="M253" i="70"/>
  <c r="M257" i="70" s="1"/>
  <c r="L167" i="44"/>
  <c r="L158" i="70"/>
  <c r="L259" i="70"/>
  <c r="L327" i="70" s="1"/>
  <c r="J167" i="44"/>
  <c r="J259" i="70"/>
  <c r="J327" i="70" s="1"/>
  <c r="J158" i="70"/>
  <c r="K167" i="44"/>
  <c r="K158" i="70"/>
  <c r="K259" i="70"/>
  <c r="K327" i="70" s="1"/>
  <c r="O169" i="44"/>
  <c r="O261" i="70"/>
  <c r="O160" i="70"/>
  <c r="L169" i="44"/>
  <c r="L160" i="70"/>
  <c r="L261" i="70"/>
  <c r="F169" i="44"/>
  <c r="F261" i="70"/>
  <c r="F160" i="70"/>
  <c r="L161" i="44"/>
  <c r="L152" i="70"/>
  <c r="L156" i="70" s="1"/>
  <c r="L253" i="70"/>
  <c r="L257" i="70" s="1"/>
  <c r="L96" i="70"/>
  <c r="L102" i="70" s="1"/>
  <c r="F161" i="44"/>
  <c r="F253" i="70"/>
  <c r="F257" i="70" s="1"/>
  <c r="F96" i="70"/>
  <c r="F102" i="70" s="1"/>
  <c r="F152" i="70"/>
  <c r="F156" i="70" s="1"/>
  <c r="G161" i="44"/>
  <c r="G253" i="70"/>
  <c r="G257" i="70" s="1"/>
  <c r="G96" i="70"/>
  <c r="G102" i="70" s="1"/>
  <c r="G152" i="70"/>
  <c r="G156" i="70" s="1"/>
  <c r="D158" i="44"/>
  <c r="D250" i="70"/>
  <c r="D149" i="70"/>
  <c r="J317" i="70"/>
  <c r="J319" i="70" s="1"/>
  <c r="J251" i="70"/>
  <c r="M251" i="70"/>
  <c r="M317" i="70"/>
  <c r="M319" i="70" s="1"/>
  <c r="N150" i="70"/>
  <c r="G150" i="70"/>
  <c r="K251" i="70"/>
  <c r="K317" i="70"/>
  <c r="K319" i="70" s="1"/>
  <c r="I167" i="44"/>
  <c r="I158" i="70"/>
  <c r="I259" i="70"/>
  <c r="I327" i="70" s="1"/>
  <c r="G169" i="44"/>
  <c r="G160" i="70"/>
  <c r="G261" i="70"/>
  <c r="D161" i="44"/>
  <c r="D152" i="70"/>
  <c r="D156" i="70" s="1"/>
  <c r="D253" i="70"/>
  <c r="D257" i="70" s="1"/>
  <c r="H317" i="70"/>
  <c r="H319" i="70" s="1"/>
  <c r="H251" i="70"/>
  <c r="G317" i="70"/>
  <c r="G319" i="70" s="1"/>
  <c r="G251" i="70"/>
  <c r="O251" i="70"/>
  <c r="O317" i="70"/>
  <c r="O319" i="70" s="1"/>
  <c r="G167" i="44"/>
  <c r="G158" i="70"/>
  <c r="G259" i="70"/>
  <c r="G327" i="70" s="1"/>
  <c r="F167" i="44"/>
  <c r="F158" i="70"/>
  <c r="F259" i="70"/>
  <c r="F327" i="70" s="1"/>
  <c r="M167" i="44"/>
  <c r="M158" i="70"/>
  <c r="M259" i="70"/>
  <c r="M327" i="70" s="1"/>
  <c r="M169" i="44"/>
  <c r="M261" i="70"/>
  <c r="M160" i="70"/>
  <c r="K169" i="44"/>
  <c r="K160" i="70"/>
  <c r="K261" i="70"/>
  <c r="D169" i="44"/>
  <c r="D160" i="70"/>
  <c r="D261" i="70"/>
  <c r="J161" i="44"/>
  <c r="J96" i="70"/>
  <c r="J102" i="70" s="1"/>
  <c r="J253" i="70"/>
  <c r="J257" i="70" s="1"/>
  <c r="J152" i="70"/>
  <c r="J156" i="70" s="1"/>
  <c r="H161" i="44"/>
  <c r="H152" i="70"/>
  <c r="H156" i="70" s="1"/>
  <c r="H96" i="70"/>
  <c r="H102" i="70" s="1"/>
  <c r="H253" i="70"/>
  <c r="H257" i="70" s="1"/>
  <c r="I161" i="44"/>
  <c r="I152" i="70"/>
  <c r="I156" i="70" s="1"/>
  <c r="I253" i="70"/>
  <c r="I257" i="70" s="1"/>
  <c r="I96" i="70"/>
  <c r="I102" i="70" s="1"/>
  <c r="D157" i="44"/>
  <c r="D84" i="70"/>
  <c r="D249" i="70"/>
  <c r="D148" i="70"/>
  <c r="D155" i="44"/>
  <c r="D146" i="70"/>
  <c r="D247" i="70"/>
  <c r="I150" i="70"/>
  <c r="F150" i="70"/>
  <c r="N317" i="70"/>
  <c r="N319" i="70" s="1"/>
  <c r="N251" i="70"/>
  <c r="K150" i="70"/>
  <c r="O150" i="70"/>
  <c r="O162" i="70" l="1"/>
  <c r="O168" i="70" s="1"/>
  <c r="L162" i="70"/>
  <c r="L168" i="70" s="1"/>
  <c r="G162" i="70"/>
  <c r="G168" i="70" s="1"/>
  <c r="M162" i="70"/>
  <c r="M168" i="70" s="1"/>
  <c r="J162" i="70"/>
  <c r="J168" i="70" s="1"/>
  <c r="D96" i="70"/>
  <c r="D102" i="70" s="1"/>
  <c r="F162" i="70"/>
  <c r="F168" i="70" s="1"/>
  <c r="D317" i="70"/>
  <c r="D251" i="70"/>
  <c r="D327" i="70"/>
  <c r="I162" i="70"/>
  <c r="I168" i="70" s="1"/>
  <c r="D329" i="70"/>
  <c r="K329" i="70"/>
  <c r="D321" i="70"/>
  <c r="D325" i="70" s="1"/>
  <c r="G329" i="70"/>
  <c r="F162" i="10"/>
  <c r="L162" i="10"/>
  <c r="I162" i="10"/>
  <c r="H329" i="70"/>
  <c r="O263" i="70"/>
  <c r="O269" i="70" s="1"/>
  <c r="O321" i="70"/>
  <c r="O325" i="70" s="1"/>
  <c r="N329" i="70"/>
  <c r="F263" i="70"/>
  <c r="F269" i="70" s="1"/>
  <c r="F321" i="70"/>
  <c r="F325" i="70" s="1"/>
  <c r="O162" i="10"/>
  <c r="D315" i="70"/>
  <c r="K162" i="70"/>
  <c r="K168" i="70" s="1"/>
  <c r="M329" i="70"/>
  <c r="M321" i="70"/>
  <c r="M325" i="70" s="1"/>
  <c r="M263" i="70"/>
  <c r="M269" i="70" s="1"/>
  <c r="H162" i="70"/>
  <c r="H168" i="70" s="1"/>
  <c r="N162" i="10"/>
  <c r="D153" i="44"/>
  <c r="D245" i="70"/>
  <c r="D144" i="70"/>
  <c r="I321" i="70"/>
  <c r="I325" i="70" s="1"/>
  <c r="J321" i="70"/>
  <c r="J325" i="70" s="1"/>
  <c r="J263" i="70"/>
  <c r="J269" i="70" s="1"/>
  <c r="D318" i="70"/>
  <c r="G263" i="70"/>
  <c r="G269" i="70" s="1"/>
  <c r="G321" i="70"/>
  <c r="G325" i="70" s="1"/>
  <c r="F329" i="70"/>
  <c r="J162" i="10"/>
  <c r="D150" i="70"/>
  <c r="H321" i="70"/>
  <c r="H325" i="70" s="1"/>
  <c r="H263" i="70"/>
  <c r="H269" i="70" s="1"/>
  <c r="D162" i="10"/>
  <c r="K162" i="10"/>
  <c r="M162" i="10"/>
  <c r="G162" i="10"/>
  <c r="N162" i="70"/>
  <c r="N168" i="70" s="1"/>
  <c r="L321" i="70"/>
  <c r="L325" i="70" s="1"/>
  <c r="L263" i="70"/>
  <c r="L269" i="70" s="1"/>
  <c r="L329" i="70"/>
  <c r="O329" i="70"/>
  <c r="I329" i="70"/>
  <c r="I263" i="70"/>
  <c r="I269" i="70" s="1"/>
  <c r="K321" i="70"/>
  <c r="K325" i="70" s="1"/>
  <c r="K263" i="70"/>
  <c r="K269" i="70" s="1"/>
  <c r="N321" i="70"/>
  <c r="N325" i="70" s="1"/>
  <c r="N263" i="70"/>
  <c r="N269" i="70" s="1"/>
  <c r="J329" i="70"/>
  <c r="H162" i="10"/>
  <c r="F331" i="70" l="1"/>
  <c r="F337" i="70" s="1"/>
  <c r="I331" i="70"/>
  <c r="I337" i="70" s="1"/>
  <c r="O331" i="70"/>
  <c r="O337" i="70" s="1"/>
  <c r="D162" i="70"/>
  <c r="D168" i="70" s="1"/>
  <c r="D263" i="70"/>
  <c r="D269" i="70" s="1"/>
  <c r="H331" i="70"/>
  <c r="H337" i="70" s="1"/>
  <c r="D313" i="70"/>
  <c r="K331" i="70"/>
  <c r="K337" i="70" s="1"/>
  <c r="M331" i="70"/>
  <c r="M337" i="70" s="1"/>
  <c r="J331" i="70"/>
  <c r="J337" i="70" s="1"/>
  <c r="N331" i="70"/>
  <c r="N337" i="70" s="1"/>
  <c r="G331" i="70"/>
  <c r="G337" i="70" s="1"/>
  <c r="D319" i="70"/>
  <c r="L331" i="70"/>
  <c r="L337" i="70" s="1"/>
  <c r="D331" i="70" l="1"/>
  <c r="D337" i="70" s="1"/>
  <c r="K60" i="75"/>
  <c r="M60" i="75"/>
  <c r="K150" i="75"/>
  <c r="G60" i="75"/>
  <c r="E60" i="75"/>
  <c r="J151" i="10" l="1"/>
  <c r="J54" i="10"/>
  <c r="G54" i="75"/>
  <c r="G66" i="75" s="1"/>
  <c r="G72" i="75" s="1"/>
  <c r="H60" i="75"/>
  <c r="F54" i="10"/>
  <c r="G150" i="75"/>
  <c r="E150" i="10"/>
  <c r="G92" i="75"/>
  <c r="G153" i="75"/>
  <c r="G157" i="75" s="1"/>
  <c r="D150" i="10"/>
  <c r="F151" i="10"/>
  <c r="K92" i="75"/>
  <c r="K153" i="75"/>
  <c r="K157" i="75" s="1"/>
  <c r="L60" i="75"/>
  <c r="I60" i="75"/>
  <c r="M151" i="10"/>
  <c r="N60" i="75"/>
  <c r="D60" i="75"/>
  <c r="M54" i="10"/>
  <c r="M66" i="10" s="1"/>
  <c r="M72" i="10" s="1"/>
  <c r="E54" i="10"/>
  <c r="E66" i="10" s="1"/>
  <c r="E72" i="10" s="1"/>
  <c r="O60" i="75"/>
  <c r="N86" i="10"/>
  <c r="N54" i="10"/>
  <c r="N66" i="10" s="1"/>
  <c r="N72" i="10" s="1"/>
  <c r="K54" i="75"/>
  <c r="K66" i="75" s="1"/>
  <c r="K72" i="75" s="1"/>
  <c r="F60" i="75"/>
  <c r="J60" i="75"/>
  <c r="J86" i="10"/>
  <c r="J150" i="10"/>
  <c r="N150" i="10"/>
  <c r="M92" i="75"/>
  <c r="M153" i="75"/>
  <c r="M157" i="75" s="1"/>
  <c r="D153" i="75"/>
  <c r="D157" i="75" s="1"/>
  <c r="D92" i="75"/>
  <c r="H117" i="44"/>
  <c r="L122" i="44"/>
  <c r="N117" i="44"/>
  <c r="F117" i="44"/>
  <c r="H122" i="44"/>
  <c r="J117" i="44"/>
  <c r="N122" i="44"/>
  <c r="I122" i="44"/>
  <c r="O117" i="44"/>
  <c r="G122" i="44"/>
  <c r="G117" i="44"/>
  <c r="J66" i="10" l="1"/>
  <c r="J72" i="10" s="1"/>
  <c r="F66" i="10"/>
  <c r="F72" i="10" s="1"/>
  <c r="J152" i="10"/>
  <c r="L54" i="10"/>
  <c r="L66" i="10" s="1"/>
  <c r="L72" i="10" s="1"/>
  <c r="P84" i="10"/>
  <c r="E54" i="75"/>
  <c r="E66" i="75" s="1"/>
  <c r="E72" i="75" s="1"/>
  <c r="O150" i="75"/>
  <c r="N150" i="75"/>
  <c r="I150" i="75"/>
  <c r="E150" i="75"/>
  <c r="P54" i="74" s="1"/>
  <c r="L150" i="75"/>
  <c r="L151" i="75" s="1"/>
  <c r="O54" i="75"/>
  <c r="O66" i="75" s="1"/>
  <c r="O72" i="75" s="1"/>
  <c r="I54" i="75"/>
  <c r="I66" i="75" s="1"/>
  <c r="I72" i="75" s="1"/>
  <c r="H151" i="10"/>
  <c r="P53" i="10"/>
  <c r="H54" i="10"/>
  <c r="H66" i="10" s="1"/>
  <c r="H72" i="10" s="1"/>
  <c r="I54" i="10"/>
  <c r="I66" i="10" s="1"/>
  <c r="I72" i="10" s="1"/>
  <c r="G54" i="10"/>
  <c r="G66" i="10" s="1"/>
  <c r="G72" i="10" s="1"/>
  <c r="N151" i="10"/>
  <c r="N152" i="10" s="1"/>
  <c r="E151" i="10"/>
  <c r="E152" i="10" s="1"/>
  <c r="G151" i="10"/>
  <c r="K151" i="10"/>
  <c r="N92" i="75"/>
  <c r="N153" i="75"/>
  <c r="N157" i="75" s="1"/>
  <c r="L92" i="75"/>
  <c r="L153" i="75"/>
  <c r="L157" i="75" s="1"/>
  <c r="L86" i="75"/>
  <c r="J146" i="10"/>
  <c r="K146" i="10"/>
  <c r="J92" i="75"/>
  <c r="J153" i="75"/>
  <c r="J157" i="75" s="1"/>
  <c r="F150" i="75"/>
  <c r="J150" i="75"/>
  <c r="F92" i="75"/>
  <c r="F153" i="75"/>
  <c r="F157" i="75" s="1"/>
  <c r="P60" i="75"/>
  <c r="D151" i="10"/>
  <c r="P85" i="10"/>
  <c r="H54" i="75"/>
  <c r="H66" i="75" s="1"/>
  <c r="H72" i="75" s="1"/>
  <c r="J54" i="75"/>
  <c r="J66" i="75" s="1"/>
  <c r="J72" i="75" s="1"/>
  <c r="K54" i="10"/>
  <c r="K66" i="10" s="1"/>
  <c r="K72" i="10" s="1"/>
  <c r="M54" i="75"/>
  <c r="M66" i="75" s="1"/>
  <c r="M72" i="75" s="1"/>
  <c r="D54" i="75"/>
  <c r="D66" i="75" s="1"/>
  <c r="D72" i="75" s="1"/>
  <c r="D86" i="10"/>
  <c r="H86" i="10"/>
  <c r="H150" i="10"/>
  <c r="H92" i="75"/>
  <c r="H153" i="75"/>
  <c r="H157" i="75" s="1"/>
  <c r="I86" i="10"/>
  <c r="I150" i="10"/>
  <c r="I86" i="75"/>
  <c r="H150" i="75"/>
  <c r="G86" i="10"/>
  <c r="G150" i="10"/>
  <c r="O92" i="75"/>
  <c r="O153" i="75"/>
  <c r="O157" i="75" s="1"/>
  <c r="O86" i="10"/>
  <c r="O150" i="10"/>
  <c r="D54" i="10"/>
  <c r="D66" i="10" s="1"/>
  <c r="D72" i="10" s="1"/>
  <c r="G146" i="10"/>
  <c r="F54" i="75"/>
  <c r="F66" i="75" s="1"/>
  <c r="F72" i="75" s="1"/>
  <c r="K86" i="75"/>
  <c r="K98" i="75" s="1"/>
  <c r="K104" i="75" s="1"/>
  <c r="K151" i="75"/>
  <c r="K163" i="75" s="1"/>
  <c r="K169" i="75" s="1"/>
  <c r="L86" i="10"/>
  <c r="L150" i="10"/>
  <c r="M86" i="10"/>
  <c r="M150" i="10"/>
  <c r="M152" i="10" s="1"/>
  <c r="O86" i="75"/>
  <c r="E86" i="75"/>
  <c r="H86" i="75"/>
  <c r="J86" i="75"/>
  <c r="K86" i="10"/>
  <c r="K150" i="10"/>
  <c r="M86" i="75"/>
  <c r="M98" i="75" s="1"/>
  <c r="M104" i="75" s="1"/>
  <c r="D149" i="75"/>
  <c r="D86" i="75"/>
  <c r="D98" i="75" s="1"/>
  <c r="D104" i="75" s="1"/>
  <c r="P56" i="10"/>
  <c r="P60" i="10" s="1"/>
  <c r="N54" i="75"/>
  <c r="N66" i="75" s="1"/>
  <c r="N72" i="75" s="1"/>
  <c r="L151" i="10"/>
  <c r="E86" i="10"/>
  <c r="H146" i="10"/>
  <c r="O146" i="10"/>
  <c r="O122" i="44"/>
  <c r="F146" i="10"/>
  <c r="E146" i="10"/>
  <c r="N146" i="10"/>
  <c r="I151" i="10"/>
  <c r="O151" i="10"/>
  <c r="F86" i="75"/>
  <c r="M150" i="75"/>
  <c r="O54" i="10"/>
  <c r="O66" i="10" s="1"/>
  <c r="O72" i="10" s="1"/>
  <c r="P52" i="10"/>
  <c r="F86" i="10"/>
  <c r="F150" i="10"/>
  <c r="F152" i="10" s="1"/>
  <c r="N86" i="75"/>
  <c r="G86" i="75"/>
  <c r="G98" i="75" s="1"/>
  <c r="G104" i="75" s="1"/>
  <c r="G151" i="75"/>
  <c r="G163" i="75" s="1"/>
  <c r="G169" i="75" s="1"/>
  <c r="L54" i="75"/>
  <c r="L66" i="75" s="1"/>
  <c r="L72" i="75" s="1"/>
  <c r="D150" i="75"/>
  <c r="J122" i="44"/>
  <c r="M122" i="44"/>
  <c r="K122" i="44"/>
  <c r="F122" i="44"/>
  <c r="K117" i="44"/>
  <c r="L117" i="44"/>
  <c r="I117" i="44"/>
  <c r="M117" i="44"/>
  <c r="P55" i="74" l="1"/>
  <c r="P67" i="74" s="1"/>
  <c r="P73" i="74" s="1"/>
  <c r="R277" i="74" s="1"/>
  <c r="J151" i="75"/>
  <c r="J163" i="75" s="1"/>
  <c r="J169" i="75" s="1"/>
  <c r="N151" i="75"/>
  <c r="N163" i="75" s="1"/>
  <c r="N169" i="75" s="1"/>
  <c r="P86" i="10"/>
  <c r="H152" i="10"/>
  <c r="K152" i="10"/>
  <c r="E151" i="75"/>
  <c r="F151" i="75"/>
  <c r="F163" i="75" s="1"/>
  <c r="F169" i="75" s="1"/>
  <c r="O98" i="75"/>
  <c r="O104" i="75" s="1"/>
  <c r="P54" i="10"/>
  <c r="P66" i="10" s="1"/>
  <c r="P72" i="10" s="1"/>
  <c r="N98" i="75"/>
  <c r="N104" i="75" s="1"/>
  <c r="O151" i="75"/>
  <c r="O163" i="75" s="1"/>
  <c r="O169" i="75" s="1"/>
  <c r="M151" i="75"/>
  <c r="M163" i="75" s="1"/>
  <c r="M169" i="75" s="1"/>
  <c r="I151" i="75"/>
  <c r="H151" i="75"/>
  <c r="H163" i="75" s="1"/>
  <c r="H169" i="75" s="1"/>
  <c r="P150" i="75"/>
  <c r="G152" i="10"/>
  <c r="P151" i="10"/>
  <c r="P320" i="74"/>
  <c r="F122" i="76" s="1"/>
  <c r="J98" i="75"/>
  <c r="J104" i="75" s="1"/>
  <c r="E92" i="75"/>
  <c r="E98" i="75" s="1"/>
  <c r="E104" i="75" s="1"/>
  <c r="E153" i="75"/>
  <c r="E157" i="75" s="1"/>
  <c r="P92" i="75"/>
  <c r="I92" i="75"/>
  <c r="I98" i="75" s="1"/>
  <c r="I104" i="75" s="1"/>
  <c r="I153" i="75"/>
  <c r="I157" i="75" s="1"/>
  <c r="I152" i="10"/>
  <c r="I146" i="10"/>
  <c r="L146" i="10"/>
  <c r="D122" i="44"/>
  <c r="P150" i="10"/>
  <c r="D151" i="75"/>
  <c r="D163" i="75" s="1"/>
  <c r="D169" i="75" s="1"/>
  <c r="L152" i="10"/>
  <c r="O152" i="10"/>
  <c r="P54" i="75"/>
  <c r="P66" i="75" s="1"/>
  <c r="P72" i="75" s="1"/>
  <c r="L98" i="75"/>
  <c r="L104" i="75" s="1"/>
  <c r="M146" i="10"/>
  <c r="F98" i="75"/>
  <c r="F104" i="75" s="1"/>
  <c r="P88" i="10"/>
  <c r="P92" i="10" s="1"/>
  <c r="D152" i="10"/>
  <c r="P86" i="75"/>
  <c r="H98" i="75"/>
  <c r="H104" i="75" s="1"/>
  <c r="L163" i="75"/>
  <c r="L169" i="75" s="1"/>
  <c r="I119" i="44"/>
  <c r="G119" i="44"/>
  <c r="J119" i="44"/>
  <c r="L119" i="44"/>
  <c r="F119" i="44"/>
  <c r="H119" i="44"/>
  <c r="M119" i="44"/>
  <c r="N119" i="44"/>
  <c r="K119" i="44"/>
  <c r="R276" i="74" l="1"/>
  <c r="Q279" i="74"/>
  <c r="I163" i="75"/>
  <c r="I169" i="75" s="1"/>
  <c r="P152" i="10"/>
  <c r="P151" i="75"/>
  <c r="P98" i="75"/>
  <c r="P104" i="75" s="1"/>
  <c r="L54" i="44"/>
  <c r="L66" i="44" s="1"/>
  <c r="L72" i="44" s="1"/>
  <c r="L121" i="44"/>
  <c r="L123" i="44" s="1"/>
  <c r="L135" i="44" s="1"/>
  <c r="L141" i="44" s="1"/>
  <c r="D148" i="10"/>
  <c r="J54" i="44"/>
  <c r="J66" i="44" s="1"/>
  <c r="J72" i="44" s="1"/>
  <c r="J121" i="44"/>
  <c r="J123" i="44" s="1"/>
  <c r="J135" i="44" s="1"/>
  <c r="J141" i="44" s="1"/>
  <c r="K54" i="44"/>
  <c r="K66" i="44" s="1"/>
  <c r="K72" i="44" s="1"/>
  <c r="K121" i="44"/>
  <c r="K123" i="44" s="1"/>
  <c r="K135" i="44" s="1"/>
  <c r="K141" i="44" s="1"/>
  <c r="E163" i="75"/>
  <c r="E169" i="75" s="1"/>
  <c r="P153" i="75"/>
  <c r="J122" i="76"/>
  <c r="T122" i="76" s="1"/>
  <c r="D98" i="10"/>
  <c r="D104" i="10" s="1"/>
  <c r="N54" i="44"/>
  <c r="N66" i="44" s="1"/>
  <c r="N72" i="44" s="1"/>
  <c r="N121" i="44"/>
  <c r="N123" i="44" s="1"/>
  <c r="N135" i="44" s="1"/>
  <c r="N141" i="44" s="1"/>
  <c r="O119" i="44"/>
  <c r="O54" i="44"/>
  <c r="O66" i="44" s="1"/>
  <c r="O72" i="44" s="1"/>
  <c r="O121" i="44"/>
  <c r="O123" i="44" s="1"/>
  <c r="F54" i="44"/>
  <c r="F66" i="44" s="1"/>
  <c r="F72" i="44" s="1"/>
  <c r="F121" i="44"/>
  <c r="F123" i="44" s="1"/>
  <c r="F135" i="44" s="1"/>
  <c r="F141" i="44" s="1"/>
  <c r="I54" i="44"/>
  <c r="I66" i="44" s="1"/>
  <c r="I72" i="44" s="1"/>
  <c r="I121" i="44"/>
  <c r="I123" i="44" s="1"/>
  <c r="I135" i="44" s="1"/>
  <c r="I141" i="44" s="1"/>
  <c r="D146" i="10"/>
  <c r="P146" i="10" s="1"/>
  <c r="P80" i="10"/>
  <c r="D119" i="44"/>
  <c r="G54" i="44"/>
  <c r="G66" i="44" s="1"/>
  <c r="G72" i="44" s="1"/>
  <c r="G121" i="44"/>
  <c r="G123" i="44" s="1"/>
  <c r="G135" i="44" s="1"/>
  <c r="G141" i="44" s="1"/>
  <c r="K148" i="10"/>
  <c r="H148" i="10"/>
  <c r="H54" i="44"/>
  <c r="H66" i="44" s="1"/>
  <c r="H72" i="44" s="1"/>
  <c r="H121" i="44"/>
  <c r="H123" i="44" s="1"/>
  <c r="H135" i="44" s="1"/>
  <c r="H141" i="44" s="1"/>
  <c r="M54" i="44"/>
  <c r="M66" i="44" s="1"/>
  <c r="M72" i="44" s="1"/>
  <c r="M121" i="44"/>
  <c r="M123" i="44" s="1"/>
  <c r="M135" i="44" s="1"/>
  <c r="M141" i="44" s="1"/>
  <c r="D121" i="44"/>
  <c r="K98" i="10"/>
  <c r="K104" i="10" s="1"/>
  <c r="P157" i="75" l="1"/>
  <c r="P163" i="75" s="1"/>
  <c r="P169" i="75" s="1"/>
  <c r="P82" i="10"/>
  <c r="H98" i="10"/>
  <c r="H104" i="10" s="1"/>
  <c r="L148" i="10"/>
  <c r="L98" i="10"/>
  <c r="L104" i="10" s="1"/>
  <c r="O148" i="10"/>
  <c r="O98" i="10"/>
  <c r="O104" i="10" s="1"/>
  <c r="J148" i="10"/>
  <c r="J98" i="10"/>
  <c r="J104" i="10" s="1"/>
  <c r="F148" i="10"/>
  <c r="F98" i="10"/>
  <c r="F104" i="10" s="1"/>
  <c r="P318" i="74"/>
  <c r="I148" i="10"/>
  <c r="I98" i="10"/>
  <c r="I104" i="10" s="1"/>
  <c r="N148" i="10"/>
  <c r="N98" i="10"/>
  <c r="N104" i="10" s="1"/>
  <c r="G148" i="10"/>
  <c r="G98" i="10"/>
  <c r="G104" i="10" s="1"/>
  <c r="M148" i="10"/>
  <c r="M98" i="10"/>
  <c r="M104" i="10" s="1"/>
  <c r="E148" i="10"/>
  <c r="D123" i="44"/>
  <c r="O135" i="44"/>
  <c r="O141" i="44" s="1"/>
  <c r="F120" i="76" l="1"/>
  <c r="D72" i="44"/>
  <c r="P323" i="74"/>
  <c r="F125" i="76" s="1"/>
  <c r="J125" i="76" s="1"/>
  <c r="T125" i="76" s="1"/>
  <c r="D135" i="44"/>
  <c r="P148" i="10"/>
  <c r="J120" i="76" l="1"/>
  <c r="T120" i="76" s="1"/>
  <c r="F342" i="74"/>
  <c r="E342" i="74"/>
  <c r="M342" i="74"/>
  <c r="K342" i="74"/>
  <c r="N342" i="74"/>
  <c r="D141" i="44"/>
  <c r="L342" i="74"/>
  <c r="G342" i="74"/>
  <c r="I342" i="74"/>
  <c r="D324" i="74"/>
  <c r="D336" i="74" s="1"/>
  <c r="D342" i="74" s="1"/>
  <c r="P322" i="74"/>
  <c r="P324" i="74" s="1"/>
  <c r="P336" i="74" s="1"/>
  <c r="H342" i="74"/>
  <c r="O342" i="74"/>
  <c r="J342" i="74"/>
  <c r="P342" i="74" l="1"/>
  <c r="Q415" i="74" s="1"/>
  <c r="Q416" i="74" s="1"/>
  <c r="F124" i="76"/>
  <c r="J124" i="76" l="1"/>
  <c r="F126" i="76"/>
  <c r="F138" i="76" s="1"/>
  <c r="F144" i="76" s="1"/>
  <c r="J126" i="76" l="1"/>
  <c r="T124" i="76"/>
  <c r="T126" i="76" l="1"/>
  <c r="J138" i="76"/>
  <c r="T138" i="76" l="1"/>
  <c r="J144" i="76"/>
  <c r="T144" i="76" s="1"/>
  <c r="E127" i="44" l="1"/>
  <c r="P127" i="44" s="1"/>
  <c r="E128" i="44"/>
  <c r="P128" i="44" s="1"/>
  <c r="Q128" i="44" l="1"/>
  <c r="Q127" i="44"/>
  <c r="E255" i="70"/>
  <c r="E154" i="70"/>
  <c r="P154" i="70" s="1"/>
  <c r="E250" i="70"/>
  <c r="E149" i="70"/>
  <c r="P149" i="70" s="1"/>
  <c r="E158" i="44"/>
  <c r="P83" i="70"/>
  <c r="E90" i="70"/>
  <c r="E253" i="70"/>
  <c r="P86" i="70"/>
  <c r="E161" i="44"/>
  <c r="E152" i="70"/>
  <c r="E122" i="44"/>
  <c r="P122" i="44" s="1"/>
  <c r="P53" i="44"/>
  <c r="E91" i="76" s="1"/>
  <c r="E256" i="70"/>
  <c r="E155" i="70"/>
  <c r="P155" i="70" s="1"/>
  <c r="J26" i="65" s="1"/>
  <c r="E158" i="70"/>
  <c r="P158" i="70" s="1"/>
  <c r="E167" i="44"/>
  <c r="E259" i="70"/>
  <c r="P92" i="70"/>
  <c r="E119" i="44"/>
  <c r="P119" i="44" s="1"/>
  <c r="P50" i="44"/>
  <c r="E88" i="76" s="1"/>
  <c r="E191" i="76" s="1"/>
  <c r="P94" i="70"/>
  <c r="E169" i="44"/>
  <c r="E160" i="70"/>
  <c r="E261" i="70"/>
  <c r="E164" i="70"/>
  <c r="E100" i="70"/>
  <c r="E265" i="70"/>
  <c r="P98" i="70"/>
  <c r="E131" i="44"/>
  <c r="P131" i="44" s="1"/>
  <c r="P62" i="44"/>
  <c r="E100" i="76" s="1"/>
  <c r="E203" i="76" s="1"/>
  <c r="E162" i="44"/>
  <c r="P87" i="70"/>
  <c r="E153" i="70"/>
  <c r="P153" i="70" s="1"/>
  <c r="E254" i="70"/>
  <c r="E266" i="70"/>
  <c r="P266" i="70" s="1"/>
  <c r="P99" i="70"/>
  <c r="H36" i="65" s="1"/>
  <c r="P52" i="44"/>
  <c r="E90" i="76" s="1"/>
  <c r="E54" i="44"/>
  <c r="E121" i="44"/>
  <c r="E126" i="44"/>
  <c r="P126" i="44" s="1"/>
  <c r="P57" i="44"/>
  <c r="E95" i="76" s="1"/>
  <c r="E198" i="76" s="1"/>
  <c r="E153" i="44"/>
  <c r="E245" i="70"/>
  <c r="E144" i="70"/>
  <c r="P144" i="70" s="1"/>
  <c r="P78" i="70"/>
  <c r="E60" i="44"/>
  <c r="P60" i="44" s="1"/>
  <c r="E125" i="44"/>
  <c r="P56" i="44"/>
  <c r="E94" i="76" s="1"/>
  <c r="E247" i="70"/>
  <c r="E146" i="70"/>
  <c r="P146" i="70" s="1"/>
  <c r="E155" i="44"/>
  <c r="P80" i="70"/>
  <c r="E133" i="44"/>
  <c r="P133" i="44" s="1"/>
  <c r="Q133" i="44" s="1"/>
  <c r="P64" i="44"/>
  <c r="E148" i="70"/>
  <c r="E157" i="44"/>
  <c r="E84" i="70"/>
  <c r="E249" i="70"/>
  <c r="P82" i="70"/>
  <c r="E117" i="44"/>
  <c r="P117" i="44" s="1"/>
  <c r="P48" i="44"/>
  <c r="E86" i="76" s="1"/>
  <c r="J25" i="65" l="1"/>
  <c r="J24" i="65"/>
  <c r="J29" i="65"/>
  <c r="J20" i="65"/>
  <c r="Q122" i="44"/>
  <c r="Q119" i="44"/>
  <c r="J17" i="65"/>
  <c r="Q126" i="44"/>
  <c r="Q131" i="44"/>
  <c r="Q117" i="44"/>
  <c r="J15" i="65"/>
  <c r="E129" i="44"/>
  <c r="E193" i="76"/>
  <c r="E92" i="76"/>
  <c r="D102" i="76"/>
  <c r="E102" i="76"/>
  <c r="E205" i="76" s="1"/>
  <c r="E98" i="76"/>
  <c r="H20" i="65"/>
  <c r="H15" i="65"/>
  <c r="H17" i="65"/>
  <c r="H29" i="65"/>
  <c r="H24" i="65"/>
  <c r="Q62" i="44"/>
  <c r="D100" i="76"/>
  <c r="F100" i="76" s="1"/>
  <c r="F203" i="76" s="1"/>
  <c r="E189" i="76"/>
  <c r="Q57" i="44"/>
  <c r="D95" i="76"/>
  <c r="F95" i="76" s="1"/>
  <c r="F198" i="76" s="1"/>
  <c r="Q52" i="44"/>
  <c r="D90" i="76"/>
  <c r="F90" i="76" s="1"/>
  <c r="F193" i="76" s="1"/>
  <c r="Q53" i="44"/>
  <c r="D91" i="76"/>
  <c r="F91" i="76" s="1"/>
  <c r="Q56" i="44"/>
  <c r="Q50" i="44"/>
  <c r="D88" i="76"/>
  <c r="F88" i="76" s="1"/>
  <c r="F191" i="76" s="1"/>
  <c r="Q48" i="44"/>
  <c r="D86" i="76"/>
  <c r="F86" i="76" s="1"/>
  <c r="F189" i="76" s="1"/>
  <c r="E96" i="70"/>
  <c r="E102" i="70" s="1"/>
  <c r="Q64" i="44"/>
  <c r="G102" i="76"/>
  <c r="E66" i="44"/>
  <c r="P54" i="44"/>
  <c r="P160" i="70"/>
  <c r="E257" i="70"/>
  <c r="E321" i="70"/>
  <c r="P253" i="70"/>
  <c r="P100" i="70"/>
  <c r="H35" i="65"/>
  <c r="H37" i="65" s="1"/>
  <c r="H31" i="65"/>
  <c r="E324" i="70"/>
  <c r="P324" i="70" s="1"/>
  <c r="P256" i="70"/>
  <c r="P84" i="70"/>
  <c r="H19" i="65"/>
  <c r="E313" i="70"/>
  <c r="P313" i="70" s="1"/>
  <c r="P245" i="70"/>
  <c r="E333" i="70"/>
  <c r="E267" i="70"/>
  <c r="P265" i="70"/>
  <c r="P267" i="70" s="1"/>
  <c r="P96" i="10"/>
  <c r="P98" i="10" s="1"/>
  <c r="P104" i="10" s="1"/>
  <c r="E162" i="10"/>
  <c r="E98" i="10"/>
  <c r="E104" i="10" s="1"/>
  <c r="E251" i="70"/>
  <c r="E317" i="70"/>
  <c r="P249" i="70"/>
  <c r="E322" i="70"/>
  <c r="P322" i="70" s="1"/>
  <c r="P254" i="70"/>
  <c r="E315" i="70"/>
  <c r="P315" i="70" s="1"/>
  <c r="P247" i="70"/>
  <c r="E166" i="70"/>
  <c r="P164" i="70"/>
  <c r="E156" i="70"/>
  <c r="P152" i="70"/>
  <c r="E318" i="70"/>
  <c r="P318" i="70" s="1"/>
  <c r="P250" i="70"/>
  <c r="P261" i="70"/>
  <c r="E329" i="70"/>
  <c r="E327" i="70"/>
  <c r="P327" i="70" s="1"/>
  <c r="P259" i="70"/>
  <c r="E150" i="70"/>
  <c r="P148" i="70"/>
  <c r="P125" i="44"/>
  <c r="E123" i="44"/>
  <c r="P121" i="44"/>
  <c r="P90" i="70"/>
  <c r="H23" i="65"/>
  <c r="H27" i="65" s="1"/>
  <c r="P255" i="70"/>
  <c r="E323" i="70"/>
  <c r="P323" i="70" s="1"/>
  <c r="Q121" i="44" l="1"/>
  <c r="E104" i="76"/>
  <c r="E110" i="76" s="1"/>
  <c r="Q60" i="44"/>
  <c r="D205" i="76"/>
  <c r="F102" i="76"/>
  <c r="F205" i="76" s="1"/>
  <c r="H21" i="65"/>
  <c r="H33" i="65" s="1"/>
  <c r="H39" i="65" s="1"/>
  <c r="Q54" i="44"/>
  <c r="F92" i="76"/>
  <c r="D198" i="76"/>
  <c r="J95" i="76"/>
  <c r="T95" i="76" s="1"/>
  <c r="J100" i="76"/>
  <c r="T100" i="76" s="1"/>
  <c r="D203" i="76"/>
  <c r="D92" i="76"/>
  <c r="D193" i="76"/>
  <c r="J90" i="76"/>
  <c r="T90" i="76" s="1"/>
  <c r="J91" i="76"/>
  <c r="T91" i="76" s="1"/>
  <c r="Q125" i="44"/>
  <c r="P129" i="44"/>
  <c r="Q129" i="44" s="1"/>
  <c r="D189" i="76"/>
  <c r="J86" i="76"/>
  <c r="T86" i="76" s="1"/>
  <c r="D191" i="76"/>
  <c r="J88" i="76"/>
  <c r="T88" i="76" s="1"/>
  <c r="P96" i="70"/>
  <c r="P102" i="70" s="1"/>
  <c r="E162" i="70"/>
  <c r="E168" i="70" s="1"/>
  <c r="E263" i="70"/>
  <c r="E269" i="70" s="1"/>
  <c r="P251" i="70"/>
  <c r="P156" i="70"/>
  <c r="J23" i="65"/>
  <c r="J27" i="65" s="1"/>
  <c r="P166" i="70"/>
  <c r="J35" i="65"/>
  <c r="J37" i="65" s="1"/>
  <c r="P329" i="70"/>
  <c r="P257" i="70"/>
  <c r="E135" i="44"/>
  <c r="P123" i="44"/>
  <c r="Q123" i="44" s="1"/>
  <c r="P162" i="10"/>
  <c r="E325" i="70"/>
  <c r="P321" i="70"/>
  <c r="E335" i="70"/>
  <c r="P333" i="70"/>
  <c r="P335" i="70" s="1"/>
  <c r="G205" i="76"/>
  <c r="G104" i="76"/>
  <c r="J19" i="65"/>
  <c r="J21" i="65" s="1"/>
  <c r="P150" i="70"/>
  <c r="J31" i="65"/>
  <c r="E319" i="70"/>
  <c r="P317" i="70"/>
  <c r="E72" i="44"/>
  <c r="P72" i="44" s="1"/>
  <c r="Q72" i="44" s="1"/>
  <c r="P66" i="44"/>
  <c r="Q66" i="44" s="1"/>
  <c r="P319" i="70" l="1"/>
  <c r="P331" i="70" s="1"/>
  <c r="P337" i="70" s="1"/>
  <c r="P325" i="70"/>
  <c r="J189" i="76"/>
  <c r="J203" i="76"/>
  <c r="T203" i="76" s="1"/>
  <c r="T189" i="76"/>
  <c r="J102" i="76"/>
  <c r="T102" i="76" s="1"/>
  <c r="T92" i="76"/>
  <c r="J92" i="76"/>
  <c r="J193" i="76"/>
  <c r="J198" i="76"/>
  <c r="E331" i="70"/>
  <c r="E337" i="70" s="1"/>
  <c r="J191" i="76"/>
  <c r="P263" i="70"/>
  <c r="P269" i="70" s="1"/>
  <c r="P162" i="70"/>
  <c r="P168" i="70" s="1"/>
  <c r="E141" i="44"/>
  <c r="P141" i="44" s="1"/>
  <c r="Q141" i="44" s="1"/>
  <c r="P135" i="44"/>
  <c r="Q135" i="44" s="1"/>
  <c r="G110" i="76"/>
  <c r="J33" i="65"/>
  <c r="J39" i="65" s="1"/>
  <c r="G207" i="76"/>
  <c r="G213" i="76" s="1"/>
  <c r="J205" i="76"/>
  <c r="T198" i="76" l="1"/>
  <c r="T191" i="76"/>
  <c r="T193" i="76"/>
  <c r="T205" i="76"/>
  <c r="E20" i="76" l="1"/>
  <c r="F20" i="76"/>
  <c r="E21" i="76"/>
  <c r="E194" i="76"/>
  <c r="E195" i="76" l="1"/>
  <c r="D20" i="76"/>
  <c r="Q20" i="10"/>
  <c r="F21" i="76"/>
  <c r="F194" i="76"/>
  <c r="D23" i="10" a="1"/>
  <c r="D23" i="10" s="1"/>
  <c r="E23" i="10" a="1"/>
  <c r="E23" i="10" s="1"/>
  <c r="F23" i="10" a="1"/>
  <c r="F23" i="10" s="1"/>
  <c r="G23" i="10" a="1"/>
  <c r="G23" i="10" s="1"/>
  <c r="H23" i="10" a="1"/>
  <c r="H23" i="10" s="1"/>
  <c r="I23" i="10" a="1"/>
  <c r="I23" i="10" s="1"/>
  <c r="J23" i="10" a="1"/>
  <c r="J23" i="10" s="1"/>
  <c r="K23" i="10" a="1"/>
  <c r="K23" i="10" s="1"/>
  <c r="L23" i="10" a="1"/>
  <c r="L23" i="10" s="1"/>
  <c r="M23" i="10" a="1"/>
  <c r="M23" i="10" s="1"/>
  <c r="N23" i="10" a="1"/>
  <c r="N23" i="10" s="1"/>
  <c r="O23" i="10" a="1"/>
  <c r="O23" i="10" s="1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F195" i="76" l="1"/>
  <c r="J20" i="76"/>
  <c r="D194" i="76"/>
  <c r="D21" i="76"/>
  <c r="P156" i="10"/>
  <c r="J154" i="10"/>
  <c r="J158" i="10" s="1"/>
  <c r="J164" i="10" s="1"/>
  <c r="J170" i="10" s="1"/>
  <c r="J27" i="10"/>
  <c r="J33" i="10" s="1"/>
  <c r="J39" i="10" s="1"/>
  <c r="I27" i="10"/>
  <c r="I33" i="10" s="1"/>
  <c r="I39" i="10" s="1"/>
  <c r="I154" i="10"/>
  <c r="I158" i="10" s="1"/>
  <c r="I164" i="10" s="1"/>
  <c r="I170" i="10" s="1"/>
  <c r="H27" i="10"/>
  <c r="H33" i="10" s="1"/>
  <c r="H39" i="10" s="1"/>
  <c r="H154" i="10"/>
  <c r="H158" i="10" s="1"/>
  <c r="H164" i="10" s="1"/>
  <c r="H170" i="10" s="1"/>
  <c r="O154" i="10"/>
  <c r="O158" i="10" s="1"/>
  <c r="O164" i="10" s="1"/>
  <c r="O170" i="10" s="1"/>
  <c r="O27" i="10"/>
  <c r="O33" i="10" s="1"/>
  <c r="O39" i="10" s="1"/>
  <c r="G154" i="10"/>
  <c r="G158" i="10" s="1"/>
  <c r="G164" i="10" s="1"/>
  <c r="G170" i="10" s="1"/>
  <c r="G27" i="10"/>
  <c r="G33" i="10" s="1"/>
  <c r="G39" i="10" s="1"/>
  <c r="N154" i="10"/>
  <c r="N158" i="10" s="1"/>
  <c r="N164" i="10" s="1"/>
  <c r="N170" i="10" s="1"/>
  <c r="N27" i="10"/>
  <c r="N33" i="10" s="1"/>
  <c r="N39" i="10" s="1"/>
  <c r="F154" i="10"/>
  <c r="F158" i="10" s="1"/>
  <c r="F164" i="10" s="1"/>
  <c r="F170" i="10" s="1"/>
  <c r="F27" i="10"/>
  <c r="F33" i="10" s="1"/>
  <c r="F39" i="10" s="1"/>
  <c r="M27" i="10"/>
  <c r="M33" i="10" s="1"/>
  <c r="M39" i="10" s="1"/>
  <c r="M154" i="10"/>
  <c r="M158" i="10" s="1"/>
  <c r="M164" i="10" s="1"/>
  <c r="M170" i="10" s="1"/>
  <c r="E27" i="10"/>
  <c r="E33" i="10" s="1"/>
  <c r="E39" i="10" s="1"/>
  <c r="E154" i="10"/>
  <c r="E158" i="10" s="1"/>
  <c r="E164" i="10" s="1"/>
  <c r="E170" i="10" s="1"/>
  <c r="L154" i="10"/>
  <c r="L158" i="10" s="1"/>
  <c r="L164" i="10" s="1"/>
  <c r="L170" i="10" s="1"/>
  <c r="L27" i="10"/>
  <c r="L33" i="10" s="1"/>
  <c r="L39" i="10" s="1"/>
  <c r="P23" i="10"/>
  <c r="D154" i="10"/>
  <c r="D27" i="10"/>
  <c r="D33" i="10" s="1"/>
  <c r="D39" i="10" s="1"/>
  <c r="K154" i="10"/>
  <c r="K158" i="10" s="1"/>
  <c r="K164" i="10" s="1"/>
  <c r="K170" i="10" s="1"/>
  <c r="K27" i="10"/>
  <c r="K33" i="10" s="1"/>
  <c r="K39" i="10" s="1"/>
  <c r="D195" i="76" l="1"/>
  <c r="J194" i="76"/>
  <c r="T194" i="76" s="1"/>
  <c r="T20" i="76"/>
  <c r="J21" i="76"/>
  <c r="T21" i="76" s="1"/>
  <c r="P27" i="10"/>
  <c r="P33" i="10" s="1"/>
  <c r="P39" i="10" s="1"/>
  <c r="D158" i="10"/>
  <c r="D164" i="10" s="1"/>
  <c r="D170" i="10" s="1"/>
  <c r="P154" i="10"/>
  <c r="J195" i="76" l="1"/>
  <c r="T195" i="76" s="1"/>
  <c r="P158" i="10"/>
  <c r="P164" i="10" s="1"/>
  <c r="P170" i="10" s="1"/>
  <c r="E23" i="76" l="1"/>
  <c r="F23" i="76"/>
  <c r="D23" i="76"/>
  <c r="J23" i="76" l="1"/>
  <c r="D27" i="76"/>
  <c r="D33" i="76" s="1"/>
  <c r="D39" i="76" s="1"/>
  <c r="R22" i="44"/>
  <c r="D94" i="76" s="1"/>
  <c r="E27" i="76"/>
  <c r="E33" i="76" s="1"/>
  <c r="E39" i="76" s="1"/>
  <c r="E197" i="76"/>
  <c r="F27" i="76"/>
  <c r="F33" i="76" s="1"/>
  <c r="F39" i="76" s="1"/>
  <c r="Q23" i="10"/>
  <c r="E201" i="76" l="1"/>
  <c r="E207" i="76" s="1"/>
  <c r="E213" i="76" s="1"/>
  <c r="F94" i="76"/>
  <c r="J94" i="76" s="1"/>
  <c r="D197" i="76"/>
  <c r="D98" i="76"/>
  <c r="D104" i="76" s="1"/>
  <c r="J27" i="76"/>
  <c r="J33" i="76" s="1"/>
  <c r="T23" i="76"/>
  <c r="T27" i="76" s="1"/>
  <c r="J98" i="76" l="1"/>
  <c r="T94" i="76"/>
  <c r="T98" i="76" s="1"/>
  <c r="T104" i="76" s="1"/>
  <c r="J39" i="76"/>
  <c r="T39" i="76" s="1"/>
  <c r="T41" i="76" s="1"/>
  <c r="T33" i="76"/>
  <c r="D110" i="76"/>
  <c r="D201" i="76"/>
  <c r="F197" i="76"/>
  <c r="F98" i="76"/>
  <c r="F104" i="76" s="1"/>
  <c r="F110" i="76" s="1"/>
  <c r="F201" i="76" l="1"/>
  <c r="J104" i="76"/>
  <c r="F207" i="76"/>
  <c r="F213" i="76" s="1"/>
  <c r="D207" i="76"/>
  <c r="D213" i="76" s="1"/>
  <c r="J197" i="76"/>
  <c r="T197" i="76" s="1"/>
  <c r="J110" i="76"/>
  <c r="T110" i="76" s="1"/>
  <c r="J201" i="76" l="1"/>
  <c r="T201" i="76" s="1"/>
  <c r="J207" i="76" l="1"/>
  <c r="J213" i="76"/>
  <c r="T213" i="76" s="1"/>
  <c r="T207" i="7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tc={B959911E-1E2F-4BAC-916F-DD64F4008F08}</author>
  </authors>
  <commentList>
    <comment ref="P375" authorId="0" shapeId="0" xr:uid="{B959911E-1E2F-4BAC-916F-DD64F4008F08}">
      <text>
        <r>
          <rPr>
            <sz val="1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Included in MR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d897737</author>
    <author>Shawnna Jones</author>
  </authors>
  <commentList>
    <comment ref="F13" authorId="0" shapeId="0" xr:uid="{5F4BB016-5FD7-48B7-B39F-7989A6EFA496}">
      <text>
        <r>
          <rPr>
            <b/>
            <sz val="9"/>
            <color indexed="81"/>
            <rFont val="Tahoma"/>
            <family val="2"/>
          </rPr>
          <t>d897737:</t>
        </r>
        <r>
          <rPr>
            <sz val="9"/>
            <color indexed="81"/>
            <rFont val="Tahoma"/>
            <family val="2"/>
          </rPr>
          <t xml:space="preserve">
includes est bills</t>
        </r>
      </text>
    </comment>
    <comment ref="G159" authorId="1" shapeId="0" xr:uid="{00000000-0006-0000-0700-000001000000}">
      <text>
        <r>
          <rPr>
            <sz val="9"/>
            <color indexed="81"/>
            <rFont val="Tahoma"/>
            <family val="2"/>
          </rPr>
          <t>facilities revenue moved to account 454 misc. revenue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s343898</author>
  </authors>
  <commentList>
    <comment ref="B20" authorId="0" shapeId="0" xr:uid="{94369756-7D47-41C3-A2B3-AAFA4A3182D5}">
      <text>
        <r>
          <rPr>
            <b/>
            <sz val="9"/>
            <color indexed="81"/>
            <rFont val="Tahoma"/>
            <family val="2"/>
          </rPr>
          <t xml:space="preserve">Note: Demand = Basis Amount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<sst xmlns="http://schemas.openxmlformats.org/spreadsheetml/2006/main" count="3506" uniqueCount="499">
  <si>
    <t>DESCRIPTION</t>
  </si>
  <si>
    <t xml:space="preserve"> </t>
  </si>
  <si>
    <t>TOTAL</t>
  </si>
  <si>
    <t>BOOKED CUSTOMER COUNT</t>
  </si>
  <si>
    <t>SEC</t>
  </si>
  <si>
    <t>PRI</t>
  </si>
  <si>
    <t>TRA</t>
  </si>
  <si>
    <t>VOLT</t>
  </si>
  <si>
    <t>LINE</t>
  </si>
  <si>
    <t>1</t>
  </si>
  <si>
    <t>Average</t>
  </si>
  <si>
    <t>KW CUSTOMER ADJUSTMENT</t>
  </si>
  <si>
    <t>UNADJUSTED KWH AT SOURCE</t>
  </si>
  <si>
    <t>KWH CUSTOMER ADJUSTMENTS AT METER</t>
  </si>
  <si>
    <t>ADJUSTED KWH AT SOURCE</t>
  </si>
  <si>
    <t>TEST YEAR DATA BY RATE CLASS</t>
  </si>
  <si>
    <t>AVERAGE</t>
  </si>
  <si>
    <t>RESIDENTIAL SERVICE</t>
  </si>
  <si>
    <t>TOTAL SECONDARY &gt; 10 kW</t>
  </si>
  <si>
    <t>TOTAL PRIMARY</t>
  </si>
  <si>
    <r>
      <t xml:space="preserve">SECONDARY </t>
    </r>
    <r>
      <rPr>
        <u/>
        <sz val="8"/>
        <rFont val="Arial"/>
        <family val="2"/>
      </rPr>
      <t>&lt;</t>
    </r>
    <r>
      <rPr>
        <sz val="8"/>
        <rFont val="Arial"/>
        <family val="2"/>
      </rPr>
      <t xml:space="preserve"> 10 kW</t>
    </r>
  </si>
  <si>
    <t>LIGHTING</t>
  </si>
  <si>
    <t>TOTAL RETAIL</t>
  </si>
  <si>
    <t>TOTAL WHOLESALE</t>
  </si>
  <si>
    <t>Adjustment</t>
  </si>
  <si>
    <t>Year-end</t>
  </si>
  <si>
    <t>Customers</t>
  </si>
  <si>
    <t>Unadjusted</t>
  </si>
  <si>
    <t>Weather kWh</t>
  </si>
  <si>
    <t>Customer kWh</t>
  </si>
  <si>
    <t>Adjusted</t>
  </si>
  <si>
    <t>kWh</t>
  </si>
  <si>
    <t>Line</t>
  </si>
  <si>
    <t>JUN</t>
  </si>
  <si>
    <t>kWh at Meter</t>
  </si>
  <si>
    <t>Refer to Schedule II-H-1.1 for the summary of test year adjustments</t>
  </si>
  <si>
    <t>Other kWh</t>
  </si>
  <si>
    <t>ADJUSTED TRANSMISSION KW</t>
  </si>
  <si>
    <t>UNADJUSTED BILLING KWH AT METER</t>
  </si>
  <si>
    <t>ADJUSTED BILLING KWH AT METER</t>
  </si>
  <si>
    <t>ADJUSTED DISTRIBUTION BILLING KW</t>
  </si>
  <si>
    <t xml:space="preserve"> TRANSMISSION KW</t>
  </si>
  <si>
    <t>DISTRIBUTION BILLING KW</t>
  </si>
  <si>
    <t>ADJUSTED CUSTOMER COUNT</t>
  </si>
  <si>
    <t>CUSTOMER COUNT ADJUSTMENT</t>
  </si>
  <si>
    <t>Trans</t>
  </si>
  <si>
    <t>Pri</t>
  </si>
  <si>
    <t>Sec</t>
  </si>
  <si>
    <t>OTHER CUSTOMER COUNT ADJUSTMENT</t>
  </si>
  <si>
    <t xml:space="preserve">WEATHER ADJUSTMENT </t>
  </si>
  <si>
    <t>CUSTOMER ADJUSTMENT</t>
  </si>
  <si>
    <t>KW WEATHER ADJUSTMENT</t>
  </si>
  <si>
    <t>CUSTOMER COUNT ADJUSTMENT FACTOR</t>
  </si>
  <si>
    <t>OTHER KW ADJUSTMENTS</t>
  </si>
  <si>
    <t>WEATHER ADJUSTMENTS TO KWH AT METER</t>
  </si>
  <si>
    <t>OTHER KWH ADJUSTMENTS AT METER</t>
  </si>
  <si>
    <t>WEATHER ADJUSTMENTS TO KWH AT SOURCE</t>
  </si>
  <si>
    <t>OTHER KWH ADJUSTMENTS AT SOURCE</t>
  </si>
  <si>
    <t>KWH CUSTOMER ADJUSTMENTS AT SOURCE</t>
  </si>
  <si>
    <t>ENERGY EFFICIENCY RIDER ADJUSTMENT</t>
  </si>
  <si>
    <t>TRANSITION CHARGE RIDERS ADJUSTMENT</t>
  </si>
  <si>
    <t>UNADJUSTED BILLED REVENUE</t>
  </si>
  <si>
    <t>Total Base Tariff Revenue</t>
  </si>
  <si>
    <t>Distribution Service Revenue - Base Tariff</t>
  </si>
  <si>
    <t xml:space="preserve">Meter Revenue - Base Tariff </t>
  </si>
  <si>
    <t>Customer Revenue - Base Tariff</t>
  </si>
  <si>
    <t>WEATHER ADJUSTMENT</t>
  </si>
  <si>
    <t>Total Riders</t>
  </si>
  <si>
    <t>ADJUSTED BASE REVENUE</t>
  </si>
  <si>
    <t>WHOLESALE PRI</t>
  </si>
  <si>
    <t>WHOLESALE TRANS</t>
  </si>
  <si>
    <t>OTHER REVENUE ADJUSTMENTS</t>
  </si>
  <si>
    <t>Total Revenue</t>
  </si>
  <si>
    <t>cust</t>
  </si>
  <si>
    <t>meter</t>
  </si>
  <si>
    <t>tran rate</t>
  </si>
  <si>
    <t>dist rate</t>
  </si>
  <si>
    <t>Facilities Charge</t>
  </si>
  <si>
    <t>trans rate</t>
  </si>
  <si>
    <t>BASE TARIFF AND RIDER REVENUE ADJUSTMENTS</t>
  </si>
  <si>
    <t>Distribution Service Revenue - Base Tariff (Energy Efficiency)</t>
  </si>
  <si>
    <t>SECONDARY &gt; 10 kW NCP</t>
  </si>
  <si>
    <t>PRIMARY NCP</t>
  </si>
  <si>
    <t>PRIMARY 4CP</t>
  </si>
  <si>
    <r>
      <t>SECONDARY &gt;</t>
    </r>
    <r>
      <rPr>
        <sz val="8"/>
        <rFont val="Arial"/>
        <family val="2"/>
      </rPr>
      <t xml:space="preserve"> 10 kW NCP</t>
    </r>
  </si>
  <si>
    <t>SECONDARY &gt; 10 kW 4CP</t>
  </si>
  <si>
    <t xml:space="preserve">TRANSMISSION </t>
  </si>
  <si>
    <t>BILLED RIDER REVENUE</t>
  </si>
  <si>
    <t>TC3</t>
  </si>
  <si>
    <t>DCRF</t>
  </si>
  <si>
    <t>AEP TEXAS</t>
  </si>
  <si>
    <t xml:space="preserve">AEP TEXAS </t>
  </si>
  <si>
    <t>TOTAL AEP TEXAS</t>
  </si>
  <si>
    <t>II-H-3.3</t>
  </si>
  <si>
    <t>II-H-3.2</t>
  </si>
  <si>
    <t xml:space="preserve">TOTAL </t>
  </si>
  <si>
    <t>UNADJUSTED BILLING KWH</t>
  </si>
  <si>
    <t>KWH @ Meter</t>
  </si>
  <si>
    <t>KWH @ Source</t>
  </si>
  <si>
    <t>Percentage</t>
  </si>
  <si>
    <t>PUBLIC UTILITY COMMISSION OF TEXAS</t>
  </si>
  <si>
    <t>AEP TEXAS INC</t>
  </si>
  <si>
    <t>II-H-1.5  ADJUSTMENTS TO OPERATING STATISTICS</t>
  </si>
  <si>
    <t>TEST YEAR ENDING 12/31/2018</t>
  </si>
  <si>
    <t>Description</t>
  </si>
  <si>
    <t>This schedule provides a narrative explanation of all adjustments made to Test Year operating</t>
  </si>
  <si>
    <t>statistics provided in RFP Schedule II-H-1.</t>
  </si>
  <si>
    <t>Residential Service:  adjustment made for weather normalized kWh sales; annualize to</t>
  </si>
  <si>
    <t>year-end customer count and associated kWh sales.</t>
  </si>
  <si>
    <t>customer count and associated kWh sales.</t>
  </si>
  <si>
    <t>Transmission Service:  annualize to year-end customer count and associated kWh sales.</t>
  </si>
  <si>
    <t>Lighting Service:  annualize to year-end customer count and associated kWh sales.</t>
  </si>
  <si>
    <t>II-H-4.2 REVENUE CALCULATION METHODOLOGIES</t>
  </si>
  <si>
    <t>This schedule provides a narrative explanation fo the methodologies used to calculate the revenue</t>
  </si>
  <si>
    <t xml:space="preserve">items in RFP Schedule II-H-4.1.  The following adjustments were made to the test year revenue </t>
  </si>
  <si>
    <t>data:  (1) customer count adjustment; (2) weather adjustment; (3) removing rider revenues from</t>
  </si>
  <si>
    <t>electric sales revenue.</t>
  </si>
  <si>
    <t>The customer count adjustment recognizes the changes in customer counts during the test year</t>
  </si>
  <si>
    <t>and adjusts the electric sales revenue and sales data as if the test-year ending customer count had</t>
  </si>
  <si>
    <t>been the constant value the entire twelve-month period.  The adjusted customer counts and kWh</t>
  </si>
  <si>
    <t>associated kWh sales values are presented in RFP Schedule II-H-1.2 and RFP Schedule II-H-3.1.</t>
  </si>
  <si>
    <t>The resulting sales revenue adjustment provided in RFP Schedule II-H-4.1 reflects the change</t>
  </si>
  <si>
    <t>in customer count and kWh sales at the present tariff charge per customer or kWh.</t>
  </si>
  <si>
    <t>The weather adjustment adjusts electric sales revenue and sales data as if the test year had</t>
  </si>
  <si>
    <t>sales reflected in the RFP schedules.  The adjustment to kWh sales are provided in RFP Schedule</t>
  </si>
  <si>
    <t>II-H-1.2 and the resulting sales revenue adjustment provided in RFP Schedule II-H-4.1 reflects the</t>
  </si>
  <si>
    <t>revenue change at the present tariff charge per kWh.</t>
  </si>
  <si>
    <t>The adjustment that removes rider revenues from electric sales revenue exclude revnenues</t>
  </si>
  <si>
    <t xml:space="preserve">collected for specific purposes such as transition charges, energy efficiency cost recovery, </t>
  </si>
  <si>
    <t>transmission cost recovery, and nuclear decommissioning charges.  The associated expenses</t>
  </si>
  <si>
    <t>incurred for these activities are not included in the distribution cost-of-service, thus, the revenues</t>
  </si>
  <si>
    <t>collected for these activities are also excluded.</t>
  </si>
  <si>
    <t>II-H-1  SUMMARY OF TEST YEAR ADJUSTMENTS</t>
  </si>
  <si>
    <r>
      <t xml:space="preserve">Note: Secondary </t>
    </r>
    <r>
      <rPr>
        <u/>
        <sz val="8"/>
        <color indexed="8"/>
        <rFont val="Arial"/>
        <family val="2"/>
      </rPr>
      <t>&lt;</t>
    </r>
    <r>
      <rPr>
        <sz val="8"/>
        <color indexed="8"/>
        <rFont val="Arial"/>
        <family val="2"/>
      </rPr>
      <t xml:space="preserve"> 10 kW includes Unmetered service; Lighting customers are fixture counts.</t>
    </r>
  </si>
  <si>
    <t>II-H-1.1  TEST YEAR SALES DATA</t>
  </si>
  <si>
    <t>II-H-1.2  MONTHLY SALES DATA</t>
  </si>
  <si>
    <t>II-H-1.3  UNADJUSTED TEST YEAR KWH DATA</t>
  </si>
  <si>
    <r>
      <t xml:space="preserve">Secondary </t>
    </r>
    <r>
      <rPr>
        <sz val="8"/>
        <color theme="1"/>
        <rFont val="Calibri"/>
        <family val="2"/>
      </rPr>
      <t>≤</t>
    </r>
    <r>
      <rPr>
        <sz val="8"/>
        <color theme="1"/>
        <rFont val="Arial"/>
        <family val="2"/>
      </rPr>
      <t xml:space="preserve"> 10 kW Service:  adjustment made for weather normalized kWh sales; annualize to</t>
    </r>
  </si>
  <si>
    <r>
      <t xml:space="preserve">Secondary </t>
    </r>
    <r>
      <rPr>
        <sz val="8"/>
        <color theme="1"/>
        <rFont val="Calibri"/>
        <family val="2"/>
      </rPr>
      <t>≥</t>
    </r>
    <r>
      <rPr>
        <sz val="8"/>
        <color theme="1"/>
        <rFont val="Arial"/>
        <family val="2"/>
      </rPr>
      <t>10 kW Service:  adjustment made for weather normalized kWh sales; annualize to</t>
    </r>
  </si>
  <si>
    <t>II-H-3.1-3  CUSTOMER ADJUSTMENTS</t>
  </si>
  <si>
    <t>II-H-4.1  REVENUE IMPACTS FUNCTIONS</t>
  </si>
  <si>
    <t>II-H-4.1  REVENUE IMPACTS MONTHLY</t>
  </si>
  <si>
    <t>II-H-4.1 DIST KW ADJUSTMENTS</t>
  </si>
  <si>
    <t>II-H-4.1 TRAN KW ADJUSTMENTS</t>
  </si>
  <si>
    <t>RIDERS</t>
  </si>
  <si>
    <t>DOCKET NUMBER (PENDING ASSIGNMENT)</t>
  </si>
  <si>
    <t>TEST YEAR ENDING 9/30/2023</t>
  </si>
  <si>
    <t>FOR TEST YEAR ENDED SEPTEMBER 30, 2023</t>
  </si>
  <si>
    <t>PRIMARY SUB NCP</t>
  </si>
  <si>
    <t>PRIMARY SUB 4CP</t>
  </si>
  <si>
    <t>SECONDARY &lt; 10 kW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</si>
  <si>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</si>
  <si>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</si>
  <si>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</si>
  <si>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</si>
  <si>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</si>
  <si>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</si>
  <si>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</si>
  <si>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</si>
  <si>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</si>
  <si>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</si>
  <si>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</si>
  <si>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</si>
  <si>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EECR</t>
  </si>
  <si>
    <t>FITCR</t>
  </si>
  <si>
    <t>MTEEE</t>
  </si>
  <si>
    <t>TDCR</t>
  </si>
  <si>
    <t>TTCRR</t>
  </si>
  <si>
    <t>TTRAR</t>
  </si>
  <si>
    <t>All Riders</t>
  </si>
  <si>
    <t>Rate Class</t>
  </si>
  <si>
    <t>Rate Code</t>
  </si>
  <si>
    <t>Rate Long Description</t>
  </si>
  <si>
    <t>Short Code</t>
  </si>
  <si>
    <t xml:space="preserve">RESIDENTIAL                        </t>
  </si>
  <si>
    <t>RS</t>
  </si>
  <si>
    <t>Secondary</t>
  </si>
  <si>
    <t xml:space="preserve">RESIDENTIAL-SHARYLAND              </t>
  </si>
  <si>
    <t>Sec&lt;10</t>
  </si>
  <si>
    <t xml:space="preserve">RESIDENTIAL ERP                    </t>
  </si>
  <si>
    <t>Sec&gt;10 NCP</t>
  </si>
  <si>
    <t xml:space="preserve">SEC GS&lt;=10KW:METERD HIGHWAY LGHTIN </t>
  </si>
  <si>
    <t>Sec&gt;10 4CP</t>
  </si>
  <si>
    <t xml:space="preserve">SEC GS&lt;=10KW-SHARYLAND             </t>
  </si>
  <si>
    <t>Pri NCP</t>
  </si>
  <si>
    <t xml:space="preserve">SEC GS&lt;=10KW:RECREATIONAL NIGHT LT </t>
  </si>
  <si>
    <t>Pri 4CP</t>
  </si>
  <si>
    <t xml:space="preserve">SEC GS&lt;=10KW:COMMERCIAL DEMAND TC  </t>
  </si>
  <si>
    <t>Pri Sub NCP</t>
  </si>
  <si>
    <t xml:space="preserve">SEC GS&lt;=10KW:MUN PMP/CTTN GIN      </t>
  </si>
  <si>
    <t>Pri Sub 4cp</t>
  </si>
  <si>
    <t xml:space="preserve">SEC GS&lt;=10KW                       </t>
  </si>
  <si>
    <t>BS</t>
  </si>
  <si>
    <t>Battery Storage</t>
  </si>
  <si>
    <t>SEC GS&gt;10KW:RECREATIONAL NIGHT LGHT</t>
  </si>
  <si>
    <t>Trans IDR</t>
  </si>
  <si>
    <t xml:space="preserve">SEC COTTON GIN NCP                 </t>
  </si>
  <si>
    <t>Lighting</t>
  </si>
  <si>
    <t xml:space="preserve">SEC MUNI PUMP NCP                  </t>
  </si>
  <si>
    <t xml:space="preserve">SEC MUNI PUMP 4CP                  </t>
  </si>
  <si>
    <t xml:space="preserve">SEC COTTON GIN 4CP                 </t>
  </si>
  <si>
    <t xml:space="preserve">SEC NCP-SEASONAL AGRICULTURE       </t>
  </si>
  <si>
    <t xml:space="preserve">SEC 4CP-SEASONAL AGRICULTURE       </t>
  </si>
  <si>
    <t xml:space="preserve">SEC GS&gt;10KW IRRIGATION NCP         </t>
  </si>
  <si>
    <t xml:space="preserve">SEC GS&gt;10KW IRRIGATION 4CP         </t>
  </si>
  <si>
    <t xml:space="preserve">PRIMARY SERVICE NCP                </t>
  </si>
  <si>
    <t xml:space="preserve">PRIMARY SERVICE 4CP                </t>
  </si>
  <si>
    <t xml:space="preserve">PRI SERVICE-IRRIGATION NCP         </t>
  </si>
  <si>
    <t xml:space="preserve">PRI SERVICE-IRRIGATION 4CP         </t>
  </si>
  <si>
    <t xml:space="preserve">PRI SVC 4CP-SEASONAL AGRICULTURE   </t>
  </si>
  <si>
    <t xml:space="preserve">PRIMARY SERV-MUNI PUMP NCP         </t>
  </si>
  <si>
    <t xml:space="preserve">PRIMARY SERV-MUNI PUMP 4CP         </t>
  </si>
  <si>
    <t xml:space="preserve">SECONDARY UNMETERED SERVICE        </t>
  </si>
  <si>
    <t>SEC UNMTR SV-CUST OWN &amp; TRAF SIGNAL</t>
  </si>
  <si>
    <t>SEC UNMTR SERV-CUST OWN FLOOD LIGHT</t>
  </si>
  <si>
    <t xml:space="preserve">SEC 4CP-COM DEM TC/CTC/EMC SURCH   </t>
  </si>
  <si>
    <t xml:space="preserve">SEC NCP-COMM ENERGY TC             </t>
  </si>
  <si>
    <t xml:space="preserve">SEC 4CP-COMM ENERGY TC             </t>
  </si>
  <si>
    <t xml:space="preserve">SEC NCP-COMM DEMAND TC             </t>
  </si>
  <si>
    <t xml:space="preserve">SEC 4CP-COMM DEMAND TC             </t>
  </si>
  <si>
    <t xml:space="preserve">TRANSMISSION SERV:NON-INDUSTRIAL   </t>
  </si>
  <si>
    <t>TRNS SRV:NON-IND/LG IND FRM TC CHGS</t>
  </si>
  <si>
    <t xml:space="preserve">TRANSMISSION INDUSTRIAL-OCL        </t>
  </si>
  <si>
    <t xml:space="preserve">TRNS SRV:NON-IND COMMERCIAL DEMAND </t>
  </si>
  <si>
    <t>TRANSM NONIND MULTI TC/EMC SURCHRGS</t>
  </si>
  <si>
    <t xml:space="preserve">TRNS SRV-LRG IND STANDBY FIRM OCL  </t>
  </si>
  <si>
    <t>TRNS SRV-LRG IND NONFIRM O/CITY LMT</t>
  </si>
  <si>
    <t>TRNS SRV-LRG IND STANDBY NONFRM OCL</t>
  </si>
  <si>
    <t>TRNS SRV-LRG IND STANDBY NONFRM ICL</t>
  </si>
  <si>
    <t xml:space="preserve">TRNS SRV-LRG IND FIRM-OCL          </t>
  </si>
  <si>
    <t>TRNS SRV-LRG IND NFRM-DSTR&amp;JRCC ICL</t>
  </si>
  <si>
    <t xml:space="preserve">SEC NCP-SHARYLAND                  </t>
  </si>
  <si>
    <t xml:space="preserve">SEC 4CP-SHARYLAND                  </t>
  </si>
  <si>
    <t xml:space="preserve">PRIMARY SVC NCP - SHARYLAND        </t>
  </si>
  <si>
    <t xml:space="preserve">PRIMARY SVC 4CP - SHARYLAND        </t>
  </si>
  <si>
    <t xml:space="preserve">175W MV NON-ROADWAY LIGHT          </t>
  </si>
  <si>
    <t xml:space="preserve">400W MV NON-ROADWAY LIGHT          </t>
  </si>
  <si>
    <t xml:space="preserve">100W HPS NON-ROADWAY LIGHT         </t>
  </si>
  <si>
    <t xml:space="preserve">150W HPS NON-ROADWAY LIGHT         </t>
  </si>
  <si>
    <t xml:space="preserve">250W HPS NON-ROADWAY LIGHT         </t>
  </si>
  <si>
    <t xml:space="preserve">100W HPS FLOOD NON-ROADWAY LIGHT   </t>
  </si>
  <si>
    <t xml:space="preserve">250W HPS FLOOD NON-ROADWAY LIGHT   </t>
  </si>
  <si>
    <t xml:space="preserve">400W HPS FLOOD NON-ROADWAY LIGHT   </t>
  </si>
  <si>
    <t xml:space="preserve">1000W HPS FLOOD NON-ROADWAY LIGHT  </t>
  </si>
  <si>
    <t xml:space="preserve">250W MH FLOOD NON-ROADWAY LIGHT    </t>
  </si>
  <si>
    <t xml:space="preserve">400W MH FLOOD NON-ROADWAY LIGHT    </t>
  </si>
  <si>
    <t>1000W MH 6X7FLOOD NON-ROADWAY LIGHT</t>
  </si>
  <si>
    <t>1000W MH 3X3FLOOD NON-ROADWAY LIGHT</t>
  </si>
  <si>
    <t xml:space="preserve">1000METAL HALIDE - FLOOD           </t>
  </si>
  <si>
    <t xml:space="preserve">70W HPS NON-ROADWAY LIGHT          </t>
  </si>
  <si>
    <t xml:space="preserve">150W HPS FLOOD NON-ROADWAY LIGHT   </t>
  </si>
  <si>
    <t xml:space="preserve">20-60 W LED NON-ROADWAY LIGHT      </t>
  </si>
  <si>
    <t xml:space="preserve">61-100 W LED NON-ROADWAY LIGHT     </t>
  </si>
  <si>
    <t xml:space="preserve">120-160 W LED NON-ROADWAY LIGHT    </t>
  </si>
  <si>
    <t xml:space="preserve">200-240 W LED NON-ROADWAY LIGHT    </t>
  </si>
  <si>
    <t>40-80 W LED OPEN BOTTOM NON-RDWY LT</t>
  </si>
  <si>
    <t>130-170W LED FLOODLIGHT NON-RDWY LT</t>
  </si>
  <si>
    <t xml:space="preserve">&gt;240W LED NON-RDWY FLOODLIGHT      </t>
  </si>
  <si>
    <t>100W MV MUNICIPAL STREET LT SERVICE</t>
  </si>
  <si>
    <t>175W MV MUNICIPAL STREET LT SERVICE</t>
  </si>
  <si>
    <t>400W MV MUNICIPAL STREET LT SERVICE</t>
  </si>
  <si>
    <t>35W LPS MUNICIPAL STREET LT SERVICE</t>
  </si>
  <si>
    <t>55W LPS MUNICIPAL STREET LT SERVICE</t>
  </si>
  <si>
    <t>90W LPS MUNICIPAL STREET LT SERVICE</t>
  </si>
  <si>
    <t xml:space="preserve">70W HPS MUNCIPAL STREET LT SERVICE </t>
  </si>
  <si>
    <t>100W HPS MUNCIPAL STREET LT SERVICE</t>
  </si>
  <si>
    <t>150W HPS MUNCIPAL STREET LT SERVICE</t>
  </si>
  <si>
    <t>250W HPS MUNCIPAL STREET LT SERVICE</t>
  </si>
  <si>
    <t>400W HPS MUNCIPAL STREET LT SERVICE</t>
  </si>
  <si>
    <t xml:space="preserve">1000W HPS MUNICIPAL ST LT SERVICE  </t>
  </si>
  <si>
    <t xml:space="preserve">150W MH MUNCIPAL STREET LT SERVICE </t>
  </si>
  <si>
    <t xml:space="preserve">175W MH MUNCIPAL STREET LT SERVICE </t>
  </si>
  <si>
    <t xml:space="preserve">250W MH MUNCIPAL STREET LT SERVICE </t>
  </si>
  <si>
    <t xml:space="preserve">400W MH MUNCIPAL STREET LT SERVICE </t>
  </si>
  <si>
    <t xml:space="preserve">400W MH MUNICIPAL ST LT SERVICE    </t>
  </si>
  <si>
    <t xml:space="preserve">1000W MH MUNICIPAL ST LT SERVICE   </t>
  </si>
  <si>
    <t>175W MH MUNI SL-MCALLEN,ODEM,UVALDE</t>
  </si>
  <si>
    <t>100W HPS MUNISL-MCALLEN,ODEM,UVALDE</t>
  </si>
  <si>
    <t>150W MH MUNI SL-MCALLEN,ODEM,UVALDE</t>
  </si>
  <si>
    <t xml:space="preserve">MUNI SL 20-60 W LED                </t>
  </si>
  <si>
    <t xml:space="preserve">MUNI SL 61-100 W LED               </t>
  </si>
  <si>
    <t xml:space="preserve">MUNI SL 120-160 W LED              </t>
  </si>
  <si>
    <t xml:space="preserve">MUNI SL 200-240 W LED              </t>
  </si>
  <si>
    <t xml:space="preserve">MUNI SL 130-170 W LED - FLOODLIGHT </t>
  </si>
  <si>
    <t>MUNI SL &gt;240 W LED FLOODLIGHT</t>
  </si>
  <si>
    <t xml:space="preserve">150W HPS MUNI SL-SHARYLAND         </t>
  </si>
  <si>
    <t xml:space="preserve">250W HPS MUNI SL-SHARYLAND         </t>
  </si>
  <si>
    <t xml:space="preserve">400W HPS MUNI SL-SHARYLAND         </t>
  </si>
  <si>
    <t xml:space="preserve">175W MH MUNI SL-SHARYLAND          </t>
  </si>
  <si>
    <t xml:space="preserve">400W MH MUNI SL-SHARYLAND          </t>
  </si>
  <si>
    <t>MUNI SL 61-100W LED LO KLVN-SHARYLN</t>
  </si>
  <si>
    <t>Primary Sub NCP</t>
  </si>
  <si>
    <t>Primary Sub 4CP</t>
  </si>
  <si>
    <t>#108</t>
  </si>
  <si>
    <t>Description #108</t>
  </si>
  <si>
    <t>#109</t>
  </si>
  <si>
    <t>Description #109</t>
  </si>
  <si>
    <t>#110</t>
  </si>
  <si>
    <t>Description #110</t>
  </si>
  <si>
    <t>Base Rate Meter Revenue</t>
  </si>
  <si>
    <t>TC2 included</t>
  </si>
  <si>
    <t>+TC2</t>
  </si>
  <si>
    <t>TTRAR RIDER ADJUSTMENT</t>
  </si>
  <si>
    <t>TDCR RIDER ADJUSTMENT</t>
  </si>
  <si>
    <t>Miscellaneous Riders</t>
  </si>
  <si>
    <t>sales of elec</t>
  </si>
  <si>
    <t>less riders</t>
  </si>
  <si>
    <t>cust adj</t>
  </si>
  <si>
    <t>weather adj</t>
  </si>
  <si>
    <t>Dist</t>
  </si>
  <si>
    <t>TCRF Revenue</t>
  </si>
  <si>
    <t>DCRF Revenue</t>
  </si>
  <si>
    <t>Reasonable check for totals</t>
  </si>
  <si>
    <t>Mo/Year</t>
  </si>
  <si>
    <t>Grand Totals</t>
  </si>
  <si>
    <t>Rider Revenue</t>
  </si>
  <si>
    <t>Distr Base Revenue</t>
  </si>
  <si>
    <t>Transmission Base Revenue</t>
  </si>
  <si>
    <t>D</t>
  </si>
  <si>
    <t xml:space="preserve"> Sales of Electricity - NCP</t>
  </si>
  <si>
    <t xml:space="preserve"> Sales of Electricity - 4CP</t>
  </si>
  <si>
    <t>Rider Revenue - NCP</t>
  </si>
  <si>
    <t>Rider Revenue -4CP</t>
  </si>
  <si>
    <t>T-Revenue - NCP</t>
  </si>
  <si>
    <t>T-Revenue - 4CP</t>
  </si>
  <si>
    <t>D-Revenue - NCP</t>
  </si>
  <si>
    <t>D-Revenue - 4CP</t>
  </si>
  <si>
    <t>Billed kWh - NCP</t>
  </si>
  <si>
    <t>Billed kWh - 4CP</t>
  </si>
  <si>
    <t>TEST YEAR ENDING 09/30/2023</t>
  </si>
  <si>
    <t>Transm Demand - NCP</t>
  </si>
  <si>
    <t>Transm Demand - 4CP</t>
  </si>
  <si>
    <t>AEP Texas Test Year Revenues - TCRF and DCRF</t>
  </si>
  <si>
    <t>TCRF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</si>
  <si>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</si>
  <si>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</si>
  <si>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</si>
  <si>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</si>
  <si>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</si>
  <si>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</si>
  <si>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</si>
  <si>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</si>
  <si>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</si>
  <si>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</si>
  <si>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</si>
  <si>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</si>
  <si>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Total</t>
  </si>
  <si>
    <t>Residential</t>
  </si>
  <si>
    <t>Secondary &lt;= 10 kW</t>
  </si>
  <si>
    <t>Secondary &gt; 10 kW NCP</t>
  </si>
  <si>
    <t>Secondary &gt; 10 kW 4CP</t>
  </si>
  <si>
    <t>Primary NCP</t>
  </si>
  <si>
    <t>Primary 4CP</t>
  </si>
  <si>
    <t>Transmission</t>
  </si>
  <si>
    <t>Total Test Year TCRF</t>
  </si>
  <si>
    <t xml:space="preserve">Transmission </t>
  </si>
  <si>
    <t>Total Test Year DCRF</t>
  </si>
  <si>
    <t>TDCR Test Year Total</t>
  </si>
  <si>
    <t>Adj base rev</t>
  </si>
  <si>
    <t>unadj base rev</t>
  </si>
  <si>
    <t>Est Bills</t>
  </si>
  <si>
    <t>experienced normal weather.  AEP Texas witness Trenton Feasel provided the weather adjusted kWh</t>
  </si>
  <si>
    <t>Dist - Demand -NCP</t>
  </si>
  <si>
    <t>Rev Meter NCP</t>
  </si>
  <si>
    <t>Rev Meter 4CP</t>
  </si>
  <si>
    <t>Rev Customer -NCP</t>
  </si>
  <si>
    <t>Rev Customer -4CP</t>
  </si>
  <si>
    <t>See  Individual Rider Data on Primary Sub Account's Test Year</t>
  </si>
  <si>
    <t>Sales of ELE Amt</t>
  </si>
  <si>
    <t>COVID</t>
  </si>
  <si>
    <t>CMTRC</t>
  </si>
  <si>
    <t>SBPSD</t>
  </si>
  <si>
    <t>&amp;&amp;&amp;&amp;&amp;&amp;</t>
  </si>
  <si>
    <t>NMSCE</t>
  </si>
  <si>
    <t>NDPRI</t>
  </si>
  <si>
    <t>TXMSF</t>
  </si>
  <si>
    <t>CTCPS</t>
  </si>
  <si>
    <t>EECPS</t>
  </si>
  <si>
    <t>SR1PR</t>
  </si>
  <si>
    <t>PISIA</t>
  </si>
  <si>
    <t>RCSPS</t>
  </si>
  <si>
    <t>RC2PS</t>
  </si>
  <si>
    <t xml:space="preserve">TDCR </t>
  </si>
  <si>
    <t>CDTC3</t>
  </si>
  <si>
    <t>EEAPS</t>
  </si>
  <si>
    <t>CDTCE</t>
  </si>
  <si>
    <t>RRCRE</t>
  </si>
  <si>
    <t>BRFPI</t>
  </si>
  <si>
    <t>CDTC2</t>
  </si>
  <si>
    <t>SR1CE</t>
  </si>
  <si>
    <t>TXMSG</t>
  </si>
  <si>
    <t>AMSPR</t>
  </si>
  <si>
    <t>CIDTC</t>
  </si>
  <si>
    <t>CDCTC</t>
  </si>
  <si>
    <t>CETCE</t>
  </si>
  <si>
    <t>BRFPN</t>
  </si>
  <si>
    <t>CITC3</t>
  </si>
  <si>
    <t>CIETC</t>
  </si>
  <si>
    <t>CITC2</t>
  </si>
  <si>
    <t>CECTC</t>
  </si>
  <si>
    <t>Tariff Code</t>
  </si>
  <si>
    <t>Tariff Cd Desc</t>
  </si>
  <si>
    <t>Tariff Long Dscrp</t>
  </si>
  <si>
    <t>Bill Acct Nb</t>
  </si>
  <si>
    <t>842</t>
  </si>
  <si>
    <t xml:space="preserve">PS  PRIM </t>
  </si>
  <si>
    <t xml:space="preserve">PRIM SERV - 4CP                    </t>
  </si>
  <si>
    <t>9796458120</t>
  </si>
  <si>
    <t>9709302500</t>
  </si>
  <si>
    <t>9756771080</t>
  </si>
  <si>
    <t>9724587412</t>
  </si>
  <si>
    <t>9785942190</t>
  </si>
  <si>
    <t>9768622300</t>
  </si>
  <si>
    <t>9733141890</t>
  </si>
  <si>
    <t>9765995390</t>
  </si>
  <si>
    <t>9766710700</t>
  </si>
  <si>
    <t>9793136022</t>
  </si>
  <si>
    <t>9784125080</t>
  </si>
  <si>
    <t>9748644901</t>
  </si>
  <si>
    <t>9738646420</t>
  </si>
  <si>
    <t>9704275920</t>
  </si>
  <si>
    <t>9797960390</t>
  </si>
  <si>
    <t>9734597720</t>
  </si>
  <si>
    <t>9737901920</t>
  </si>
  <si>
    <t>9753232850</t>
  </si>
  <si>
    <t>9745267411</t>
  </si>
  <si>
    <t>9718245970</t>
  </si>
  <si>
    <t>9753497770</t>
  </si>
  <si>
    <t>9755227380</t>
  </si>
  <si>
    <t>9790915310</t>
  </si>
  <si>
    <t>9716280670</t>
  </si>
  <si>
    <t>9758902550</t>
  </si>
  <si>
    <t>9717362290</t>
  </si>
  <si>
    <t>9774925150</t>
  </si>
  <si>
    <t>9707375921</t>
  </si>
  <si>
    <t>9743901920</t>
  </si>
  <si>
    <t>9729877410</t>
  </si>
  <si>
    <t>9762491523</t>
  </si>
  <si>
    <t>9773626170</t>
  </si>
  <si>
    <t>9700130380</t>
  </si>
  <si>
    <t>9746144900</t>
  </si>
  <si>
    <t xml:space="preserve">PRI 4CP  </t>
  </si>
  <si>
    <t>9495820502</t>
  </si>
  <si>
    <t>9446275500</t>
  </si>
  <si>
    <t>9450007800</t>
  </si>
  <si>
    <t>9433857450</t>
  </si>
  <si>
    <t>9408927700</t>
  </si>
  <si>
    <t>9433308010</t>
  </si>
  <si>
    <t>9498993180</t>
  </si>
  <si>
    <t>9401309412</t>
  </si>
  <si>
    <t>9466366050</t>
  </si>
  <si>
    <t>9414963270</t>
  </si>
  <si>
    <t>9431693050</t>
  </si>
  <si>
    <t>9459537440</t>
  </si>
  <si>
    <t>9469705690</t>
  </si>
  <si>
    <t>9422815830</t>
  </si>
  <si>
    <t>9401310460</t>
  </si>
  <si>
    <t>9473215830</t>
  </si>
  <si>
    <t>9408406290</t>
  </si>
  <si>
    <t>9443950740</t>
  </si>
  <si>
    <t>9494733301</t>
  </si>
  <si>
    <t>9481079210</t>
  </si>
  <si>
    <t>9469227480</t>
  </si>
  <si>
    <t>9408346480</t>
  </si>
  <si>
    <t>9472775450</t>
  </si>
  <si>
    <t>842 Total</t>
  </si>
  <si>
    <t>845</t>
  </si>
  <si>
    <t xml:space="preserve">PRI AGRI </t>
  </si>
  <si>
    <t>9411215830</t>
  </si>
  <si>
    <t>845 Total</t>
  </si>
  <si>
    <t>841</t>
  </si>
  <si>
    <t xml:space="preserve">PRI NCP  </t>
  </si>
  <si>
    <t>9499676980</t>
  </si>
  <si>
    <t>9493570530</t>
  </si>
  <si>
    <t>9403628390</t>
  </si>
  <si>
    <t>9472853450</t>
  </si>
  <si>
    <t xml:space="preserve">PRIM SERV NCP                      </t>
  </si>
  <si>
    <t>9756149860</t>
  </si>
  <si>
    <t>9714055851</t>
  </si>
  <si>
    <t>9766314310</t>
  </si>
  <si>
    <t>9774374771</t>
  </si>
  <si>
    <t>9756435725</t>
  </si>
  <si>
    <t>841 Total</t>
  </si>
  <si>
    <t>Grand Total</t>
  </si>
  <si>
    <t>CMTR</t>
  </si>
  <si>
    <t>AMSCR</t>
  </si>
  <si>
    <t>D Rev</t>
  </si>
  <si>
    <t>T Rev</t>
  </si>
  <si>
    <t>Facilites moved to MR</t>
  </si>
  <si>
    <t>Dist - Demand -4CP</t>
  </si>
  <si>
    <t>Unadj Base</t>
  </si>
  <si>
    <t>SRC</t>
  </si>
  <si>
    <t>SRC RIDER ADJUSTMENT</t>
  </si>
  <si>
    <t>MISC RIDER ADJUSTMENT</t>
  </si>
  <si>
    <t>MOBILE GEN RIDER ADJUSTMENT</t>
  </si>
  <si>
    <t>Primary Service:  Segmented into primary line and primary substation; adjustment made for weather normalized kWh sales; annualize to year-end</t>
  </si>
  <si>
    <t>DOCKET 56165</t>
  </si>
  <si>
    <t>2023 Final</t>
  </si>
  <si>
    <r>
      <t xml:space="preserve">Note: Secondary </t>
    </r>
    <r>
      <rPr>
        <u/>
        <sz val="8"/>
        <rFont val="Arial"/>
        <family val="2"/>
      </rPr>
      <t>&lt;</t>
    </r>
    <r>
      <rPr>
        <sz val="8"/>
        <rFont val="Arial"/>
        <family val="2"/>
      </rPr>
      <t xml:space="preserve"> 10 kW includes Unmetered service; Lighting customers are fixture counts.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</si>
</sst>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#,##0.0"/>
    <numFmt numFmtId="167" formatCode="#,##0.0_);\(#,##0.0\)"/>
    <numFmt numFmtId="168" formatCode="0.0000%"/>
    <numFmt numFmtId="169" formatCode="_(* #,##0.00000_);_(* \(#,##0.00000\);_(* &quot;-&quot;_);_(@_)"/>
    <numFmt numFmtId="170" formatCode="m/d"/>
    <numFmt numFmtId="171" formatCode="_(&quot;$&quot;* #,##0_);_(&quot;$&quot;* \(#,##0\);_(&quot;$&quot;* &quot;-&quot;??_);_(@_)"/>
    <numFmt numFmtId="172" formatCode="_(* #,##0.000000_);_(* \(#,##0.000000\);_(* &quot;-&quot;??_);_(@_)"/>
    <numFmt numFmtId="173" formatCode="0.000000"/>
    <numFmt numFmtId="174" formatCode="0.000"/>
    <numFmt numFmtId="175" formatCode="_(&quot;$&quot;* #,##0.000000_);_(&quot;$&quot;* \(#,##0.000000\);_(&quot;$&quot;* &quot;-&quot;??_);_(@_)"/>
    <numFmt numFmtId="176" formatCode="0.00000"/>
    <numFmt numFmtId="177" formatCode="&quot;$&quot;#,##0"/>
    <numFmt numFmtId="178" formatCode="#,##0.##"/>
  </numFmts>
  <fonts count="54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b/>
      <sz val="8"/>
      <name val="MS Sans Serif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10"/>
      <name val="Helv"/>
    </font>
    <font>
      <sz val="8"/>
      <color indexed="12"/>
      <name val="Arial"/>
      <family val="2"/>
    </font>
    <font>
      <b/>
      <sz val="8"/>
      <name val="MS Sans Serif"/>
      <family val="2"/>
    </font>
    <font>
      <b/>
      <sz val="8"/>
      <color indexed="10"/>
      <name val="Arial"/>
      <family val="2"/>
    </font>
    <font>
      <u/>
      <sz val="8"/>
      <name val="Arial"/>
      <family val="2"/>
    </font>
    <font>
      <sz val="8"/>
      <color indexed="10"/>
      <name val="Arial"/>
      <family val="2"/>
    </font>
    <font>
      <sz val="8"/>
      <name val="MS Sans Serif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8"/>
      <color indexed="8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u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0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theme="1"/>
      <name val="Calibri"/>
      <family val="2"/>
      <scheme val="minor"/>
    </font>
    <font>
      <b/>
      <sz val="8"/>
      <color rgb="FFFF0000"/>
      <name val="Arial"/>
      <family val="2"/>
    </font>
    <font>
      <sz val="8"/>
      <color theme="0"/>
      <name val="Arial"/>
      <family val="2"/>
    </font>
    <font>
      <sz val="10"/>
      <color theme="1"/>
      <name val="Tahoma"/>
      <family val="2"/>
    </font>
    <font>
      <b/>
      <sz val="10"/>
      <color rgb="FF00B0F0"/>
      <name val="Tahoma"/>
      <family val="2"/>
    </font>
    <font>
      <b/>
      <sz val="10"/>
      <color theme="1"/>
      <name val="Tahoma"/>
      <family val="2"/>
    </font>
    <font>
      <b/>
      <u/>
      <sz val="10"/>
      <color theme="1"/>
      <name val="Tahoma"/>
      <family val="2"/>
    </font>
    <font>
      <sz val="8"/>
      <color rgb="FF00B050"/>
      <name val="Arial"/>
      <family val="2"/>
    </font>
    <font>
      <sz val="12"/>
      <color theme="1"/>
      <name val="Times New Roman"/>
      <family val="1"/>
    </font>
    <font>
      <sz val="12"/>
      <color rgb="FF343334"/>
      <name val="Times New Roman"/>
      <family val="1"/>
    </font>
    <font>
      <b/>
      <sz val="12"/>
      <color rgb="FF343334"/>
      <name val="Times New Roman"/>
      <family val="1"/>
    </font>
    <font>
      <b/>
      <sz val="10"/>
      <color rgb="FF00B050"/>
      <name val="Tahoma"/>
      <family val="2"/>
    </font>
    <font>
      <u/>
      <sz val="10"/>
      <color theme="1"/>
      <name val="Tahoma"/>
      <family val="2"/>
    </font>
    <font>
      <b/>
      <sz val="10"/>
      <color rgb="FF222222"/>
      <name val="Andale WT"/>
      <family val="2"/>
    </font>
    <font>
      <sz val="10"/>
      <color rgb="FF222222"/>
      <name val="Andale WT"/>
      <family val="2"/>
    </font>
    <font>
      <sz val="10"/>
      <color rgb="FFFF0066"/>
      <name val="Andale WT"/>
      <family val="2"/>
    </font>
    <font>
      <sz val="10"/>
      <color rgb="FF00B050"/>
      <name val="Andale WT"/>
      <family val="2"/>
    </font>
    <font>
      <sz val="10"/>
      <color theme="3" tint="0.39997558519241921"/>
      <name val="Andale WT"/>
      <family val="2"/>
    </font>
    <font>
      <sz val="10"/>
      <color theme="5" tint="-0.249977111117893"/>
      <name val="Andale WT"/>
      <family val="2"/>
    </font>
    <font>
      <sz val="10"/>
      <color theme="7" tint="0.39997558519241921"/>
      <name val="Andale WT"/>
      <family val="2"/>
    </font>
    <font>
      <sz val="10"/>
      <color theme="6" tint="-0.249977111117893"/>
      <name val="Andale WT"/>
      <family val="2"/>
    </font>
    <font>
      <sz val="10"/>
      <color theme="9" tint="-0.249977111117893"/>
      <name val="Andale WT"/>
      <family val="2"/>
    </font>
    <font>
      <b/>
      <sz val="10"/>
      <color rgb="FF222222"/>
      <name val="Andale WT"/>
    </font>
    <font>
      <sz val="10"/>
      <color theme="4"/>
      <name val="Andale WT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EAEA"/>
      </patternFill>
    </fill>
    <fill>
      <patternFill patternType="solid">
        <fgColor rgb="FFE2F1EE"/>
      </patternFill>
    </fill>
    <fill>
      <patternFill patternType="solid">
        <fgColor rgb="FFE7E5E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</borders>
  <cellStyleXfs count="11">
    <xf numFmtId="0" fontId="0" fillId="0" borderId="0"/>
    <xf numFmtId="43" fontId="3" fillId="0" borderId="0" applyFont="0" applyFill="0" applyBorder="0" applyAlignment="0" applyProtection="0"/>
    <xf numFmtId="3" fontId="12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1" fillId="0" borderId="0"/>
    <xf numFmtId="0" fontId="33" fillId="0" borderId="0"/>
    <xf numFmtId="43" fontId="33" fillId="0" borderId="0" applyFont="0" applyFill="0" applyBorder="0" applyAlignment="0" applyProtection="0"/>
    <xf numFmtId="44" fontId="33" fillId="0" borderId="0" applyFont="0" applyFill="0" applyBorder="0" applyAlignment="0" applyProtection="0"/>
  </cellStyleXfs>
  <cellXfs count="48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Continuous"/>
    </xf>
    <xf numFmtId="40" fontId="2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37" fontId="5" fillId="0" borderId="0" xfId="1" applyNumberFormat="1" applyFont="1"/>
    <xf numFmtId="0" fontId="4" fillId="0" borderId="0" xfId="0" applyFont="1" applyBorder="1"/>
    <xf numFmtId="0" fontId="7" fillId="0" borderId="0" xfId="0" applyFont="1" applyAlignment="1">
      <alignment horizontal="center"/>
    </xf>
    <xf numFmtId="37" fontId="5" fillId="0" borderId="1" xfId="1" applyNumberFormat="1" applyFont="1" applyBorder="1"/>
    <xf numFmtId="0" fontId="7" fillId="0" borderId="0" xfId="0" applyFont="1"/>
    <xf numFmtId="37" fontId="4" fillId="0" borderId="0" xfId="1" applyNumberFormat="1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6" fontId="7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Continuous"/>
    </xf>
    <xf numFmtId="0" fontId="11" fillId="0" borderId="0" xfId="0" applyFont="1" applyAlignment="1">
      <alignment horizontal="center"/>
    </xf>
    <xf numFmtId="165" fontId="10" fillId="0" borderId="0" xfId="1" applyNumberFormat="1" applyFont="1"/>
    <xf numFmtId="165" fontId="11" fillId="0" borderId="0" xfId="1" applyNumberFormat="1" applyFont="1"/>
    <xf numFmtId="165" fontId="10" fillId="0" borderId="0" xfId="1" applyNumberFormat="1" applyFont="1" applyAlignment="1">
      <alignment horizontal="center"/>
    </xf>
    <xf numFmtId="165" fontId="11" fillId="0" borderId="0" xfId="1" applyNumberFormat="1" applyFont="1" applyAlignment="1">
      <alignment horizontal="center"/>
    </xf>
    <xf numFmtId="167" fontId="2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165" fontId="6" fillId="0" borderId="0" xfId="1" applyNumberFormat="1" applyFont="1" applyBorder="1"/>
    <xf numFmtId="37" fontId="10" fillId="0" borderId="0" xfId="1" applyNumberFormat="1" applyFont="1" applyAlignment="1">
      <alignment horizontal="right"/>
    </xf>
    <xf numFmtId="37" fontId="13" fillId="0" borderId="0" xfId="1" applyNumberFormat="1" applyFont="1"/>
    <xf numFmtId="0" fontId="1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165" fontId="6" fillId="0" borderId="0" xfId="1" applyNumberFormat="1" applyFont="1"/>
    <xf numFmtId="37" fontId="6" fillId="0" borderId="0" xfId="0" applyNumberFormat="1" applyFont="1"/>
    <xf numFmtId="0" fontId="6" fillId="0" borderId="0" xfId="0" applyFont="1"/>
    <xf numFmtId="165" fontId="6" fillId="0" borderId="2" xfId="1" applyNumberFormat="1" applyFont="1" applyBorder="1"/>
    <xf numFmtId="0" fontId="6" fillId="0" borderId="0" xfId="0" applyFont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0" xfId="0" applyFont="1"/>
    <xf numFmtId="165" fontId="5" fillId="0" borderId="0" xfId="1" applyNumberFormat="1" applyFont="1"/>
    <xf numFmtId="37" fontId="6" fillId="0" borderId="0" xfId="0" applyNumberFormat="1" applyFont="1" applyBorder="1"/>
    <xf numFmtId="165" fontId="6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165" fontId="4" fillId="0" borderId="0" xfId="1" applyNumberFormat="1" applyFont="1"/>
    <xf numFmtId="0" fontId="6" fillId="0" borderId="0" xfId="0" quotePrefix="1" applyFont="1" applyAlignment="1">
      <alignment horizontal="center"/>
    </xf>
    <xf numFmtId="169" fontId="4" fillId="0" borderId="0" xfId="0" applyNumberFormat="1" applyFont="1" applyBorder="1"/>
    <xf numFmtId="0" fontId="10" fillId="0" borderId="0" xfId="0" applyFont="1"/>
    <xf numFmtId="0" fontId="5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165" fontId="5" fillId="0" borderId="0" xfId="1" applyNumberFormat="1" applyFont="1" applyAlignment="1"/>
    <xf numFmtId="165" fontId="10" fillId="0" borderId="0" xfId="1" applyNumberFormat="1" applyFont="1" applyAlignment="1"/>
    <xf numFmtId="37" fontId="5" fillId="0" borderId="0" xfId="1" applyNumberFormat="1" applyFont="1" applyAlignment="1"/>
    <xf numFmtId="0" fontId="5" fillId="0" borderId="0" xfId="0" applyFont="1" applyAlignment="1">
      <alignment horizontal="right"/>
    </xf>
    <xf numFmtId="37" fontId="5" fillId="0" borderId="0" xfId="0" applyNumberFormat="1" applyFont="1" applyAlignment="1">
      <alignment horizontal="right"/>
    </xf>
    <xf numFmtId="37" fontId="5" fillId="0" borderId="0" xfId="0" applyNumberFormat="1" applyFont="1"/>
    <xf numFmtId="0" fontId="9" fillId="0" borderId="0" xfId="0" applyFont="1" applyAlignment="1">
      <alignment horizontal="left"/>
    </xf>
    <xf numFmtId="37" fontId="5" fillId="0" borderId="3" xfId="1" applyNumberFormat="1" applyFont="1" applyBorder="1"/>
    <xf numFmtId="0" fontId="11" fillId="0" borderId="0" xfId="0" applyFont="1" applyBorder="1"/>
    <xf numFmtId="0" fontId="7" fillId="0" borderId="0" xfId="0" applyFont="1" applyBorder="1"/>
    <xf numFmtId="0" fontId="11" fillId="0" borderId="0" xfId="0" applyFont="1" applyBorder="1" applyAlignment="1">
      <alignment horizontal="left"/>
    </xf>
    <xf numFmtId="165" fontId="6" fillId="0" borderId="0" xfId="0" applyNumberFormat="1" applyFont="1" applyBorder="1"/>
    <xf numFmtId="37" fontId="6" fillId="0" borderId="2" xfId="0" applyNumberFormat="1" applyFont="1" applyBorder="1"/>
    <xf numFmtId="37" fontId="6" fillId="0" borderId="1" xfId="0" applyNumberFormat="1" applyFont="1" applyBorder="1"/>
    <xf numFmtId="10" fontId="6" fillId="0" borderId="0" xfId="5" applyNumberFormat="1" applyFont="1"/>
    <xf numFmtId="10" fontId="6" fillId="0" borderId="2" xfId="5" applyNumberFormat="1" applyFont="1" applyBorder="1"/>
    <xf numFmtId="10" fontId="6" fillId="0" borderId="1" xfId="5" applyNumberFormat="1" applyFont="1" applyBorder="1"/>
    <xf numFmtId="0" fontId="6" fillId="0" borderId="0" xfId="0" applyFont="1" applyFill="1" applyBorder="1"/>
    <xf numFmtId="0" fontId="11" fillId="0" borderId="0" xfId="0" applyFont="1" applyFill="1" applyAlignment="1">
      <alignment horizontal="center"/>
    </xf>
    <xf numFmtId="0" fontId="3" fillId="0" borderId="0" xfId="0" applyFont="1" applyFill="1"/>
    <xf numFmtId="165" fontId="6" fillId="0" borderId="0" xfId="1" applyNumberFormat="1" applyFont="1" applyFill="1"/>
    <xf numFmtId="165" fontId="6" fillId="0" borderId="2" xfId="1" applyNumberFormat="1" applyFont="1" applyFill="1" applyBorder="1"/>
    <xf numFmtId="0" fontId="15" fillId="0" borderId="0" xfId="0" applyFont="1" applyFill="1" applyAlignment="1">
      <alignment horizontal="left"/>
    </xf>
    <xf numFmtId="0" fontId="6" fillId="0" borderId="0" xfId="0" applyFont="1" applyFill="1" applyBorder="1" applyAlignment="1">
      <alignment horizontal="center"/>
    </xf>
    <xf numFmtId="0" fontId="0" fillId="0" borderId="0" xfId="0" applyFill="1"/>
    <xf numFmtId="37" fontId="5" fillId="0" borderId="0" xfId="1" applyNumberFormat="1" applyFont="1" applyFill="1" applyBorder="1"/>
    <xf numFmtId="165" fontId="5" fillId="0" borderId="0" xfId="1" applyNumberFormat="1" applyFont="1" applyFill="1" applyBorder="1"/>
    <xf numFmtId="0" fontId="6" fillId="0" borderId="0" xfId="0" applyFont="1" applyFill="1"/>
    <xf numFmtId="37" fontId="6" fillId="0" borderId="0" xfId="0" applyNumberFormat="1" applyFont="1" applyFill="1"/>
    <xf numFmtId="0" fontId="4" fillId="0" borderId="0" xfId="0" applyFont="1" applyFill="1" applyAlignment="1">
      <alignment horizontal="centerContinuous"/>
    </xf>
    <xf numFmtId="0" fontId="2" fillId="0" borderId="0" xfId="0" applyFont="1" applyFill="1"/>
    <xf numFmtId="167" fontId="4" fillId="0" borderId="0" xfId="0" applyNumberFormat="1" applyFont="1" applyFill="1" applyAlignment="1">
      <alignment horizontal="centerContinuous"/>
    </xf>
    <xf numFmtId="0" fontId="6" fillId="0" borderId="0" xfId="0" quotePrefix="1" applyFont="1" applyFill="1" applyAlignment="1">
      <alignment horizontal="center"/>
    </xf>
    <xf numFmtId="165" fontId="6" fillId="0" borderId="0" xfId="1" applyNumberFormat="1" applyFont="1" applyFill="1" applyBorder="1"/>
    <xf numFmtId="0" fontId="6" fillId="0" borderId="0" xfId="0" applyFont="1" applyFill="1" applyAlignment="1">
      <alignment horizontal="center"/>
    </xf>
    <xf numFmtId="165" fontId="6" fillId="0" borderId="0" xfId="0" applyNumberFormat="1" applyFont="1" applyFill="1" applyBorder="1"/>
    <xf numFmtId="0" fontId="4" fillId="0" borderId="0" xfId="0" applyFont="1" applyFill="1"/>
    <xf numFmtId="37" fontId="4" fillId="0" borderId="0" xfId="1" applyNumberFormat="1" applyFont="1" applyFill="1" applyAlignment="1">
      <alignment horizontal="centerContinuous"/>
    </xf>
    <xf numFmtId="0" fontId="4" fillId="0" borderId="0" xfId="0" applyFont="1" applyFill="1" applyBorder="1"/>
    <xf numFmtId="171" fontId="6" fillId="0" borderId="0" xfId="3" applyNumberFormat="1" applyFont="1" applyFill="1"/>
    <xf numFmtId="39" fontId="5" fillId="0" borderId="0" xfId="0" applyNumberFormat="1" applyFont="1"/>
    <xf numFmtId="0" fontId="11" fillId="0" borderId="0" xfId="0" applyFont="1" applyFill="1" applyAlignment="1">
      <alignment horizontal="left"/>
    </xf>
    <xf numFmtId="37" fontId="6" fillId="0" borderId="0" xfId="1" applyNumberFormat="1" applyFont="1" applyFill="1"/>
    <xf numFmtId="165" fontId="5" fillId="0" borderId="0" xfId="1" applyNumberFormat="1" applyFont="1" applyFill="1"/>
    <xf numFmtId="10" fontId="6" fillId="0" borderId="0" xfId="5" applyNumberFormat="1" applyFont="1" applyBorder="1"/>
    <xf numFmtId="0" fontId="5" fillId="0" borderId="0" xfId="0" applyFont="1" applyFill="1" applyAlignment="1">
      <alignment horizontal="left"/>
    </xf>
    <xf numFmtId="165" fontId="10" fillId="0" borderId="0" xfId="1" applyNumberFormat="1" applyFont="1" applyFill="1" applyAlignment="1">
      <alignment horizontal="center"/>
    </xf>
    <xf numFmtId="37" fontId="5" fillId="0" borderId="2" xfId="1" applyNumberFormat="1" applyFont="1" applyFill="1" applyBorder="1"/>
    <xf numFmtId="0" fontId="4" fillId="0" borderId="0" xfId="0" applyFont="1" applyFill="1" applyAlignment="1">
      <alignment horizontal="center"/>
    </xf>
    <xf numFmtId="37" fontId="5" fillId="0" borderId="0" xfId="1" applyNumberFormat="1" applyFont="1" applyFill="1"/>
    <xf numFmtId="37" fontId="4" fillId="0" borderId="0" xfId="1" applyNumberFormat="1" applyFont="1" applyFill="1"/>
    <xf numFmtId="37" fontId="13" fillId="0" borderId="0" xfId="1" applyNumberFormat="1" applyFont="1" applyFill="1"/>
    <xf numFmtId="37" fontId="6" fillId="0" borderId="0" xfId="1" applyNumberFormat="1" applyFont="1" applyFill="1" applyBorder="1"/>
    <xf numFmtId="37" fontId="6" fillId="0" borderId="2" xfId="1" applyNumberFormat="1" applyFont="1" applyFill="1" applyBorder="1"/>
    <xf numFmtId="0" fontId="4" fillId="0" borderId="0" xfId="0" applyFont="1" applyFill="1" applyAlignment="1">
      <alignment horizontal="right"/>
    </xf>
    <xf numFmtId="0" fontId="8" fillId="0" borderId="0" xfId="0" applyFont="1" applyFill="1" applyAlignment="1">
      <alignment horizontal="left"/>
    </xf>
    <xf numFmtId="170" fontId="10" fillId="0" borderId="0" xfId="1" quotePrefix="1" applyNumberFormat="1" applyFont="1" applyFill="1" applyAlignment="1">
      <alignment horizontal="center"/>
    </xf>
    <xf numFmtId="165" fontId="10" fillId="0" borderId="0" xfId="1" applyNumberFormat="1" applyFont="1" applyFill="1"/>
    <xf numFmtId="165" fontId="11" fillId="0" borderId="0" xfId="1" applyNumberFormat="1" applyFont="1" applyFill="1"/>
    <xf numFmtId="165" fontId="11" fillId="0" borderId="0" xfId="1" applyNumberFormat="1" applyFont="1" applyFill="1" applyAlignment="1">
      <alignment horizontal="center"/>
    </xf>
    <xf numFmtId="0" fontId="11" fillId="0" borderId="0" xfId="0" quotePrefix="1" applyFont="1" applyFill="1" applyAlignment="1">
      <alignment horizontal="center"/>
    </xf>
    <xf numFmtId="0" fontId="11" fillId="0" borderId="0" xfId="0" applyFont="1" applyFill="1" applyAlignment="1">
      <alignment horizontal="right"/>
    </xf>
    <xf numFmtId="171" fontId="5" fillId="0" borderId="0" xfId="3" applyNumberFormat="1" applyFont="1" applyFill="1" applyBorder="1"/>
    <xf numFmtId="0" fontId="11" fillId="0" borderId="0" xfId="0" applyFont="1" applyFill="1" applyBorder="1" applyAlignment="1">
      <alignment horizontal="left"/>
    </xf>
    <xf numFmtId="37" fontId="5" fillId="0" borderId="3" xfId="1" applyNumberFormat="1" applyFont="1" applyFill="1" applyBorder="1"/>
    <xf numFmtId="165" fontId="6" fillId="0" borderId="0" xfId="0" applyNumberFormat="1" applyFont="1" applyFill="1" applyAlignment="1">
      <alignment horizontal="center"/>
    </xf>
    <xf numFmtId="171" fontId="5" fillId="0" borderId="1" xfId="3" applyNumberFormat="1" applyFont="1" applyFill="1" applyBorder="1"/>
    <xf numFmtId="171" fontId="0" fillId="0" borderId="0" xfId="0" applyNumberFormat="1" applyFill="1"/>
    <xf numFmtId="170" fontId="8" fillId="0" borderId="0" xfId="1" quotePrefix="1" applyNumberFormat="1" applyFont="1" applyAlignment="1">
      <alignment horizontal="center"/>
    </xf>
    <xf numFmtId="0" fontId="18" fillId="0" borderId="0" xfId="0" applyFont="1" applyAlignment="1">
      <alignment horizontal="left"/>
    </xf>
    <xf numFmtId="37" fontId="3" fillId="0" borderId="0" xfId="0" applyNumberFormat="1" applyFont="1" applyFill="1"/>
    <xf numFmtId="0" fontId="0" fillId="0" borderId="0" xfId="0" applyFill="1" applyBorder="1"/>
    <xf numFmtId="165" fontId="10" fillId="0" borderId="0" xfId="1" applyNumberFormat="1" applyFont="1" applyFill="1" applyBorder="1" applyAlignment="1">
      <alignment horizontal="center"/>
    </xf>
    <xf numFmtId="171" fontId="6" fillId="0" borderId="0" xfId="3" applyNumberFormat="1" applyFont="1" applyFill="1" applyBorder="1"/>
    <xf numFmtId="37" fontId="6" fillId="0" borderId="0" xfId="0" applyNumberFormat="1" applyFont="1" applyFill="1" applyBorder="1"/>
    <xf numFmtId="37" fontId="6" fillId="0" borderId="2" xfId="0" applyNumberFormat="1" applyFont="1" applyFill="1" applyBorder="1"/>
    <xf numFmtId="37" fontId="13" fillId="0" borderId="0" xfId="1" applyNumberFormat="1" applyFont="1" applyFill="1" applyBorder="1"/>
    <xf numFmtId="171" fontId="6" fillId="0" borderId="0" xfId="0" applyNumberFormat="1" applyFont="1" applyFill="1" applyBorder="1"/>
    <xf numFmtId="165" fontId="6" fillId="0" borderId="3" xfId="1" applyNumberFormat="1" applyFont="1" applyFill="1" applyBorder="1"/>
    <xf numFmtId="171" fontId="6" fillId="0" borderId="1" xfId="3" applyNumberFormat="1" applyFont="1" applyFill="1" applyBorder="1"/>
    <xf numFmtId="0" fontId="4" fillId="0" borderId="0" xfId="0" applyFont="1" applyFill="1" applyAlignment="1">
      <alignment horizontal="left"/>
    </xf>
    <xf numFmtId="165" fontId="22" fillId="0" borderId="0" xfId="1" applyNumberFormat="1" applyFont="1" applyFill="1"/>
    <xf numFmtId="0" fontId="17" fillId="0" borderId="0" xfId="0" applyFont="1" applyFill="1" applyBorder="1"/>
    <xf numFmtId="0" fontId="7" fillId="0" borderId="0" xfId="0" applyFont="1" applyAlignment="1"/>
    <xf numFmtId="0" fontId="7" fillId="0" borderId="0" xfId="0" applyFont="1" applyBorder="1" applyAlignment="1">
      <alignment horizontal="left"/>
    </xf>
    <xf numFmtId="43" fontId="4" fillId="0" borderId="0" xfId="0" applyNumberFormat="1" applyFont="1" applyFill="1" applyBorder="1"/>
    <xf numFmtId="172" fontId="4" fillId="0" borderId="0" xfId="1" applyNumberFormat="1" applyFont="1" applyFill="1" applyBorder="1"/>
    <xf numFmtId="171" fontId="4" fillId="0" borderId="0" xfId="0" applyNumberFormat="1" applyFont="1" applyFill="1" applyBorder="1"/>
    <xf numFmtId="170" fontId="7" fillId="0" borderId="0" xfId="1" quotePrefix="1" applyNumberFormat="1" applyFont="1" applyAlignment="1">
      <alignment horizontal="center"/>
    </xf>
    <xf numFmtId="171" fontId="11" fillId="0" borderId="0" xfId="0" applyNumberFormat="1" applyFont="1" applyFill="1" applyAlignment="1">
      <alignment horizontal="center"/>
    </xf>
    <xf numFmtId="165" fontId="7" fillId="0" borderId="0" xfId="1" applyNumberFormat="1" applyFont="1" applyFill="1" applyAlignment="1">
      <alignment horizontal="center" wrapText="1"/>
    </xf>
    <xf numFmtId="165" fontId="8" fillId="0" borderId="0" xfId="1" applyNumberFormat="1" applyFont="1" applyFill="1" applyAlignment="1">
      <alignment horizontal="center" wrapText="1"/>
    </xf>
    <xf numFmtId="0" fontId="11" fillId="0" borderId="0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0" fontId="10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37" fontId="5" fillId="0" borderId="1" xfId="1" applyNumberFormat="1" applyFont="1" applyFill="1" applyBorder="1"/>
    <xf numFmtId="171" fontId="6" fillId="0" borderId="2" xfId="3" applyNumberFormat="1" applyFont="1" applyFill="1" applyBorder="1"/>
    <xf numFmtId="165" fontId="6" fillId="0" borderId="3" xfId="0" applyNumberFormat="1" applyFont="1" applyFill="1" applyBorder="1"/>
    <xf numFmtId="0" fontId="6" fillId="0" borderId="2" xfId="0" applyFont="1" applyFill="1" applyBorder="1"/>
    <xf numFmtId="37" fontId="10" fillId="0" borderId="0" xfId="1" applyNumberFormat="1" applyFont="1" applyFill="1" applyAlignment="1">
      <alignment horizontal="right"/>
    </xf>
    <xf numFmtId="0" fontId="14" fillId="0" borderId="0" xfId="0" quotePrefix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37" fontId="10" fillId="0" borderId="0" xfId="1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37" fontId="4" fillId="0" borderId="0" xfId="1" applyNumberFormat="1" applyFont="1" applyFill="1" applyBorder="1"/>
    <xf numFmtId="0" fontId="9" fillId="0" borderId="0" xfId="0" quotePrefix="1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9" fillId="0" borderId="0" xfId="0" applyFont="1" applyFill="1" applyAlignment="1">
      <alignment horizontal="right"/>
    </xf>
    <xf numFmtId="170" fontId="11" fillId="0" borderId="0" xfId="0" applyNumberFormat="1" applyFont="1" applyFill="1" applyAlignment="1">
      <alignment horizontal="center"/>
    </xf>
    <xf numFmtId="37" fontId="10" fillId="0" borderId="0" xfId="1" applyNumberFormat="1" applyFont="1" applyFill="1" applyAlignment="1">
      <alignment horizontal="center"/>
    </xf>
    <xf numFmtId="165" fontId="11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left"/>
    </xf>
    <xf numFmtId="169" fontId="4" fillId="0" borderId="0" xfId="0" applyNumberFormat="1" applyFont="1" applyFill="1" applyBorder="1"/>
    <xf numFmtId="165" fontId="10" fillId="0" borderId="0" xfId="1" quotePrefix="1" applyNumberFormat="1" applyFont="1" applyFill="1" applyAlignment="1">
      <alignment horizontal="center"/>
    </xf>
    <xf numFmtId="41" fontId="4" fillId="0" borderId="0" xfId="0" applyNumberFormat="1" applyFont="1" applyFill="1" applyBorder="1"/>
    <xf numFmtId="41" fontId="4" fillId="0" borderId="0" xfId="0" applyNumberFormat="1" applyFont="1" applyFill="1"/>
    <xf numFmtId="166" fontId="4" fillId="0" borderId="0" xfId="0" applyNumberFormat="1" applyFont="1" applyFill="1"/>
    <xf numFmtId="0" fontId="7" fillId="0" borderId="0" xfId="0" applyFont="1" applyFill="1" applyBorder="1" applyAlignment="1">
      <alignment horizontal="centerContinuous"/>
    </xf>
    <xf numFmtId="0" fontId="7" fillId="0" borderId="0" xfId="0" applyFont="1" applyFill="1" applyAlignment="1">
      <alignment horizontal="centerContinuous"/>
    </xf>
    <xf numFmtId="167" fontId="7" fillId="0" borderId="0" xfId="0" applyNumberFormat="1" applyFont="1" applyFill="1" applyAlignment="1">
      <alignment horizontal="centerContinuous"/>
    </xf>
    <xf numFmtId="167" fontId="7" fillId="0" borderId="0" xfId="0" applyNumberFormat="1" applyFont="1" applyFill="1" applyAlignment="1">
      <alignment horizontal="center"/>
    </xf>
    <xf numFmtId="43" fontId="6" fillId="0" borderId="0" xfId="1" applyNumberFormat="1" applyFont="1" applyFill="1"/>
    <xf numFmtId="37" fontId="4" fillId="0" borderId="0" xfId="0" applyNumberFormat="1" applyFont="1" applyFill="1" applyAlignment="1">
      <alignment horizontal="right"/>
    </xf>
    <xf numFmtId="165" fontId="4" fillId="0" borderId="0" xfId="1" applyNumberFormat="1" applyFont="1" applyFill="1"/>
    <xf numFmtId="37" fontId="0" fillId="0" borderId="0" xfId="0" applyNumberFormat="1" applyFill="1"/>
    <xf numFmtId="0" fontId="11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Continuous"/>
    </xf>
    <xf numFmtId="40" fontId="2" fillId="0" borderId="0" xfId="0" applyNumberFormat="1" applyFont="1" applyFill="1"/>
    <xf numFmtId="166" fontId="7" fillId="0" borderId="0" xfId="0" applyNumberFormat="1" applyFont="1" applyFill="1" applyAlignment="1">
      <alignment horizontal="center"/>
    </xf>
    <xf numFmtId="167" fontId="2" fillId="0" borderId="0" xfId="0" applyNumberFormat="1" applyFont="1" applyFill="1"/>
    <xf numFmtId="170" fontId="8" fillId="0" borderId="0" xfId="1" quotePrefix="1" applyNumberFormat="1" applyFont="1" applyFill="1" applyAlignment="1">
      <alignment horizontal="center"/>
    </xf>
    <xf numFmtId="165" fontId="8" fillId="0" borderId="0" xfId="1" applyNumberFormat="1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wrapText="1"/>
    </xf>
    <xf numFmtId="10" fontId="6" fillId="0" borderId="0" xfId="5" applyNumberFormat="1" applyFont="1" applyFill="1" applyBorder="1"/>
    <xf numFmtId="10" fontId="5" fillId="0" borderId="0" xfId="5" applyNumberFormat="1" applyFont="1" applyFill="1" applyBorder="1"/>
    <xf numFmtId="165" fontId="10" fillId="0" borderId="0" xfId="1" applyNumberFormat="1" applyFont="1" applyFill="1" applyAlignment="1">
      <alignment horizontal="center" wrapText="1"/>
    </xf>
    <xf numFmtId="165" fontId="10" fillId="0" borderId="0" xfId="1" applyNumberFormat="1" applyFont="1" applyFill="1" applyBorder="1" applyAlignment="1">
      <alignment horizontal="center" wrapText="1"/>
    </xf>
    <xf numFmtId="171" fontId="4" fillId="0" borderId="0" xfId="0" applyNumberFormat="1" applyFont="1" applyBorder="1"/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37" fontId="6" fillId="0" borderId="0" xfId="0" applyNumberFormat="1" applyFont="1" applyAlignment="1">
      <alignment horizontal="center"/>
    </xf>
    <xf numFmtId="37" fontId="6" fillId="0" borderId="0" xfId="0" applyNumberFormat="1" applyFont="1" applyBorder="1" applyAlignment="1">
      <alignment horizontal="center"/>
    </xf>
    <xf numFmtId="37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0" fontId="6" fillId="0" borderId="0" xfId="5" applyNumberFormat="1" applyFont="1" applyAlignment="1">
      <alignment horizontal="right"/>
    </xf>
    <xf numFmtId="0" fontId="7" fillId="0" borderId="4" xfId="4" applyFont="1" applyFill="1" applyBorder="1" applyAlignment="1">
      <alignment horizontal="left"/>
    </xf>
    <xf numFmtId="0" fontId="7" fillId="0" borderId="5" xfId="4" applyFont="1" applyFill="1" applyBorder="1"/>
    <xf numFmtId="0" fontId="7" fillId="0" borderId="5" xfId="4" applyFont="1" applyFill="1" applyBorder="1" applyAlignment="1">
      <alignment horizontal="left"/>
    </xf>
    <xf numFmtId="0" fontId="7" fillId="0" borderId="6" xfId="4" applyFont="1" applyFill="1" applyBorder="1" applyAlignment="1">
      <alignment horizontal="left"/>
    </xf>
    <xf numFmtId="0" fontId="23" fillId="0" borderId="0" xfId="7" applyFont="1"/>
    <xf numFmtId="0" fontId="24" fillId="0" borderId="0" xfId="7" applyFont="1"/>
    <xf numFmtId="0" fontId="23" fillId="0" borderId="0" xfId="7" applyFont="1" applyAlignment="1">
      <alignment horizontal="center"/>
    </xf>
    <xf numFmtId="0" fontId="7" fillId="0" borderId="0" xfId="4" applyFont="1" applyFill="1" applyBorder="1" applyAlignment="1">
      <alignment horizontal="left"/>
    </xf>
    <xf numFmtId="0" fontId="11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0" fontId="11" fillId="0" borderId="0" xfId="0" applyFont="1" applyAlignment="1"/>
    <xf numFmtId="165" fontId="6" fillId="0" borderId="7" xfId="1" applyNumberFormat="1" applyFont="1" applyFill="1" applyBorder="1"/>
    <xf numFmtId="49" fontId="8" fillId="0" borderId="0" xfId="1" applyNumberFormat="1" applyFont="1" applyAlignment="1">
      <alignment horizontal="center"/>
    </xf>
    <xf numFmtId="37" fontId="6" fillId="0" borderId="7" xfId="0" applyNumberFormat="1" applyFont="1" applyBorder="1" applyAlignment="1">
      <alignment horizontal="center"/>
    </xf>
    <xf numFmtId="10" fontId="6" fillId="0" borderId="7" xfId="5" applyNumberFormat="1" applyFont="1" applyBorder="1" applyAlignment="1">
      <alignment horizontal="right"/>
    </xf>
    <xf numFmtId="10" fontId="6" fillId="0" borderId="7" xfId="5" applyNumberFormat="1" applyFont="1" applyBorder="1"/>
    <xf numFmtId="165" fontId="6" fillId="0" borderId="7" xfId="1" applyNumberFormat="1" applyFont="1" applyBorder="1"/>
    <xf numFmtId="0" fontId="26" fillId="0" borderId="0" xfId="0" applyFont="1" applyFill="1"/>
    <xf numFmtId="171" fontId="0" fillId="0" borderId="0" xfId="3" applyNumberFormat="1" applyFont="1" applyFill="1"/>
    <xf numFmtId="171" fontId="26" fillId="0" borderId="0" xfId="3" applyNumberFormat="1" applyFont="1" applyFill="1"/>
    <xf numFmtId="171" fontId="11" fillId="0" borderId="0" xfId="3" applyNumberFormat="1" applyFont="1" applyFill="1" applyAlignment="1">
      <alignment horizontal="center"/>
    </xf>
    <xf numFmtId="171" fontId="7" fillId="0" borderId="0" xfId="3" quotePrefix="1" applyNumberFormat="1" applyFont="1" applyFill="1" applyAlignment="1">
      <alignment horizontal="center"/>
    </xf>
    <xf numFmtId="171" fontId="10" fillId="0" borderId="0" xfId="3" applyNumberFormat="1" applyFont="1" applyFill="1"/>
    <xf numFmtId="171" fontId="8" fillId="0" borderId="0" xfId="3" quotePrefix="1" applyNumberFormat="1" applyFont="1" applyFill="1" applyAlignment="1">
      <alignment horizontal="center"/>
    </xf>
    <xf numFmtId="171" fontId="5" fillId="0" borderId="0" xfId="3" applyNumberFormat="1" applyFont="1" applyFill="1"/>
    <xf numFmtId="171" fontId="10" fillId="0" borderId="0" xfId="3" applyNumberFormat="1" applyFont="1" applyFill="1" applyAlignment="1">
      <alignment horizontal="center"/>
    </xf>
    <xf numFmtId="171" fontId="6" fillId="0" borderId="7" xfId="3" applyNumberFormat="1" applyFont="1" applyFill="1" applyBorder="1"/>
    <xf numFmtId="171" fontId="5" fillId="0" borderId="3" xfId="3" applyNumberFormat="1" applyFont="1" applyFill="1" applyBorder="1"/>
    <xf numFmtId="171" fontId="0" fillId="0" borderId="0" xfId="3" applyNumberFormat="1" applyFont="1"/>
    <xf numFmtId="0" fontId="6" fillId="0" borderId="0" xfId="3" applyNumberFormat="1" applyFont="1" applyFill="1"/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7" fillId="0" borderId="8" xfId="0" applyFont="1" applyBorder="1" applyAlignment="1">
      <alignment vertical="center"/>
    </xf>
    <xf numFmtId="0" fontId="27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vertical="center"/>
    </xf>
    <xf numFmtId="0" fontId="27" fillId="0" borderId="10" xfId="0" applyFont="1" applyBorder="1" applyAlignment="1">
      <alignment vertical="center"/>
    </xf>
    <xf numFmtId="0" fontId="28" fillId="0" borderId="8" xfId="0" applyFont="1" applyBorder="1"/>
    <xf numFmtId="0" fontId="29" fillId="0" borderId="9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9" fillId="3" borderId="12" xfId="0" applyFont="1" applyFill="1" applyBorder="1" applyAlignment="1">
      <alignment horizontal="center" vertical="center"/>
    </xf>
    <xf numFmtId="0" fontId="29" fillId="3" borderId="13" xfId="0" applyFont="1" applyFill="1" applyBorder="1" applyAlignment="1">
      <alignment horizontal="center" vertical="center"/>
    </xf>
    <xf numFmtId="0" fontId="29" fillId="3" borderId="14" xfId="0" applyFont="1" applyFill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11" xfId="0" applyFont="1" applyBorder="1"/>
    <xf numFmtId="0" fontId="29" fillId="3" borderId="16" xfId="0" applyFont="1" applyFill="1" applyBorder="1" applyAlignment="1">
      <alignment horizontal="center" vertical="center"/>
    </xf>
    <xf numFmtId="0" fontId="29" fillId="3" borderId="17" xfId="0" applyFont="1" applyFill="1" applyBorder="1" applyAlignment="1">
      <alignment horizontal="center" vertical="center"/>
    </xf>
    <xf numFmtId="0" fontId="27" fillId="0" borderId="15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27" fillId="0" borderId="11" xfId="0" applyFont="1" applyBorder="1" applyAlignment="1">
      <alignment vertical="center"/>
    </xf>
    <xf numFmtId="0" fontId="30" fillId="0" borderId="0" xfId="0" applyFont="1"/>
    <xf numFmtId="0" fontId="27" fillId="0" borderId="0" xfId="0" quotePrefix="1" applyFont="1" applyAlignment="1">
      <alignment horizontal="center" vertical="center"/>
    </xf>
    <xf numFmtId="0" fontId="27" fillId="0" borderId="18" xfId="0" applyFont="1" applyBorder="1"/>
    <xf numFmtId="0" fontId="27" fillId="0" borderId="19" xfId="0" applyFont="1" applyBorder="1" applyAlignment="1">
      <alignment vertical="center"/>
    </xf>
    <xf numFmtId="0" fontId="30" fillId="0" borderId="19" xfId="0" applyFont="1" applyBorder="1"/>
    <xf numFmtId="0" fontId="27" fillId="0" borderId="20" xfId="0" applyFont="1" applyBorder="1" applyAlignment="1">
      <alignment vertical="center"/>
    </xf>
    <xf numFmtId="0" fontId="27" fillId="0" borderId="0" xfId="0" applyFont="1"/>
    <xf numFmtId="0" fontId="27" fillId="4" borderId="0" xfId="0" applyFont="1" applyFill="1" applyAlignment="1">
      <alignment horizontal="center" vertical="center"/>
    </xf>
    <xf numFmtId="0" fontId="27" fillId="4" borderId="0" xfId="0" applyFont="1" applyFill="1" applyAlignment="1">
      <alignment vertical="center"/>
    </xf>
    <xf numFmtId="0" fontId="27" fillId="0" borderId="18" xfId="0" applyFont="1" applyBorder="1" applyAlignment="1">
      <alignment vertical="center"/>
    </xf>
    <xf numFmtId="0" fontId="27" fillId="0" borderId="19" xfId="0" applyFont="1" applyBorder="1" applyAlignment="1">
      <alignment horizontal="center" vertical="center"/>
    </xf>
    <xf numFmtId="0" fontId="31" fillId="0" borderId="0" xfId="0" applyFont="1" applyFill="1" applyAlignment="1">
      <alignment horizontal="left"/>
    </xf>
    <xf numFmtId="0" fontId="22" fillId="0" borderId="0" xfId="0" applyFont="1" applyFill="1"/>
    <xf numFmtId="0" fontId="32" fillId="0" borderId="0" xfId="0" applyFont="1" applyFill="1"/>
    <xf numFmtId="0" fontId="0" fillId="0" borderId="7" xfId="0" applyFill="1" applyBorder="1"/>
    <xf numFmtId="0" fontId="4" fillId="0" borderId="7" xfId="0" applyFont="1" applyFill="1" applyBorder="1"/>
    <xf numFmtId="0" fontId="15" fillId="0" borderId="7" xfId="0" applyFont="1" applyFill="1" applyBorder="1" applyAlignment="1">
      <alignment horizontal="left"/>
    </xf>
    <xf numFmtId="0" fontId="4" fillId="0" borderId="7" xfId="0" applyFont="1" applyFill="1" applyBorder="1" applyAlignment="1">
      <alignment horizontal="center"/>
    </xf>
    <xf numFmtId="171" fontId="7" fillId="0" borderId="7" xfId="3" quotePrefix="1" applyNumberFormat="1" applyFont="1" applyFill="1" applyBorder="1" applyAlignment="1">
      <alignment horizontal="center"/>
    </xf>
    <xf numFmtId="171" fontId="10" fillId="0" borderId="7" xfId="3" applyNumberFormat="1" applyFont="1" applyFill="1" applyBorder="1"/>
    <xf numFmtId="171" fontId="8" fillId="0" borderId="7" xfId="3" quotePrefix="1" applyNumberFormat="1" applyFont="1" applyFill="1" applyBorder="1" applyAlignment="1">
      <alignment horizontal="center"/>
    </xf>
    <xf numFmtId="171" fontId="5" fillId="0" borderId="7" xfId="3" applyNumberFormat="1" applyFont="1" applyFill="1" applyBorder="1"/>
    <xf numFmtId="165" fontId="11" fillId="0" borderId="7" xfId="1" applyNumberFormat="1" applyFont="1" applyFill="1" applyBorder="1"/>
    <xf numFmtId="0" fontId="7" fillId="0" borderId="21" xfId="0" applyFont="1" applyFill="1" applyBorder="1" applyAlignment="1">
      <alignment horizontal="left"/>
    </xf>
    <xf numFmtId="171" fontId="13" fillId="0" borderId="0" xfId="3" applyNumberFormat="1" applyFont="1" applyFill="1"/>
    <xf numFmtId="171" fontId="13" fillId="0" borderId="0" xfId="3" applyNumberFormat="1" applyFont="1" applyFill="1" applyBorder="1"/>
    <xf numFmtId="171" fontId="6" fillId="0" borderId="3" xfId="3" applyNumberFormat="1" applyFont="1" applyFill="1" applyBorder="1"/>
    <xf numFmtId="0" fontId="33" fillId="0" borderId="0" xfId="8"/>
    <xf numFmtId="0" fontId="35" fillId="0" borderId="0" xfId="8" applyFont="1"/>
    <xf numFmtId="171" fontId="0" fillId="0" borderId="0" xfId="10" applyNumberFormat="1" applyFont="1"/>
    <xf numFmtId="165" fontId="0" fillId="0" borderId="0" xfId="9" applyNumberFormat="1" applyFont="1"/>
    <xf numFmtId="172" fontId="0" fillId="0" borderId="0" xfId="9" applyNumberFormat="1" applyFont="1"/>
    <xf numFmtId="0" fontId="33" fillId="0" borderId="0" xfId="8" applyFill="1"/>
    <xf numFmtId="165" fontId="35" fillId="0" borderId="25" xfId="8" applyNumberFormat="1" applyFont="1" applyFill="1" applyBorder="1" applyAlignment="1">
      <alignment horizontal="center"/>
    </xf>
    <xf numFmtId="0" fontId="35" fillId="0" borderId="0" xfId="8" applyFont="1" applyFill="1"/>
    <xf numFmtId="0" fontId="35" fillId="0" borderId="26" xfId="8" applyFont="1" applyFill="1" applyBorder="1" applyAlignment="1">
      <alignment horizontal="right"/>
    </xf>
    <xf numFmtId="165" fontId="35" fillId="0" borderId="2" xfId="9" applyNumberFormat="1" applyFont="1" applyFill="1" applyBorder="1"/>
    <xf numFmtId="0" fontId="35" fillId="0" borderId="0" xfId="8" applyFont="1" applyFill="1" applyAlignment="1">
      <alignment horizontal="right"/>
    </xf>
    <xf numFmtId="165" fontId="33" fillId="0" borderId="0" xfId="8" applyNumberFormat="1" applyFill="1"/>
    <xf numFmtId="0" fontId="34" fillId="0" borderId="0" xfId="8" applyFont="1" applyFill="1" applyBorder="1"/>
    <xf numFmtId="0" fontId="35" fillId="0" borderId="0" xfId="8" applyFont="1" applyFill="1" applyBorder="1"/>
    <xf numFmtId="0" fontId="36" fillId="0" borderId="23" xfId="8" applyFont="1" applyFill="1" applyBorder="1" applyAlignment="1">
      <alignment horizontal="center"/>
    </xf>
    <xf numFmtId="165" fontId="35" fillId="0" borderId="27" xfId="9" applyNumberFormat="1" applyFont="1" applyFill="1" applyBorder="1"/>
    <xf numFmtId="165" fontId="37" fillId="0" borderId="0" xfId="1" applyNumberFormat="1" applyFont="1" applyFill="1" applyBorder="1"/>
    <xf numFmtId="0" fontId="38" fillId="0" borderId="0" xfId="8" applyFont="1"/>
    <xf numFmtId="177" fontId="38" fillId="0" borderId="0" xfId="8" applyNumberFormat="1" applyFont="1"/>
    <xf numFmtId="177" fontId="39" fillId="5" borderId="28" xfId="8" applyNumberFormat="1" applyFont="1" applyFill="1" applyBorder="1" applyAlignment="1">
      <alignment horizontal="left" vertical="top"/>
    </xf>
    <xf numFmtId="177" fontId="40" fillId="6" borderId="28" xfId="8" applyNumberFormat="1" applyFont="1" applyFill="1" applyBorder="1" applyAlignment="1">
      <alignment horizontal="left" vertical="top"/>
    </xf>
    <xf numFmtId="0" fontId="38" fillId="0" borderId="2" xfId="8" applyFont="1" applyBorder="1"/>
    <xf numFmtId="177" fontId="38" fillId="0" borderId="2" xfId="8" applyNumberFormat="1" applyFont="1" applyBorder="1"/>
    <xf numFmtId="0" fontId="38" fillId="0" borderId="29" xfId="8" applyFont="1" applyBorder="1"/>
    <xf numFmtId="177" fontId="38" fillId="0" borderId="29" xfId="8" applyNumberFormat="1" applyFont="1" applyBorder="1"/>
    <xf numFmtId="177" fontId="33" fillId="0" borderId="0" xfId="8" applyNumberFormat="1"/>
    <xf numFmtId="2" fontId="4" fillId="0" borderId="0" xfId="0" applyNumberFormat="1" applyFont="1" applyFill="1" applyBorder="1"/>
    <xf numFmtId="43" fontId="4" fillId="0" borderId="0" xfId="1" applyFont="1" applyFill="1" applyBorder="1"/>
    <xf numFmtId="172" fontId="4" fillId="0" borderId="0" xfId="0" applyNumberFormat="1" applyFont="1" applyFill="1" applyBorder="1"/>
    <xf numFmtId="165" fontId="4" fillId="0" borderId="0" xfId="0" applyNumberFormat="1" applyFont="1" applyFill="1" applyBorder="1"/>
    <xf numFmtId="165" fontId="41" fillId="0" borderId="25" xfId="8" applyNumberFormat="1" applyFont="1" applyFill="1" applyBorder="1" applyAlignment="1">
      <alignment horizontal="center"/>
    </xf>
    <xf numFmtId="0" fontId="42" fillId="0" borderId="22" xfId="8" applyFont="1" applyFill="1" applyBorder="1" applyAlignment="1">
      <alignment horizontal="right"/>
    </xf>
    <xf numFmtId="17" fontId="42" fillId="0" borderId="7" xfId="8" applyNumberFormat="1" applyFont="1" applyFill="1" applyBorder="1" applyAlignment="1">
      <alignment horizontal="center"/>
    </xf>
    <xf numFmtId="0" fontId="33" fillId="0" borderId="24" xfId="8" applyFont="1" applyFill="1" applyBorder="1" applyAlignment="1">
      <alignment horizontal="right"/>
    </xf>
    <xf numFmtId="165" fontId="33" fillId="0" borderId="0" xfId="9" applyNumberFormat="1" applyFont="1" applyFill="1" applyBorder="1" applyAlignment="1">
      <alignment horizontal="center"/>
    </xf>
    <xf numFmtId="165" fontId="33" fillId="0" borderId="0" xfId="9" applyNumberFormat="1" applyFont="1" applyFill="1" applyBorder="1"/>
    <xf numFmtId="0" fontId="43" fillId="0" borderId="0" xfId="8" applyFont="1" applyAlignment="1">
      <alignment horizontal="center" vertical="top"/>
    </xf>
    <xf numFmtId="0" fontId="44" fillId="7" borderId="30" xfId="8" applyFont="1" applyFill="1" applyBorder="1" applyAlignment="1">
      <alignment horizontal="left" vertical="top"/>
    </xf>
    <xf numFmtId="0" fontId="45" fillId="7" borderId="30" xfId="8" applyFont="1" applyFill="1" applyBorder="1" applyAlignment="1">
      <alignment horizontal="left" vertical="top"/>
    </xf>
    <xf numFmtId="0" fontId="46" fillId="7" borderId="30" xfId="8" applyFont="1" applyFill="1" applyBorder="1" applyAlignment="1">
      <alignment horizontal="left" vertical="top"/>
    </xf>
    <xf numFmtId="0" fontId="47" fillId="7" borderId="30" xfId="8" applyFont="1" applyFill="1" applyBorder="1" applyAlignment="1">
      <alignment horizontal="left" vertical="top"/>
    </xf>
    <xf numFmtId="0" fontId="48" fillId="7" borderId="30" xfId="8" applyFont="1" applyFill="1" applyBorder="1" applyAlignment="1">
      <alignment horizontal="left" vertical="top"/>
    </xf>
    <xf numFmtId="0" fontId="49" fillId="7" borderId="30" xfId="8" applyFont="1" applyFill="1" applyBorder="1" applyAlignment="1">
      <alignment horizontal="left" vertical="top"/>
    </xf>
    <xf numFmtId="0" fontId="50" fillId="7" borderId="30" xfId="8" applyFont="1" applyFill="1" applyBorder="1" applyAlignment="1">
      <alignment horizontal="left" vertical="top"/>
    </xf>
    <xf numFmtId="0" fontId="51" fillId="7" borderId="30" xfId="8" applyFont="1" applyFill="1" applyBorder="1" applyAlignment="1">
      <alignment horizontal="left" vertical="top"/>
    </xf>
    <xf numFmtId="0" fontId="44" fillId="7" borderId="31" xfId="8" applyFont="1" applyFill="1" applyBorder="1" applyAlignment="1">
      <alignment horizontal="left" vertical="top"/>
    </xf>
    <xf numFmtId="3" fontId="44" fillId="0" borderId="32" xfId="8" applyNumberFormat="1" applyFont="1" applyBorder="1" applyAlignment="1">
      <alignment horizontal="right" vertical="top"/>
    </xf>
    <xf numFmtId="178" fontId="44" fillId="0" borderId="32" xfId="8" applyNumberFormat="1" applyFont="1" applyBorder="1" applyAlignment="1">
      <alignment horizontal="right" vertical="top"/>
    </xf>
    <xf numFmtId="0" fontId="33" fillId="0" borderId="32" xfId="8" applyBorder="1"/>
    <xf numFmtId="3" fontId="33" fillId="0" borderId="0" xfId="8" applyNumberFormat="1"/>
    <xf numFmtId="0" fontId="44" fillId="8" borderId="31" xfId="8" applyFont="1" applyFill="1" applyBorder="1" applyAlignment="1">
      <alignment horizontal="left" vertical="top"/>
    </xf>
    <xf numFmtId="0" fontId="52" fillId="8" borderId="31" xfId="8" applyFont="1" applyFill="1" applyBorder="1" applyAlignment="1">
      <alignment horizontal="right" vertical="top"/>
    </xf>
    <xf numFmtId="3" fontId="33" fillId="8" borderId="32" xfId="8" applyNumberFormat="1" applyFill="1" applyBorder="1"/>
    <xf numFmtId="3" fontId="33" fillId="9" borderId="0" xfId="8" applyNumberFormat="1" applyFill="1"/>
    <xf numFmtId="0" fontId="33" fillId="8" borderId="0" xfId="8" applyFill="1"/>
    <xf numFmtId="3" fontId="44" fillId="8" borderId="32" xfId="8" applyNumberFormat="1" applyFont="1" applyFill="1" applyBorder="1" applyAlignment="1">
      <alignment horizontal="right" vertical="top"/>
    </xf>
    <xf numFmtId="0" fontId="35" fillId="8" borderId="0" xfId="8" applyFont="1" applyFill="1" applyAlignment="1">
      <alignment horizontal="right"/>
    </xf>
    <xf numFmtId="3" fontId="33" fillId="8" borderId="0" xfId="8" applyNumberFormat="1" applyFill="1"/>
    <xf numFmtId="0" fontId="33" fillId="10" borderId="0" xfId="8" applyFill="1"/>
    <xf numFmtId="0" fontId="35" fillId="10" borderId="0" xfId="8" applyFont="1" applyFill="1" applyAlignment="1">
      <alignment horizontal="right"/>
    </xf>
    <xf numFmtId="3" fontId="33" fillId="10" borderId="0" xfId="8" applyNumberFormat="1" applyFill="1"/>
    <xf numFmtId="0" fontId="53" fillId="7" borderId="30" xfId="8" applyFont="1" applyFill="1" applyBorder="1" applyAlignment="1">
      <alignment horizontal="left" vertical="top"/>
    </xf>
    <xf numFmtId="0" fontId="15" fillId="10" borderId="0" xfId="0" applyFont="1" applyFill="1" applyAlignment="1">
      <alignment horizontal="left"/>
    </xf>
    <xf numFmtId="3" fontId="6" fillId="0" borderId="0" xfId="3" applyNumberFormat="1" applyFont="1" applyFill="1" applyBorder="1"/>
    <xf numFmtId="0" fontId="33" fillId="2" borderId="24" xfId="8" applyFont="1" applyFill="1" applyBorder="1" applyAlignment="1">
      <alignment horizontal="right"/>
    </xf>
    <xf numFmtId="3" fontId="33" fillId="0" borderId="2" xfId="8" applyNumberFormat="1" applyBorder="1"/>
    <xf numFmtId="165" fontId="6" fillId="0" borderId="0" xfId="1" applyNumberFormat="1" applyFont="1" applyFill="1" applyAlignment="1">
      <alignment horizontal="center"/>
    </xf>
    <xf numFmtId="6" fontId="0" fillId="0" borderId="0" xfId="0" applyNumberFormat="1" applyFill="1"/>
    <xf numFmtId="44" fontId="0" fillId="0" borderId="0" xfId="0" applyNumberFormat="1" applyFill="1"/>
    <xf numFmtId="170" fontId="7" fillId="0" borderId="0" xfId="0" applyNumberFormat="1" applyFont="1" applyFill="1" applyBorder="1" applyAlignment="1">
      <alignment horizontal="center"/>
    </xf>
    <xf numFmtId="165" fontId="7" fillId="0" borderId="0" xfId="0" applyNumberFormat="1" applyFont="1" applyFill="1" applyBorder="1" applyAlignment="1">
      <alignment horizontal="center"/>
    </xf>
    <xf numFmtId="175" fontId="6" fillId="0" borderId="0" xfId="3" applyNumberFormat="1" applyFont="1" applyFill="1" applyBorder="1"/>
    <xf numFmtId="175" fontId="6" fillId="0" borderId="0" xfId="0" applyNumberFormat="1" applyFont="1" applyFill="1" applyBorder="1"/>
    <xf numFmtId="0" fontId="23" fillId="0" borderId="0" xfId="7" applyFont="1" applyFill="1"/>
    <xf numFmtId="176" fontId="6" fillId="0" borderId="0" xfId="0" applyNumberFormat="1" applyFont="1" applyFill="1"/>
    <xf numFmtId="0" fontId="11" fillId="0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5" fontId="11" fillId="0" borderId="0" xfId="1" applyNumberFormat="1" applyFont="1" applyAlignment="1">
      <alignment horizontal="center"/>
    </xf>
    <xf numFmtId="0" fontId="11" fillId="0" borderId="0" xfId="0" applyFont="1" applyFill="1" applyAlignment="1">
      <alignment horizontal="center"/>
    </xf>
    <xf numFmtId="0" fontId="11" fillId="0" borderId="0" xfId="0" quotePrefix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/>
    <xf numFmtId="43" fontId="4" fillId="0" borderId="0" xfId="1" applyNumberFormat="1" applyFont="1"/>
    <xf numFmtId="165" fontId="4" fillId="0" borderId="0" xfId="1" applyNumberFormat="1" applyFont="1" applyAlignment="1"/>
    <xf numFmtId="165" fontId="7" fillId="0" borderId="0" xfId="1" applyNumberFormat="1" applyFont="1" applyAlignment="1">
      <alignment horizontal="center"/>
    </xf>
    <xf numFmtId="38" fontId="7" fillId="0" borderId="0" xfId="0" applyNumberFormat="1" applyFont="1" applyAlignment="1"/>
    <xf numFmtId="38" fontId="2" fillId="0" borderId="0" xfId="0" applyNumberFormat="1" applyFont="1" applyAlignment="1">
      <alignment horizontal="center"/>
    </xf>
    <xf numFmtId="38" fontId="2" fillId="0" borderId="0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38" fontId="3" fillId="0" borderId="0" xfId="0" applyNumberFormat="1" applyFont="1" applyFill="1" applyAlignment="1">
      <alignment horizontal="center"/>
    </xf>
    <xf numFmtId="43" fontId="3" fillId="0" borderId="0" xfId="1" applyFont="1" applyFill="1" applyAlignment="1">
      <alignment horizontal="center"/>
    </xf>
    <xf numFmtId="38" fontId="3" fillId="0" borderId="0" xfId="0" applyNumberFormat="1" applyFont="1" applyFill="1" applyBorder="1" applyAlignment="1">
      <alignment horizontal="center"/>
    </xf>
    <xf numFmtId="43" fontId="3" fillId="0" borderId="0" xfId="1" applyFont="1" applyFill="1" applyBorder="1" applyAlignment="1">
      <alignment horizontal="center"/>
    </xf>
    <xf numFmtId="0" fontId="4" fillId="0" borderId="0" xfId="0" quotePrefix="1" applyFont="1" applyAlignment="1">
      <alignment horizontal="center"/>
    </xf>
    <xf numFmtId="174" fontId="4" fillId="0" borderId="0" xfId="0" applyNumberFormat="1" applyFont="1" applyFill="1" applyBorder="1"/>
    <xf numFmtId="165" fontId="4" fillId="0" borderId="2" xfId="1" applyNumberFormat="1" applyFont="1" applyFill="1" applyBorder="1"/>
    <xf numFmtId="165" fontId="4" fillId="0" borderId="2" xfId="0" applyNumberFormat="1" applyFont="1" applyFill="1" applyBorder="1"/>
    <xf numFmtId="165" fontId="4" fillId="0" borderId="0" xfId="1" applyNumberFormat="1" applyFont="1" applyFill="1" applyBorder="1"/>
    <xf numFmtId="165" fontId="4" fillId="0" borderId="7" xfId="1" applyNumberFormat="1" applyFont="1" applyFill="1" applyBorder="1"/>
    <xf numFmtId="165" fontId="4" fillId="0" borderId="7" xfId="0" applyNumberFormat="1" applyFont="1" applyFill="1" applyBorder="1"/>
    <xf numFmtId="0" fontId="7" fillId="0" borderId="0" xfId="0" applyFont="1" applyFill="1" applyBorder="1" applyAlignment="1">
      <alignment horizontal="left"/>
    </xf>
    <xf numFmtId="37" fontId="4" fillId="0" borderId="3" xfId="1" applyNumberFormat="1" applyFont="1" applyFill="1" applyBorder="1"/>
    <xf numFmtId="165" fontId="4" fillId="0" borderId="3" xfId="0" applyNumberFormat="1" applyFont="1" applyFill="1" applyBorder="1"/>
    <xf numFmtId="165" fontId="4" fillId="0" borderId="0" xfId="0" applyNumberFormat="1" applyFont="1" applyFill="1" applyAlignment="1">
      <alignment horizontal="center"/>
    </xf>
    <xf numFmtId="37" fontId="4" fillId="0" borderId="1" xfId="1" applyNumberFormat="1" applyFont="1" applyFill="1" applyBorder="1"/>
    <xf numFmtId="165" fontId="4" fillId="0" borderId="1" xfId="0" applyNumberFormat="1" applyFont="1" applyFill="1" applyBorder="1"/>
    <xf numFmtId="37" fontId="4" fillId="0" borderId="0" xfId="0" applyNumberFormat="1" applyFont="1" applyFill="1" applyBorder="1"/>
    <xf numFmtId="0" fontId="4" fillId="0" borderId="0" xfId="0" applyFont="1" applyFill="1" applyBorder="1" applyAlignment="1"/>
    <xf numFmtId="0" fontId="3" fillId="0" borderId="0" xfId="0" applyFont="1" applyBorder="1"/>
    <xf numFmtId="165" fontId="4" fillId="0" borderId="0" xfId="1" applyNumberFormat="1" applyFont="1" applyFill="1" applyAlignment="1">
      <alignment horizontal="centerContinuous"/>
    </xf>
    <xf numFmtId="0" fontId="4" fillId="0" borderId="0" xfId="0" applyFont="1" applyFill="1" applyAlignment="1"/>
    <xf numFmtId="165" fontId="7" fillId="0" borderId="0" xfId="1" quotePrefix="1" applyNumberFormat="1" applyFont="1" applyFill="1" applyAlignment="1">
      <alignment horizontal="center"/>
    </xf>
    <xf numFmtId="165" fontId="7" fillId="0" borderId="0" xfId="1" applyNumberFormat="1" applyFont="1" applyFill="1"/>
    <xf numFmtId="165" fontId="7" fillId="0" borderId="0" xfId="1" applyNumberFormat="1" applyFont="1" applyFill="1" applyAlignment="1">
      <alignment horizontal="center"/>
    </xf>
    <xf numFmtId="38" fontId="7" fillId="0" borderId="0" xfId="0" applyNumberFormat="1" applyFont="1" applyFill="1" applyAlignment="1"/>
    <xf numFmtId="165" fontId="4" fillId="0" borderId="0" xfId="1" applyNumberFormat="1" applyFont="1" applyFill="1" applyBorder="1" applyAlignment="1">
      <alignment horizontal="center"/>
    </xf>
    <xf numFmtId="165" fontId="4" fillId="0" borderId="0" xfId="1" applyNumberFormat="1" applyFont="1" applyFill="1" applyBorder="1" applyAlignment="1"/>
    <xf numFmtId="165" fontId="4" fillId="0" borderId="0" xfId="1" applyNumberFormat="1" applyFont="1" applyBorder="1"/>
    <xf numFmtId="41" fontId="7" fillId="0" borderId="0" xfId="0" applyNumberFormat="1" applyFont="1" applyFill="1" applyBorder="1"/>
    <xf numFmtId="0" fontId="7" fillId="0" borderId="0" xfId="0" applyFont="1" applyFill="1" applyAlignment="1">
      <alignment horizontal="right"/>
    </xf>
    <xf numFmtId="41" fontId="7" fillId="0" borderId="0" xfId="0" applyNumberFormat="1" applyFont="1" applyFill="1" applyAlignment="1">
      <alignment horizontal="center"/>
    </xf>
    <xf numFmtId="165" fontId="7" fillId="0" borderId="0" xfId="1" applyNumberFormat="1" applyFont="1" applyFill="1" applyAlignment="1"/>
    <xf numFmtId="165" fontId="4" fillId="0" borderId="0" xfId="1" applyNumberFormat="1" applyFont="1" applyFill="1" applyAlignment="1">
      <alignment horizontal="center"/>
    </xf>
    <xf numFmtId="165" fontId="4" fillId="0" borderId="0" xfId="0" applyNumberFormat="1" applyFont="1" applyFill="1"/>
    <xf numFmtId="168" fontId="4" fillId="0" borderId="0" xfId="5" applyNumberFormat="1" applyFont="1" applyFill="1"/>
    <xf numFmtId="168" fontId="4" fillId="0" borderId="0" xfId="5" applyNumberFormat="1" applyFont="1" applyFill="1" applyBorder="1"/>
    <xf numFmtId="37" fontId="4" fillId="0" borderId="0" xfId="0" applyNumberFormat="1" applyFont="1" applyBorder="1"/>
    <xf numFmtId="0" fontId="4" fillId="0" borderId="0" xfId="0" applyFont="1" applyBorder="1" applyAlignment="1"/>
    <xf numFmtId="41" fontId="7" fillId="0" borderId="0" xfId="0" applyNumberFormat="1" applyFont="1" applyBorder="1"/>
    <xf numFmtId="37" fontId="7" fillId="0" borderId="0" xfId="1" applyNumberFormat="1" applyFont="1" applyAlignment="1">
      <alignment horizontal="right"/>
    </xf>
    <xf numFmtId="165" fontId="7" fillId="0" borderId="0" xfId="1" applyNumberFormat="1" applyFont="1"/>
    <xf numFmtId="171" fontId="4" fillId="0" borderId="0" xfId="3" applyNumberFormat="1" applyFont="1" applyFill="1"/>
    <xf numFmtId="37" fontId="4" fillId="0" borderId="2" xfId="1" applyNumberFormat="1" applyFont="1" applyFill="1" applyBorder="1"/>
    <xf numFmtId="171" fontId="4" fillId="0" borderId="1" xfId="3" applyNumberFormat="1" applyFont="1" applyFill="1" applyBorder="1"/>
    <xf numFmtId="37" fontId="7" fillId="0" borderId="0" xfId="1" applyNumberFormat="1" applyFont="1" applyFill="1" applyAlignment="1">
      <alignment horizontal="right"/>
    </xf>
    <xf numFmtId="170" fontId="7" fillId="0" borderId="0" xfId="1" quotePrefix="1" applyNumberFormat="1" applyFont="1" applyFill="1" applyAlignment="1">
      <alignment horizontal="center"/>
    </xf>
    <xf numFmtId="165" fontId="4" fillId="0" borderId="0" xfId="1" applyNumberFormat="1" applyFont="1" applyFill="1" applyAlignment="1">
      <alignment horizontal="right"/>
    </xf>
    <xf numFmtId="3" fontId="4" fillId="0" borderId="0" xfId="0" applyNumberFormat="1" applyFont="1" applyBorder="1"/>
    <xf numFmtId="37" fontId="4" fillId="0" borderId="0" xfId="1" applyNumberFormat="1" applyFont="1" applyBorder="1"/>
    <xf numFmtId="0" fontId="4" fillId="0" borderId="0" xfId="0" quotePrefix="1" applyFont="1" applyFill="1" applyAlignment="1">
      <alignment horizontal="center"/>
    </xf>
    <xf numFmtId="171" fontId="4" fillId="0" borderId="0" xfId="3" applyNumberFormat="1" applyFont="1" applyFill="1" applyBorder="1"/>
    <xf numFmtId="172" fontId="4" fillId="0" borderId="0" xfId="1" applyNumberFormat="1" applyFont="1" applyBorder="1"/>
    <xf numFmtId="173" fontId="4" fillId="0" borderId="0" xfId="0" applyNumberFormat="1" applyFont="1" applyBorder="1"/>
    <xf numFmtId="173" fontId="4" fillId="0" borderId="0" xfId="0" applyNumberFormat="1" applyFont="1" applyFill="1" applyBorder="1"/>
    <xf numFmtId="165" fontId="4" fillId="0" borderId="0" xfId="0" applyNumberFormat="1" applyFont="1" applyBorder="1"/>
    <xf numFmtId="0" fontId="4" fillId="0" borderId="21" xfId="0" quotePrefix="1" applyFont="1" applyBorder="1" applyAlignment="1">
      <alignment horizontal="center"/>
    </xf>
    <xf numFmtId="0" fontId="7" fillId="0" borderId="21" xfId="0" applyFont="1" applyFill="1" applyBorder="1" applyAlignment="1">
      <alignment horizontal="center"/>
    </xf>
    <xf numFmtId="171" fontId="4" fillId="0" borderId="21" xfId="3" applyNumberFormat="1" applyFont="1" applyFill="1" applyBorder="1"/>
    <xf numFmtId="37" fontId="4" fillId="0" borderId="21" xfId="1" applyNumberFormat="1" applyFont="1" applyFill="1" applyBorder="1"/>
    <xf numFmtId="37" fontId="4" fillId="0" borderId="21" xfId="0" applyNumberFormat="1" applyFont="1" applyBorder="1"/>
    <xf numFmtId="0" fontId="4" fillId="0" borderId="0" xfId="0" quotePrefix="1" applyFont="1" applyBorder="1" applyAlignment="1">
      <alignment horizontal="center"/>
    </xf>
    <xf numFmtId="0" fontId="7" fillId="0" borderId="0" xfId="0" quotePrefix="1" applyFont="1" applyFill="1" applyBorder="1" applyAlignment="1">
      <alignment horizontal="center"/>
    </xf>
    <xf numFmtId="0" fontId="9" fillId="0" borderId="0" xfId="0" quotePrefix="1" applyFont="1" applyFill="1" applyBorder="1" applyAlignment="1">
      <alignment horizontal="center"/>
    </xf>
    <xf numFmtId="37" fontId="7" fillId="0" borderId="0" xfId="1" applyNumberFormat="1" applyFont="1" applyFill="1" applyBorder="1" applyAlignment="1">
      <alignment horizontal="center"/>
    </xf>
    <xf numFmtId="170" fontId="7" fillId="0" borderId="0" xfId="0" applyNumberFormat="1" applyFont="1" applyFill="1" applyAlignment="1">
      <alignment horizontal="center"/>
    </xf>
    <xf numFmtId="37" fontId="7" fillId="0" borderId="0" xfId="1" applyNumberFormat="1" applyFont="1" applyFill="1" applyAlignment="1">
      <alignment horizontal="center"/>
    </xf>
    <xf numFmtId="0" fontId="7" fillId="0" borderId="0" xfId="0" applyFont="1" applyFill="1"/>
    <xf numFmtId="165" fontId="7" fillId="0" borderId="0" xfId="0" applyNumberFormat="1" applyFont="1" applyFill="1" applyAlignment="1">
      <alignment horizontal="center"/>
    </xf>
    <xf numFmtId="0" fontId="7" fillId="0" borderId="0" xfId="0" quotePrefix="1" applyFont="1" applyFill="1" applyAlignment="1">
      <alignment horizontal="center"/>
    </xf>
    <xf numFmtId="171" fontId="4" fillId="0" borderId="2" xfId="0" applyNumberFormat="1" applyFont="1" applyFill="1" applyBorder="1"/>
    <xf numFmtId="37" fontId="4" fillId="0" borderId="0" xfId="0" applyNumberFormat="1" applyFont="1" applyFill="1"/>
    <xf numFmtId="171" fontId="3" fillId="0" borderId="0" xfId="0" applyNumberFormat="1" applyFont="1" applyFill="1"/>
    <xf numFmtId="171" fontId="3" fillId="0" borderId="0" xfId="0" applyNumberFormat="1" applyFont="1"/>
    <xf numFmtId="166" fontId="3" fillId="0" borderId="0" xfId="0" applyNumberFormat="1" applyFont="1" applyFill="1"/>
    <xf numFmtId="164" fontId="3" fillId="0" borderId="0" xfId="1" applyNumberFormat="1" applyFont="1" applyFill="1"/>
    <xf numFmtId="167" fontId="3" fillId="0" borderId="0" xfId="1" applyNumberFormat="1" applyFont="1" applyFill="1"/>
    <xf numFmtId="166" fontId="3" fillId="0" borderId="0" xfId="0" applyNumberFormat="1" applyFont="1" applyFill="1" applyAlignment="1">
      <alignment horizontal="centerContinuous"/>
    </xf>
    <xf numFmtId="164" fontId="3" fillId="0" borderId="0" xfId="1" applyNumberFormat="1" applyFont="1" applyFill="1" applyAlignment="1">
      <alignment horizontal="centerContinuous"/>
    </xf>
    <xf numFmtId="164" fontId="7" fillId="0" borderId="0" xfId="1" applyNumberFormat="1" applyFont="1" applyFill="1" applyAlignment="1">
      <alignment horizontal="center"/>
    </xf>
    <xf numFmtId="40" fontId="7" fillId="0" borderId="0" xfId="0" applyNumberFormat="1" applyFont="1" applyFill="1" applyAlignment="1">
      <alignment horizontal="center"/>
    </xf>
    <xf numFmtId="167" fontId="7" fillId="0" borderId="0" xfId="1" applyNumberFormat="1" applyFont="1" applyFill="1" applyAlignment="1">
      <alignment horizontal="center"/>
    </xf>
    <xf numFmtId="167" fontId="4" fillId="0" borderId="0" xfId="1" applyNumberFormat="1" applyFont="1" applyFill="1"/>
    <xf numFmtId="43" fontId="3" fillId="0" borderId="0" xfId="1" applyFont="1" applyFill="1" applyBorder="1"/>
    <xf numFmtId="0" fontId="3" fillId="0" borderId="0" xfId="0" applyFont="1" applyFill="1" applyBorder="1"/>
    <xf numFmtId="37" fontId="7" fillId="0" borderId="0" xfId="1" applyNumberFormat="1" applyFont="1" applyFill="1" applyAlignment="1">
      <alignment horizontal="centerContinuous"/>
    </xf>
    <xf numFmtId="167" fontId="4" fillId="0" borderId="0" xfId="1" applyNumberFormat="1" applyFont="1" applyFill="1" applyAlignment="1">
      <alignment horizontal="centerContinuous"/>
    </xf>
    <xf numFmtId="167" fontId="7" fillId="0" borderId="0" xfId="1" applyNumberFormat="1" applyFont="1" applyFill="1" applyAlignment="1">
      <alignment horizontal="centerContinuous"/>
    </xf>
    <xf numFmtId="167" fontId="3" fillId="0" borderId="0" xfId="0" applyNumberFormat="1" applyFont="1" applyFill="1"/>
    <xf numFmtId="166" fontId="7" fillId="0" borderId="0" xfId="0" applyNumberFormat="1" applyFont="1" applyFill="1" applyAlignment="1">
      <alignment horizontal="center"/>
    </xf>
    <xf numFmtId="166" fontId="3" fillId="0" borderId="0" xfId="0" applyNumberFormat="1" applyFont="1"/>
    <xf numFmtId="164" fontId="3" fillId="0" borderId="0" xfId="1" applyNumberFormat="1" applyFont="1"/>
    <xf numFmtId="167" fontId="3" fillId="0" borderId="0" xfId="1" applyNumberFormat="1" applyFont="1"/>
    <xf numFmtId="166" fontId="3" fillId="0" borderId="0" xfId="0" applyNumberFormat="1" applyFont="1" applyAlignment="1">
      <alignment horizontal="centerContinuous"/>
    </xf>
    <xf numFmtId="164" fontId="3" fillId="0" borderId="0" xfId="1" applyNumberFormat="1" applyFont="1" applyAlignment="1">
      <alignment horizontal="centerContinuous"/>
    </xf>
    <xf numFmtId="0" fontId="3" fillId="0" borderId="0" xfId="0" applyFont="1" applyFill="1" applyAlignment="1">
      <alignment horizontal="left"/>
    </xf>
    <xf numFmtId="166" fontId="3" fillId="0" borderId="0" xfId="0" applyNumberFormat="1" applyFont="1" applyFill="1" applyAlignment="1">
      <alignment horizontal="left"/>
    </xf>
    <xf numFmtId="165" fontId="7" fillId="0" borderId="0" xfId="1" quotePrefix="1" applyNumberFormat="1" applyFont="1" applyAlignment="1">
      <alignment horizontal="center"/>
    </xf>
    <xf numFmtId="164" fontId="7" fillId="0" borderId="0" xfId="1" applyNumberFormat="1" applyFont="1" applyAlignment="1">
      <alignment horizontal="center"/>
    </xf>
    <xf numFmtId="40" fontId="7" fillId="0" borderId="0" xfId="0" applyNumberFormat="1" applyFont="1" applyAlignment="1">
      <alignment horizontal="center"/>
    </xf>
    <xf numFmtId="167" fontId="7" fillId="0" borderId="0" xfId="1" applyNumberFormat="1" applyFont="1" applyAlignment="1">
      <alignment horizontal="center"/>
    </xf>
    <xf numFmtId="174" fontId="4" fillId="0" borderId="0" xfId="0" applyNumberFormat="1" applyFont="1" applyBorder="1"/>
    <xf numFmtId="43" fontId="3" fillId="0" borderId="0" xfId="1" applyFont="1" applyBorder="1"/>
    <xf numFmtId="167" fontId="3" fillId="0" borderId="0" xfId="0" applyNumberFormat="1" applyFont="1"/>
  </cellXfs>
  <cellStyles count="11">
    <cellStyle name="Comma" xfId="1" builtinId="3"/>
    <cellStyle name="Comma 2" xfId="9" xr:uid="{DA995760-568A-4E66-99DD-91CF90B3C519}"/>
    <cellStyle name="Comma(0)" xfId="2" xr:uid="{00000000-0005-0000-0000-000001000000}"/>
    <cellStyle name="Currency" xfId="3" builtinId="4"/>
    <cellStyle name="Currency 2" xfId="10" xr:uid="{129ADD73-38D4-4D4E-ACF0-7D9B1F1847BD}"/>
    <cellStyle name="Normal" xfId="0" builtinId="0"/>
    <cellStyle name="Normal 2" xfId="4" xr:uid="{00000000-0005-0000-0000-000004000000}"/>
    <cellStyle name="Normal 3" xfId="7" xr:uid="{00000000-0005-0000-0000-000005000000}"/>
    <cellStyle name="Normal 4" xfId="8" xr:uid="{4C830274-3C9A-4DA6-B21E-FBA08EE6E16B}"/>
    <cellStyle name="Percent" xfId="5" builtinId="5"/>
    <cellStyle name="Percent(4)" xfId="6" xr:uid="{00000000-0005-0000-0000-00000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theme" Target="theme/theme1.xml"/><Relationship Id="rId33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EXCEL\SWEPCO\dryrun\RVCAPAK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dows\TEMP\Q7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rew/AEP%20TX%20BD%20(For%20Check)%20Sept%2023%20tye/AEP%20TX%20Billing%20Determinants%20-%20TYE%2009302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EXCEL\CPL\CPL%20Rate%20Case\Sch&amp;WP\Q7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EP%20Texas/Rate%20Cases/AEP%20Texas%202024/Billing%20Determinants/AEP%20TX%20Combined%20Billing%20Determinants%20-%20TYE%2009.30.2023%20Fina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EP%20Texas/Rate%20Cases/AEP%20Texas%202024/Billing%20Determinants/Functional%20Revenue%20By%20Clas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AEP%20Texas\Rate%20Cases\AEP%20Texas%202024\Billing%20Determinants\Primary%20Sub%20Account's%20Test%20Year%20Data.xlsx" TargetMode="External"/><Relationship Id="rId1" Type="http://schemas.openxmlformats.org/officeDocument/2006/relationships/externalLinkPath" Target="/AEP%20Texas/Rate%20Cases/AEP%20Texas%202024/Billing%20Determinants/Primary%20Sub%20Account's%20Test%20Year%20Dat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EP%20Texas/Rate%20Cases/AEP%20Texas%202024/Billing%20Determinants/AEP%20TX%20TCRF%20DCRF%20RIDER%20REVEN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-1.1"/>
      <sheetName val="Summary"/>
      <sheetName val="Fuel Adjustment"/>
      <sheetName val="Embed Fuel"/>
      <sheetName val="Base Revenue"/>
      <sheetName val="DECAP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RS"/>
      <sheetName val="SRS "/>
      <sheetName val="RSWH "/>
      <sheetName val="RSTOU"/>
      <sheetName val="GS"/>
      <sheetName val="LP"/>
      <sheetName val="IP"/>
      <sheetName val="PS"/>
      <sheetName val="Irr 28"/>
      <sheetName val="Irr 29"/>
      <sheetName val="CG"/>
      <sheetName val="CG-TOU"/>
      <sheetName val="Rec Lights"/>
      <sheetName val="MPS"/>
      <sheetName val="Security"/>
      <sheetName val="Flood"/>
      <sheetName val="Flood-Cust. Owned"/>
      <sheetName val="Street Lighting"/>
      <sheetName val="Sheet9"/>
      <sheetName val="Street"/>
      <sheetName val="Security-Adjustments"/>
      <sheetName val="Security-Adj. Revenue"/>
      <sheetName val="Security Lights"/>
      <sheetName val="Flood Lights"/>
      <sheetName val="Flood Lights-Cust. Own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iff Mapping"/>
      <sheetName val="INPUTS"/>
      <sheetName val="Customer"/>
      <sheetName val="D Demand"/>
      <sheetName val="T Demand"/>
      <sheetName val="Energy"/>
      <sheetName val="Base Revenue"/>
      <sheetName val="Rider Revenue"/>
      <sheetName val="Total Revenue"/>
      <sheetName val="kWh @ Gen"/>
      <sheetName val="Customer - By Group"/>
      <sheetName val="D Demand - By Group"/>
      <sheetName val="T Demand - By Group"/>
      <sheetName val="Energy - By Group"/>
      <sheetName val="Base Revenue - By group"/>
      <sheetName val="Funct. Base Rev - By group"/>
      <sheetName val="Weather adj analysis"/>
    </sheetNames>
    <sheetDataSet>
      <sheetData sheetId="0">
        <row r="5">
          <cell r="E5" t="str">
            <v>Residential</v>
          </cell>
        </row>
        <row r="6">
          <cell r="E6" t="str">
            <v>Residential</v>
          </cell>
        </row>
        <row r="7">
          <cell r="E7" t="str">
            <v>Residential</v>
          </cell>
        </row>
        <row r="8">
          <cell r="E8" t="str">
            <v>Secondary &lt;= 10 kW</v>
          </cell>
        </row>
        <row r="9">
          <cell r="E9" t="str">
            <v>Secondary &lt;= 10 kW</v>
          </cell>
        </row>
        <row r="10">
          <cell r="E10" t="str">
            <v>Secondary &lt;= 10 kW</v>
          </cell>
        </row>
        <row r="11">
          <cell r="E11" t="str">
            <v>Secondary &lt;= 10 kW</v>
          </cell>
        </row>
        <row r="12">
          <cell r="E12" t="str">
            <v>Secondary &lt;= 10 kW</v>
          </cell>
        </row>
        <row r="13">
          <cell r="E13" t="str">
            <v>Secondary &lt;= 10 kW</v>
          </cell>
        </row>
        <row r="14">
          <cell r="E14" t="str">
            <v>Secondary &gt; 10 kW NCP</v>
          </cell>
        </row>
        <row r="15">
          <cell r="E15" t="str">
            <v>Secondary &gt; 10 kW NCP</v>
          </cell>
        </row>
        <row r="16">
          <cell r="E16" t="str">
            <v>Secondary &gt; 10 kW NCP</v>
          </cell>
        </row>
        <row r="17">
          <cell r="E17" t="str">
            <v>Secondary &gt; 10 kW 4CP</v>
          </cell>
        </row>
        <row r="18">
          <cell r="E18" t="str">
            <v>Secondary &gt; 10 kW 4CP</v>
          </cell>
        </row>
        <row r="19">
          <cell r="E19" t="str">
            <v>Secondary &gt; 10 kW NCP</v>
          </cell>
        </row>
        <row r="20">
          <cell r="E20" t="str">
            <v>Secondary &gt; 10 kW 4CP</v>
          </cell>
        </row>
        <row r="21">
          <cell r="E21" t="str">
            <v>Secondary &gt; 10 kW NCP</v>
          </cell>
        </row>
        <row r="22">
          <cell r="E22" t="str">
            <v>Secondary &gt; 10 kW 4CP</v>
          </cell>
        </row>
        <row r="23">
          <cell r="E23" t="str">
            <v>Primary NCP</v>
          </cell>
        </row>
        <row r="24">
          <cell r="E24" t="str">
            <v>Primary 4CP</v>
          </cell>
        </row>
        <row r="25">
          <cell r="E25" t="str">
            <v>Primary NCP</v>
          </cell>
        </row>
        <row r="26">
          <cell r="E26" t="str">
            <v>Primary 4CP</v>
          </cell>
        </row>
        <row r="27">
          <cell r="E27" t="str">
            <v>Primary 4CP</v>
          </cell>
        </row>
        <row r="28">
          <cell r="E28" t="str">
            <v>Primary NCP</v>
          </cell>
        </row>
        <row r="29">
          <cell r="E29" t="str">
            <v>Primary 4CP</v>
          </cell>
        </row>
        <row r="30">
          <cell r="E30" t="str">
            <v>Secondary &lt;= 10 kW</v>
          </cell>
        </row>
        <row r="31">
          <cell r="E31" t="str">
            <v>Secondary &lt;= 10 kW</v>
          </cell>
        </row>
        <row r="32">
          <cell r="E32" t="str">
            <v>Secondary &lt;= 10 kW</v>
          </cell>
        </row>
        <row r="33">
          <cell r="E33" t="str">
            <v>Secondary &gt; 10 kW 4CP</v>
          </cell>
        </row>
        <row r="34">
          <cell r="E34" t="str">
            <v>Secondary &gt; 10 kW NCP</v>
          </cell>
        </row>
        <row r="35">
          <cell r="E35" t="str">
            <v>Secondary &gt; 10 kW 4CP</v>
          </cell>
        </row>
        <row r="36">
          <cell r="E36" t="str">
            <v>Secondary &gt; 10 kW NCP</v>
          </cell>
        </row>
        <row r="37">
          <cell r="E37" t="str">
            <v>Secondary &gt; 10 kW 4CP</v>
          </cell>
        </row>
        <row r="38">
          <cell r="E38" t="str">
            <v>Transmission IDR</v>
          </cell>
        </row>
        <row r="39">
          <cell r="E39" t="str">
            <v>Transmission IDR</v>
          </cell>
        </row>
        <row r="40">
          <cell r="E40" t="str">
            <v>Transmission IDR</v>
          </cell>
        </row>
        <row r="41">
          <cell r="E41" t="str">
            <v>Transmission IDR</v>
          </cell>
        </row>
        <row r="42">
          <cell r="E42" t="str">
            <v>Transmission IDR</v>
          </cell>
        </row>
        <row r="43">
          <cell r="E43" t="str">
            <v>Transmission IDR</v>
          </cell>
        </row>
        <row r="44">
          <cell r="E44" t="str">
            <v>Transmission IDR</v>
          </cell>
        </row>
        <row r="45">
          <cell r="E45" t="str">
            <v>Transmission IDR</v>
          </cell>
        </row>
        <row r="46">
          <cell r="E46" t="str">
            <v>Transmission IDR</v>
          </cell>
        </row>
        <row r="47">
          <cell r="E47" t="str">
            <v>Transmission IDR</v>
          </cell>
        </row>
        <row r="48">
          <cell r="E48" t="str">
            <v>Transmission IDR</v>
          </cell>
        </row>
        <row r="49">
          <cell r="E49" t="str">
            <v>Secondary &gt; 10 kW NCP</v>
          </cell>
        </row>
        <row r="50">
          <cell r="E50" t="str">
            <v>Secondary &gt; 10 kW 4CP</v>
          </cell>
        </row>
        <row r="51">
          <cell r="E51" t="str">
            <v>Primary NCP</v>
          </cell>
        </row>
        <row r="52">
          <cell r="E52" t="str">
            <v>Primary 4CP</v>
          </cell>
        </row>
        <row r="53">
          <cell r="E53" t="str">
            <v>Lighting</v>
          </cell>
        </row>
        <row r="54">
          <cell r="E54" t="str">
            <v>Primary Sub NCP</v>
          </cell>
        </row>
        <row r="55">
          <cell r="E55" t="str">
            <v>Primary Sub 4CP</v>
          </cell>
        </row>
        <row r="56">
          <cell r="E56" t="str">
            <v>Battery Storage</v>
          </cell>
        </row>
        <row r="57">
          <cell r="E57" t="str">
            <v>#53</v>
          </cell>
        </row>
        <row r="58">
          <cell r="E58" t="str">
            <v>#54</v>
          </cell>
        </row>
        <row r="59">
          <cell r="E59" t="str">
            <v>#55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Summary"/>
      <sheetName val="ERS"/>
      <sheetName val="SRS "/>
      <sheetName val="RSWH "/>
      <sheetName val="RSTOU"/>
      <sheetName val="SH, WH, UMS"/>
      <sheetName val="GS"/>
      <sheetName val="LP"/>
      <sheetName val="PS"/>
      <sheetName val="IP"/>
      <sheetName val="CG "/>
      <sheetName val="Irr 28"/>
      <sheetName val="Irr 29"/>
      <sheetName val="Rec Lights"/>
      <sheetName val="MPS"/>
      <sheetName val="Security Lights"/>
      <sheetName val="Flood Lights"/>
      <sheetName val="Street Lighting"/>
      <sheetName val="Traffic Lighting"/>
      <sheetName val="Flood_CustOwn"/>
      <sheetName val="LI68"/>
      <sheetName val="Wholesale"/>
      <sheetName val="Robstown"/>
      <sheetName val="KWH"/>
      <sheetName val="KW"/>
      <sheetName val="Whol Prof"/>
      <sheetName val="BFCust"/>
      <sheetName val="Block kw"/>
      <sheetName val="Block kWh"/>
      <sheetName val="Whtr Adj"/>
      <sheetName val="Cust Ad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iff Mapping"/>
      <sheetName val="INPUTS"/>
      <sheetName val="Sales of Elec"/>
      <sheetName val="Rider Rev"/>
      <sheetName val="Base Rev"/>
      <sheetName val="Customer"/>
      <sheetName val="Demand - D"/>
      <sheetName val="Demand - T"/>
      <sheetName val="Energy"/>
      <sheetName val="BY GROUP -&gt;"/>
      <sheetName val="Customer BG"/>
      <sheetName val="Fixture BG"/>
      <sheetName val="Demand BG - D"/>
      <sheetName val="Demand BG - T"/>
      <sheetName val="Energy BG"/>
      <sheetName val="Revenue BG"/>
      <sheetName val="#REF"/>
    </sheetNames>
    <sheetDataSet>
      <sheetData sheetId="0"/>
      <sheetData sheetId="1">
        <row r="6">
          <cell r="D6">
            <v>44835</v>
          </cell>
        </row>
      </sheetData>
      <sheetData sheetId="2" refreshError="1"/>
      <sheetData sheetId="3" refreshError="1"/>
      <sheetData sheetId="4" refreshError="1"/>
      <sheetData sheetId="5">
        <row r="9">
          <cell r="D9">
            <v>914484</v>
          </cell>
          <cell r="E9">
            <v>915744</v>
          </cell>
          <cell r="F9">
            <v>916675</v>
          </cell>
          <cell r="G9">
            <v>917755</v>
          </cell>
          <cell r="H9">
            <v>919221</v>
          </cell>
          <cell r="I9">
            <v>920445</v>
          </cell>
          <cell r="J9">
            <v>922489</v>
          </cell>
          <cell r="K9">
            <v>926700</v>
          </cell>
          <cell r="L9">
            <v>929184</v>
          </cell>
          <cell r="M9">
            <v>932117</v>
          </cell>
          <cell r="N9">
            <v>933083</v>
          </cell>
          <cell r="O9">
            <v>932437</v>
          </cell>
        </row>
        <row r="10">
          <cell r="D10">
            <v>2914</v>
          </cell>
          <cell r="E10">
            <v>2924</v>
          </cell>
          <cell r="F10">
            <v>2929</v>
          </cell>
          <cell r="G10">
            <v>2929</v>
          </cell>
          <cell r="H10">
            <v>2776</v>
          </cell>
          <cell r="I10">
            <v>2770</v>
          </cell>
          <cell r="J10">
            <v>2780</v>
          </cell>
          <cell r="K10">
            <v>2799</v>
          </cell>
          <cell r="L10">
            <v>2800</v>
          </cell>
          <cell r="M10">
            <v>2805</v>
          </cell>
          <cell r="N10">
            <v>2810</v>
          </cell>
          <cell r="O10">
            <v>2801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D12">
            <v>154</v>
          </cell>
          <cell r="E12">
            <v>154</v>
          </cell>
          <cell r="F12">
            <v>154</v>
          </cell>
          <cell r="G12">
            <v>154</v>
          </cell>
          <cell r="H12">
            <v>154</v>
          </cell>
          <cell r="I12">
            <v>154</v>
          </cell>
          <cell r="J12">
            <v>152</v>
          </cell>
          <cell r="K12">
            <v>152</v>
          </cell>
          <cell r="L12">
            <v>152</v>
          </cell>
          <cell r="M12">
            <v>152</v>
          </cell>
          <cell r="N12">
            <v>152</v>
          </cell>
          <cell r="O12">
            <v>152</v>
          </cell>
        </row>
        <row r="13">
          <cell r="D13">
            <v>280</v>
          </cell>
          <cell r="E13">
            <v>282</v>
          </cell>
          <cell r="F13">
            <v>282</v>
          </cell>
          <cell r="G13">
            <v>285</v>
          </cell>
          <cell r="H13">
            <v>272</v>
          </cell>
          <cell r="I13">
            <v>272</v>
          </cell>
          <cell r="J13">
            <v>269</v>
          </cell>
          <cell r="K13">
            <v>256</v>
          </cell>
          <cell r="L13">
            <v>231</v>
          </cell>
          <cell r="M13">
            <v>229</v>
          </cell>
          <cell r="N13">
            <v>222</v>
          </cell>
          <cell r="O13">
            <v>222</v>
          </cell>
        </row>
        <row r="14">
          <cell r="D14">
            <v>65</v>
          </cell>
          <cell r="E14">
            <v>65</v>
          </cell>
          <cell r="F14">
            <v>65</v>
          </cell>
          <cell r="G14">
            <v>65</v>
          </cell>
          <cell r="H14">
            <v>64</v>
          </cell>
          <cell r="I14">
            <v>64</v>
          </cell>
          <cell r="J14">
            <v>64</v>
          </cell>
          <cell r="K14">
            <v>64</v>
          </cell>
          <cell r="L14">
            <v>64</v>
          </cell>
          <cell r="M14">
            <v>65</v>
          </cell>
          <cell r="N14">
            <v>66</v>
          </cell>
          <cell r="O14">
            <v>64</v>
          </cell>
        </row>
        <row r="15">
          <cell r="D15">
            <v>1071</v>
          </cell>
          <cell r="E15">
            <v>1069</v>
          </cell>
          <cell r="F15">
            <v>1062</v>
          </cell>
          <cell r="G15">
            <v>1065</v>
          </cell>
          <cell r="H15">
            <v>1060</v>
          </cell>
          <cell r="I15">
            <v>1060</v>
          </cell>
          <cell r="J15">
            <v>1049</v>
          </cell>
          <cell r="K15">
            <v>1049</v>
          </cell>
          <cell r="L15">
            <v>1045</v>
          </cell>
          <cell r="M15">
            <v>1045</v>
          </cell>
          <cell r="N15">
            <v>1041</v>
          </cell>
          <cell r="O15">
            <v>1041</v>
          </cell>
        </row>
        <row r="16">
          <cell r="D16">
            <v>489</v>
          </cell>
          <cell r="E16">
            <v>492</v>
          </cell>
          <cell r="F16">
            <v>489</v>
          </cell>
          <cell r="G16">
            <v>489</v>
          </cell>
          <cell r="H16">
            <v>490</v>
          </cell>
          <cell r="I16">
            <v>488</v>
          </cell>
          <cell r="J16">
            <v>487</v>
          </cell>
          <cell r="K16">
            <v>490</v>
          </cell>
          <cell r="L16">
            <v>482</v>
          </cell>
          <cell r="M16">
            <v>474</v>
          </cell>
          <cell r="N16">
            <v>477</v>
          </cell>
          <cell r="O16">
            <v>480</v>
          </cell>
        </row>
        <row r="17">
          <cell r="D17">
            <v>94609</v>
          </cell>
          <cell r="E17">
            <v>94808</v>
          </cell>
          <cell r="F17">
            <v>94644</v>
          </cell>
          <cell r="G17">
            <v>93563</v>
          </cell>
          <cell r="H17">
            <v>93160</v>
          </cell>
          <cell r="I17">
            <v>93258</v>
          </cell>
          <cell r="J17">
            <v>93870</v>
          </cell>
          <cell r="K17">
            <v>94582</v>
          </cell>
          <cell r="L17">
            <v>94809</v>
          </cell>
          <cell r="M17">
            <v>94862</v>
          </cell>
          <cell r="N17">
            <v>95078</v>
          </cell>
          <cell r="O17">
            <v>94983</v>
          </cell>
        </row>
        <row r="18">
          <cell r="D18">
            <v>161</v>
          </cell>
          <cell r="E18">
            <v>161</v>
          </cell>
          <cell r="F18">
            <v>161</v>
          </cell>
          <cell r="G18">
            <v>161</v>
          </cell>
          <cell r="H18">
            <v>161</v>
          </cell>
          <cell r="I18">
            <v>160</v>
          </cell>
          <cell r="J18">
            <v>162</v>
          </cell>
          <cell r="K18">
            <v>161</v>
          </cell>
          <cell r="L18">
            <v>165</v>
          </cell>
          <cell r="M18">
            <v>162</v>
          </cell>
          <cell r="N18">
            <v>160</v>
          </cell>
          <cell r="O18">
            <v>160</v>
          </cell>
        </row>
        <row r="19">
          <cell r="D19">
            <v>6</v>
          </cell>
          <cell r="E19">
            <v>5</v>
          </cell>
          <cell r="F19">
            <v>5</v>
          </cell>
          <cell r="G19">
            <v>5</v>
          </cell>
          <cell r="H19">
            <v>5</v>
          </cell>
          <cell r="I19">
            <v>5</v>
          </cell>
          <cell r="J19">
            <v>5</v>
          </cell>
          <cell r="K19">
            <v>5</v>
          </cell>
          <cell r="L19">
            <v>5</v>
          </cell>
          <cell r="M19">
            <v>5</v>
          </cell>
          <cell r="N19">
            <v>5</v>
          </cell>
          <cell r="O19">
            <v>5</v>
          </cell>
        </row>
        <row r="20">
          <cell r="D20">
            <v>626</v>
          </cell>
          <cell r="E20">
            <v>622</v>
          </cell>
          <cell r="F20">
            <v>622</v>
          </cell>
          <cell r="G20">
            <v>616</v>
          </cell>
          <cell r="H20">
            <v>618</v>
          </cell>
          <cell r="I20">
            <v>617</v>
          </cell>
          <cell r="J20">
            <v>618</v>
          </cell>
          <cell r="K20">
            <v>626</v>
          </cell>
          <cell r="L20">
            <v>621</v>
          </cell>
          <cell r="M20">
            <v>619</v>
          </cell>
          <cell r="N20">
            <v>618</v>
          </cell>
          <cell r="O20">
            <v>617</v>
          </cell>
        </row>
        <row r="21">
          <cell r="D21">
            <v>10</v>
          </cell>
          <cell r="E21">
            <v>10</v>
          </cell>
          <cell r="F21">
            <v>10</v>
          </cell>
          <cell r="G21">
            <v>11</v>
          </cell>
          <cell r="H21">
            <v>11</v>
          </cell>
          <cell r="I21">
            <v>11</v>
          </cell>
          <cell r="J21">
            <v>11</v>
          </cell>
          <cell r="K21">
            <v>11</v>
          </cell>
          <cell r="L21">
            <v>11</v>
          </cell>
          <cell r="M21">
            <v>11</v>
          </cell>
          <cell r="N21">
            <v>11</v>
          </cell>
          <cell r="O21">
            <v>11</v>
          </cell>
        </row>
        <row r="22">
          <cell r="D22">
            <v>15</v>
          </cell>
          <cell r="E22">
            <v>17</v>
          </cell>
          <cell r="F22">
            <v>17</v>
          </cell>
          <cell r="G22">
            <v>17</v>
          </cell>
          <cell r="H22">
            <v>19</v>
          </cell>
          <cell r="I22">
            <v>19</v>
          </cell>
          <cell r="J22">
            <v>17</v>
          </cell>
          <cell r="K22">
            <v>17</v>
          </cell>
          <cell r="L22">
            <v>18</v>
          </cell>
          <cell r="M22">
            <v>17</v>
          </cell>
          <cell r="N22">
            <v>17</v>
          </cell>
          <cell r="O22">
            <v>17</v>
          </cell>
        </row>
        <row r="23">
          <cell r="D23">
            <v>13704</v>
          </cell>
          <cell r="E23">
            <v>13691</v>
          </cell>
          <cell r="F23">
            <v>13710</v>
          </cell>
          <cell r="G23">
            <v>13809</v>
          </cell>
          <cell r="H23">
            <v>13859</v>
          </cell>
          <cell r="I23">
            <v>13858</v>
          </cell>
          <cell r="J23">
            <v>13847</v>
          </cell>
          <cell r="K23">
            <v>13845</v>
          </cell>
          <cell r="L23">
            <v>13876</v>
          </cell>
          <cell r="M23">
            <v>13863</v>
          </cell>
          <cell r="N23">
            <v>13914</v>
          </cell>
          <cell r="O23">
            <v>13850</v>
          </cell>
        </row>
        <row r="24">
          <cell r="D24">
            <v>148</v>
          </cell>
          <cell r="E24">
            <v>149</v>
          </cell>
          <cell r="F24">
            <v>148</v>
          </cell>
          <cell r="G24">
            <v>148</v>
          </cell>
          <cell r="H24">
            <v>148</v>
          </cell>
          <cell r="I24">
            <v>148</v>
          </cell>
          <cell r="J24">
            <v>148</v>
          </cell>
          <cell r="K24">
            <v>149</v>
          </cell>
          <cell r="L24">
            <v>150</v>
          </cell>
          <cell r="M24">
            <v>150</v>
          </cell>
          <cell r="N24">
            <v>156</v>
          </cell>
          <cell r="O24">
            <v>150</v>
          </cell>
        </row>
        <row r="25">
          <cell r="D25">
            <v>537</v>
          </cell>
          <cell r="E25">
            <v>537</v>
          </cell>
          <cell r="F25">
            <v>542</v>
          </cell>
          <cell r="G25">
            <v>533</v>
          </cell>
          <cell r="H25">
            <v>534</v>
          </cell>
          <cell r="I25">
            <v>534</v>
          </cell>
          <cell r="J25">
            <v>532</v>
          </cell>
          <cell r="K25">
            <v>531</v>
          </cell>
          <cell r="L25">
            <v>523</v>
          </cell>
          <cell r="M25">
            <v>520</v>
          </cell>
          <cell r="N25">
            <v>522</v>
          </cell>
          <cell r="O25">
            <v>515</v>
          </cell>
        </row>
        <row r="26">
          <cell r="D26">
            <v>31</v>
          </cell>
          <cell r="E26">
            <v>33</v>
          </cell>
          <cell r="F26">
            <v>32</v>
          </cell>
          <cell r="G26">
            <v>32</v>
          </cell>
          <cell r="H26">
            <v>31</v>
          </cell>
          <cell r="I26">
            <v>32</v>
          </cell>
          <cell r="J26">
            <v>32</v>
          </cell>
          <cell r="K26">
            <v>32</v>
          </cell>
          <cell r="L26">
            <v>35</v>
          </cell>
          <cell r="M26">
            <v>33</v>
          </cell>
          <cell r="N26">
            <v>35</v>
          </cell>
          <cell r="O26">
            <v>34</v>
          </cell>
        </row>
        <row r="27">
          <cell r="D27">
            <v>545</v>
          </cell>
          <cell r="E27">
            <v>545</v>
          </cell>
          <cell r="F27">
            <v>545</v>
          </cell>
          <cell r="G27">
            <v>545</v>
          </cell>
          <cell r="H27">
            <v>544</v>
          </cell>
          <cell r="I27">
            <v>544</v>
          </cell>
          <cell r="J27">
            <v>546</v>
          </cell>
          <cell r="K27">
            <v>548</v>
          </cell>
          <cell r="L27">
            <v>549</v>
          </cell>
          <cell r="M27">
            <v>549</v>
          </cell>
          <cell r="N27">
            <v>545</v>
          </cell>
          <cell r="O27">
            <v>546</v>
          </cell>
        </row>
        <row r="28">
          <cell r="D28">
            <v>482</v>
          </cell>
          <cell r="E28">
            <v>491</v>
          </cell>
          <cell r="F28">
            <v>498</v>
          </cell>
          <cell r="G28">
            <v>494</v>
          </cell>
          <cell r="H28">
            <v>502</v>
          </cell>
          <cell r="I28">
            <v>496</v>
          </cell>
          <cell r="J28">
            <v>492</v>
          </cell>
          <cell r="K28">
            <v>506</v>
          </cell>
          <cell r="L28">
            <v>503</v>
          </cell>
          <cell r="M28">
            <v>496</v>
          </cell>
          <cell r="N28">
            <v>508</v>
          </cell>
          <cell r="O28">
            <v>492</v>
          </cell>
        </row>
        <row r="29">
          <cell r="D29">
            <v>9</v>
          </cell>
          <cell r="E29">
            <v>9</v>
          </cell>
          <cell r="F29">
            <v>9</v>
          </cell>
          <cell r="G29">
            <v>9</v>
          </cell>
          <cell r="H29">
            <v>9</v>
          </cell>
          <cell r="I29">
            <v>8</v>
          </cell>
          <cell r="J29">
            <v>8</v>
          </cell>
          <cell r="K29">
            <v>8</v>
          </cell>
          <cell r="L29">
            <v>8</v>
          </cell>
          <cell r="M29">
            <v>8</v>
          </cell>
          <cell r="N29">
            <v>8</v>
          </cell>
          <cell r="O29">
            <v>8</v>
          </cell>
        </row>
        <row r="30">
          <cell r="D30">
            <v>15</v>
          </cell>
          <cell r="E30">
            <v>15</v>
          </cell>
          <cell r="F30">
            <v>15</v>
          </cell>
          <cell r="G30">
            <v>15</v>
          </cell>
          <cell r="H30">
            <v>15</v>
          </cell>
          <cell r="I30">
            <v>15</v>
          </cell>
          <cell r="J30">
            <v>15</v>
          </cell>
          <cell r="K30">
            <v>15</v>
          </cell>
          <cell r="L30">
            <v>14</v>
          </cell>
          <cell r="M30">
            <v>13</v>
          </cell>
          <cell r="N30">
            <v>13</v>
          </cell>
          <cell r="O30">
            <v>13</v>
          </cell>
        </row>
        <row r="31">
          <cell r="D31">
            <v>3</v>
          </cell>
          <cell r="E31">
            <v>3</v>
          </cell>
          <cell r="F31">
            <v>3</v>
          </cell>
          <cell r="G31">
            <v>3</v>
          </cell>
          <cell r="H31">
            <v>3</v>
          </cell>
          <cell r="I31">
            <v>3</v>
          </cell>
          <cell r="J31">
            <v>3</v>
          </cell>
          <cell r="K31">
            <v>3</v>
          </cell>
          <cell r="L31">
            <v>3</v>
          </cell>
          <cell r="M31">
            <v>3</v>
          </cell>
          <cell r="N31">
            <v>3</v>
          </cell>
          <cell r="O31">
            <v>3</v>
          </cell>
        </row>
        <row r="32">
          <cell r="D32">
            <v>3</v>
          </cell>
          <cell r="E32">
            <v>3</v>
          </cell>
          <cell r="F32">
            <v>3</v>
          </cell>
          <cell r="G32">
            <v>3</v>
          </cell>
          <cell r="H32">
            <v>3</v>
          </cell>
          <cell r="I32">
            <v>3</v>
          </cell>
          <cell r="J32">
            <v>3</v>
          </cell>
          <cell r="K32">
            <v>3</v>
          </cell>
          <cell r="L32">
            <v>3</v>
          </cell>
          <cell r="M32">
            <v>3</v>
          </cell>
          <cell r="N32">
            <v>3</v>
          </cell>
          <cell r="O32">
            <v>3</v>
          </cell>
        </row>
        <row r="33">
          <cell r="D33">
            <v>17</v>
          </cell>
          <cell r="E33">
            <v>17</v>
          </cell>
          <cell r="F33">
            <v>17</v>
          </cell>
          <cell r="G33">
            <v>17</v>
          </cell>
          <cell r="H33">
            <v>17</v>
          </cell>
          <cell r="I33">
            <v>17</v>
          </cell>
          <cell r="J33">
            <v>17</v>
          </cell>
          <cell r="K33">
            <v>17</v>
          </cell>
          <cell r="L33">
            <v>17</v>
          </cell>
          <cell r="M33">
            <v>17</v>
          </cell>
          <cell r="N33">
            <v>17</v>
          </cell>
          <cell r="O33">
            <v>17</v>
          </cell>
        </row>
        <row r="34">
          <cell r="D34">
            <v>700</v>
          </cell>
          <cell r="E34">
            <v>705</v>
          </cell>
          <cell r="F34">
            <v>707</v>
          </cell>
          <cell r="G34">
            <v>707</v>
          </cell>
          <cell r="H34">
            <v>705</v>
          </cell>
          <cell r="I34">
            <v>708</v>
          </cell>
          <cell r="J34">
            <v>708</v>
          </cell>
          <cell r="K34">
            <v>707</v>
          </cell>
          <cell r="L34">
            <v>716</v>
          </cell>
          <cell r="M34">
            <v>714</v>
          </cell>
          <cell r="N34">
            <v>710</v>
          </cell>
          <cell r="O34">
            <v>711</v>
          </cell>
        </row>
        <row r="35">
          <cell r="D35">
            <v>1548</v>
          </cell>
          <cell r="E35">
            <v>1547</v>
          </cell>
          <cell r="F35">
            <v>1547</v>
          </cell>
          <cell r="G35">
            <v>1547</v>
          </cell>
          <cell r="H35">
            <v>1546</v>
          </cell>
          <cell r="I35">
            <v>1552</v>
          </cell>
          <cell r="J35">
            <v>1545</v>
          </cell>
          <cell r="K35">
            <v>1547</v>
          </cell>
          <cell r="L35">
            <v>1543</v>
          </cell>
          <cell r="M35">
            <v>1543</v>
          </cell>
          <cell r="N35">
            <v>1543</v>
          </cell>
          <cell r="O35">
            <v>1541</v>
          </cell>
        </row>
        <row r="36">
          <cell r="D36">
            <v>177</v>
          </cell>
          <cell r="E36">
            <v>176</v>
          </cell>
          <cell r="F36">
            <v>176</v>
          </cell>
          <cell r="G36">
            <v>176</v>
          </cell>
          <cell r="H36">
            <v>175</v>
          </cell>
          <cell r="I36">
            <v>174</v>
          </cell>
          <cell r="J36">
            <v>171</v>
          </cell>
          <cell r="K36">
            <v>171</v>
          </cell>
          <cell r="L36">
            <v>174</v>
          </cell>
          <cell r="M36">
            <v>171</v>
          </cell>
          <cell r="N36">
            <v>171</v>
          </cell>
          <cell r="O36">
            <v>172</v>
          </cell>
        </row>
        <row r="37">
          <cell r="D37">
            <v>1</v>
          </cell>
          <cell r="E37">
            <v>1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1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</row>
        <row r="38">
          <cell r="D38">
            <v>15502</v>
          </cell>
          <cell r="E38">
            <v>15444</v>
          </cell>
          <cell r="F38">
            <v>15440</v>
          </cell>
          <cell r="G38">
            <v>15491</v>
          </cell>
          <cell r="H38">
            <v>15518</v>
          </cell>
          <cell r="I38">
            <v>15491</v>
          </cell>
          <cell r="J38">
            <v>15363</v>
          </cell>
          <cell r="K38">
            <v>15373</v>
          </cell>
          <cell r="L38">
            <v>15400</v>
          </cell>
          <cell r="M38">
            <v>15362</v>
          </cell>
          <cell r="N38">
            <v>15363</v>
          </cell>
          <cell r="O38">
            <v>15290</v>
          </cell>
        </row>
        <row r="39">
          <cell r="D39">
            <v>31</v>
          </cell>
          <cell r="E39">
            <v>31</v>
          </cell>
          <cell r="F39">
            <v>32</v>
          </cell>
          <cell r="G39">
            <v>32</v>
          </cell>
          <cell r="H39">
            <v>32</v>
          </cell>
          <cell r="I39">
            <v>34</v>
          </cell>
          <cell r="J39">
            <v>34</v>
          </cell>
          <cell r="K39">
            <v>33</v>
          </cell>
          <cell r="L39">
            <v>33</v>
          </cell>
          <cell r="M39">
            <v>33</v>
          </cell>
          <cell r="N39">
            <v>33</v>
          </cell>
          <cell r="O39">
            <v>33</v>
          </cell>
        </row>
        <row r="40">
          <cell r="D40">
            <v>39952</v>
          </cell>
          <cell r="E40">
            <v>39859</v>
          </cell>
          <cell r="F40">
            <v>39962</v>
          </cell>
          <cell r="G40">
            <v>40885</v>
          </cell>
          <cell r="H40">
            <v>41291</v>
          </cell>
          <cell r="I40">
            <v>41353</v>
          </cell>
          <cell r="J40">
            <v>40940</v>
          </cell>
          <cell r="K40">
            <v>40953</v>
          </cell>
          <cell r="L40">
            <v>40965</v>
          </cell>
          <cell r="M40">
            <v>41082</v>
          </cell>
          <cell r="N40">
            <v>41210</v>
          </cell>
          <cell r="O40">
            <v>41219</v>
          </cell>
        </row>
        <row r="41">
          <cell r="D41">
            <v>318</v>
          </cell>
          <cell r="E41">
            <v>321</v>
          </cell>
          <cell r="F41">
            <v>323</v>
          </cell>
          <cell r="G41">
            <v>321</v>
          </cell>
          <cell r="H41">
            <v>324</v>
          </cell>
          <cell r="I41">
            <v>324</v>
          </cell>
          <cell r="J41">
            <v>326</v>
          </cell>
          <cell r="K41">
            <v>329</v>
          </cell>
          <cell r="L41">
            <v>330</v>
          </cell>
          <cell r="M41">
            <v>330</v>
          </cell>
          <cell r="N41">
            <v>327</v>
          </cell>
          <cell r="O41">
            <v>328</v>
          </cell>
        </row>
        <row r="42">
          <cell r="D42">
            <v>67</v>
          </cell>
          <cell r="E42">
            <v>64</v>
          </cell>
          <cell r="F42">
            <v>64</v>
          </cell>
          <cell r="G42">
            <v>63</v>
          </cell>
          <cell r="H42">
            <v>65</v>
          </cell>
          <cell r="I42">
            <v>67</v>
          </cell>
          <cell r="J42">
            <v>65</v>
          </cell>
          <cell r="K42">
            <v>70</v>
          </cell>
          <cell r="L42">
            <v>65</v>
          </cell>
          <cell r="M42">
            <v>76</v>
          </cell>
          <cell r="N42">
            <v>75</v>
          </cell>
          <cell r="O42">
            <v>67</v>
          </cell>
        </row>
        <row r="43">
          <cell r="D43">
            <v>23</v>
          </cell>
          <cell r="E43">
            <v>23</v>
          </cell>
          <cell r="F43">
            <v>23</v>
          </cell>
          <cell r="G43">
            <v>23</v>
          </cell>
          <cell r="H43">
            <v>23</v>
          </cell>
          <cell r="I43">
            <v>23</v>
          </cell>
          <cell r="J43">
            <v>23</v>
          </cell>
          <cell r="K43">
            <v>23</v>
          </cell>
          <cell r="L43">
            <v>23</v>
          </cell>
          <cell r="M43">
            <v>23</v>
          </cell>
          <cell r="N43">
            <v>22</v>
          </cell>
          <cell r="O43">
            <v>22</v>
          </cell>
        </row>
        <row r="44">
          <cell r="D44">
            <v>6</v>
          </cell>
          <cell r="E44">
            <v>6</v>
          </cell>
          <cell r="F44">
            <v>6</v>
          </cell>
          <cell r="G44">
            <v>6</v>
          </cell>
          <cell r="H44">
            <v>6</v>
          </cell>
          <cell r="I44">
            <v>6</v>
          </cell>
          <cell r="J44">
            <v>6</v>
          </cell>
          <cell r="K44">
            <v>6</v>
          </cell>
          <cell r="L44">
            <v>6</v>
          </cell>
          <cell r="M44">
            <v>6</v>
          </cell>
          <cell r="N44">
            <v>6</v>
          </cell>
          <cell r="O44">
            <v>6</v>
          </cell>
        </row>
        <row r="45">
          <cell r="D45">
            <v>1</v>
          </cell>
          <cell r="E45">
            <v>1</v>
          </cell>
          <cell r="F45">
            <v>1</v>
          </cell>
          <cell r="G45">
            <v>1</v>
          </cell>
          <cell r="H45">
            <v>1</v>
          </cell>
          <cell r="I45">
            <v>1</v>
          </cell>
          <cell r="J45">
            <v>1</v>
          </cell>
          <cell r="K45">
            <v>1</v>
          </cell>
          <cell r="L45">
            <v>1</v>
          </cell>
          <cell r="M45">
            <v>1</v>
          </cell>
          <cell r="N45">
            <v>1</v>
          </cell>
          <cell r="O45">
            <v>1</v>
          </cell>
        </row>
        <row r="46">
          <cell r="D46">
            <v>6</v>
          </cell>
          <cell r="E46">
            <v>6</v>
          </cell>
          <cell r="F46">
            <v>6</v>
          </cell>
          <cell r="G46">
            <v>6</v>
          </cell>
          <cell r="H46">
            <v>6</v>
          </cell>
          <cell r="I46">
            <v>6</v>
          </cell>
          <cell r="J46">
            <v>6</v>
          </cell>
          <cell r="K46">
            <v>6</v>
          </cell>
          <cell r="L46">
            <v>6</v>
          </cell>
          <cell r="M46">
            <v>6</v>
          </cell>
          <cell r="N46">
            <v>6</v>
          </cell>
          <cell r="O46">
            <v>6</v>
          </cell>
        </row>
        <row r="47">
          <cell r="D47">
            <v>8</v>
          </cell>
          <cell r="E47">
            <v>8</v>
          </cell>
          <cell r="F47">
            <v>7</v>
          </cell>
          <cell r="G47">
            <v>9</v>
          </cell>
          <cell r="H47">
            <v>8</v>
          </cell>
          <cell r="I47">
            <v>8</v>
          </cell>
          <cell r="J47">
            <v>8</v>
          </cell>
          <cell r="K47">
            <v>8</v>
          </cell>
          <cell r="L47">
            <v>8</v>
          </cell>
          <cell r="M47">
            <v>8</v>
          </cell>
          <cell r="N47">
            <v>8</v>
          </cell>
          <cell r="O47">
            <v>8</v>
          </cell>
        </row>
        <row r="48">
          <cell r="D48">
            <v>4</v>
          </cell>
          <cell r="E48">
            <v>4</v>
          </cell>
          <cell r="F48">
            <v>4</v>
          </cell>
          <cell r="G48">
            <v>4</v>
          </cell>
          <cell r="H48">
            <v>4</v>
          </cell>
          <cell r="I48">
            <v>4</v>
          </cell>
          <cell r="J48">
            <v>4</v>
          </cell>
          <cell r="K48">
            <v>4</v>
          </cell>
          <cell r="L48">
            <v>4</v>
          </cell>
          <cell r="M48">
            <v>4</v>
          </cell>
          <cell r="N48">
            <v>4</v>
          </cell>
          <cell r="O48">
            <v>4</v>
          </cell>
        </row>
        <row r="49">
          <cell r="D49">
            <v>3</v>
          </cell>
          <cell r="E49">
            <v>3</v>
          </cell>
          <cell r="F49">
            <v>3</v>
          </cell>
          <cell r="G49">
            <v>3</v>
          </cell>
          <cell r="H49">
            <v>3</v>
          </cell>
          <cell r="I49">
            <v>3</v>
          </cell>
          <cell r="J49">
            <v>3</v>
          </cell>
          <cell r="K49">
            <v>3</v>
          </cell>
          <cell r="L49">
            <v>3</v>
          </cell>
          <cell r="M49">
            <v>3</v>
          </cell>
          <cell r="N49">
            <v>3</v>
          </cell>
          <cell r="O49">
            <v>3</v>
          </cell>
        </row>
        <row r="50">
          <cell r="D50">
            <v>2</v>
          </cell>
          <cell r="E50">
            <v>2</v>
          </cell>
          <cell r="F50">
            <v>2</v>
          </cell>
          <cell r="G50">
            <v>2</v>
          </cell>
          <cell r="H50">
            <v>2</v>
          </cell>
          <cell r="I50">
            <v>2</v>
          </cell>
          <cell r="J50">
            <v>2</v>
          </cell>
          <cell r="K50">
            <v>2</v>
          </cell>
          <cell r="L50">
            <v>2</v>
          </cell>
          <cell r="M50">
            <v>2</v>
          </cell>
          <cell r="N50">
            <v>2</v>
          </cell>
          <cell r="O50">
            <v>2</v>
          </cell>
        </row>
        <row r="51">
          <cell r="D51">
            <v>3</v>
          </cell>
          <cell r="E51">
            <v>3</v>
          </cell>
          <cell r="F51">
            <v>2</v>
          </cell>
          <cell r="G51">
            <v>4</v>
          </cell>
          <cell r="H51">
            <v>3</v>
          </cell>
          <cell r="I51">
            <v>3</v>
          </cell>
          <cell r="J51">
            <v>3</v>
          </cell>
          <cell r="K51">
            <v>3</v>
          </cell>
          <cell r="L51">
            <v>3</v>
          </cell>
          <cell r="M51">
            <v>3</v>
          </cell>
          <cell r="N51">
            <v>3</v>
          </cell>
          <cell r="O51">
            <v>3</v>
          </cell>
        </row>
        <row r="52">
          <cell r="D52">
            <v>1</v>
          </cell>
          <cell r="E52">
            <v>1</v>
          </cell>
          <cell r="F52">
            <v>1</v>
          </cell>
          <cell r="G52">
            <v>1</v>
          </cell>
          <cell r="H52">
            <v>1</v>
          </cell>
          <cell r="I52">
            <v>1</v>
          </cell>
          <cell r="J52">
            <v>1</v>
          </cell>
          <cell r="K52">
            <v>1</v>
          </cell>
          <cell r="L52">
            <v>1</v>
          </cell>
          <cell r="M52">
            <v>1</v>
          </cell>
          <cell r="N52">
            <v>1</v>
          </cell>
          <cell r="O52">
            <v>1</v>
          </cell>
        </row>
        <row r="53">
          <cell r="D53">
            <v>118</v>
          </cell>
          <cell r="E53">
            <v>118</v>
          </cell>
          <cell r="F53">
            <v>118</v>
          </cell>
          <cell r="G53">
            <v>118</v>
          </cell>
          <cell r="H53">
            <v>118</v>
          </cell>
          <cell r="I53">
            <v>118</v>
          </cell>
          <cell r="J53">
            <v>117</v>
          </cell>
          <cell r="K53">
            <v>133</v>
          </cell>
          <cell r="L53">
            <v>159</v>
          </cell>
          <cell r="M53">
            <v>163</v>
          </cell>
          <cell r="N53">
            <v>170</v>
          </cell>
          <cell r="O53">
            <v>177</v>
          </cell>
        </row>
        <row r="54">
          <cell r="D54">
            <v>2</v>
          </cell>
          <cell r="E54">
            <v>2</v>
          </cell>
          <cell r="F54">
            <v>2</v>
          </cell>
          <cell r="G54">
            <v>2</v>
          </cell>
          <cell r="H54">
            <v>2</v>
          </cell>
          <cell r="I54">
            <v>2</v>
          </cell>
          <cell r="J54">
            <v>2</v>
          </cell>
          <cell r="K54">
            <v>2</v>
          </cell>
          <cell r="L54">
            <v>2</v>
          </cell>
          <cell r="M54">
            <v>2</v>
          </cell>
          <cell r="N54">
            <v>2</v>
          </cell>
          <cell r="O54">
            <v>2</v>
          </cell>
        </row>
        <row r="55">
          <cell r="D55">
            <v>2</v>
          </cell>
          <cell r="E55">
            <v>2</v>
          </cell>
          <cell r="F55">
            <v>2</v>
          </cell>
          <cell r="G55">
            <v>2</v>
          </cell>
          <cell r="H55">
            <v>2</v>
          </cell>
          <cell r="I55">
            <v>2</v>
          </cell>
          <cell r="J55">
            <v>2</v>
          </cell>
          <cell r="K55">
            <v>2</v>
          </cell>
          <cell r="L55">
            <v>2</v>
          </cell>
          <cell r="M55">
            <v>2</v>
          </cell>
          <cell r="N55">
            <v>2</v>
          </cell>
          <cell r="O55">
            <v>2</v>
          </cell>
        </row>
        <row r="56">
          <cell r="D56">
            <v>0</v>
          </cell>
          <cell r="E56">
            <v>4</v>
          </cell>
          <cell r="F56">
            <v>2</v>
          </cell>
          <cell r="G56">
            <v>2</v>
          </cell>
          <cell r="H56">
            <v>2</v>
          </cell>
          <cell r="I56">
            <v>2</v>
          </cell>
          <cell r="J56">
            <v>2</v>
          </cell>
          <cell r="K56">
            <v>2</v>
          </cell>
          <cell r="L56">
            <v>2</v>
          </cell>
          <cell r="M56">
            <v>2</v>
          </cell>
          <cell r="N56">
            <v>2</v>
          </cell>
          <cell r="O56">
            <v>2</v>
          </cell>
        </row>
        <row r="57">
          <cell r="D57">
            <v>5915</v>
          </cell>
          <cell r="E57">
            <v>5890</v>
          </cell>
          <cell r="F57">
            <v>5851</v>
          </cell>
          <cell r="G57">
            <v>5850</v>
          </cell>
          <cell r="H57">
            <v>5821</v>
          </cell>
          <cell r="I57">
            <v>5781</v>
          </cell>
          <cell r="J57">
            <v>5732</v>
          </cell>
          <cell r="K57">
            <v>5693</v>
          </cell>
          <cell r="L57">
            <v>5652</v>
          </cell>
          <cell r="M57">
            <v>5593</v>
          </cell>
          <cell r="N57">
            <v>5586</v>
          </cell>
          <cell r="O57">
            <v>5596</v>
          </cell>
        </row>
        <row r="58">
          <cell r="D58">
            <v>2812</v>
          </cell>
          <cell r="E58">
            <v>2599</v>
          </cell>
          <cell r="F58">
            <v>2765</v>
          </cell>
          <cell r="G58">
            <v>2812</v>
          </cell>
          <cell r="H58">
            <v>2774</v>
          </cell>
          <cell r="I58">
            <v>2769</v>
          </cell>
          <cell r="J58">
            <v>2767</v>
          </cell>
          <cell r="K58">
            <v>2762</v>
          </cell>
          <cell r="L58">
            <v>2723</v>
          </cell>
          <cell r="M58">
            <v>2707</v>
          </cell>
          <cell r="N58">
            <v>2696</v>
          </cell>
          <cell r="O58">
            <v>2689</v>
          </cell>
        </row>
        <row r="59">
          <cell r="D59">
            <v>9712</v>
          </cell>
          <cell r="E59">
            <v>9689</v>
          </cell>
          <cell r="F59">
            <v>9610</v>
          </cell>
          <cell r="G59">
            <v>9590</v>
          </cell>
          <cell r="H59">
            <v>9613</v>
          </cell>
          <cell r="I59">
            <v>9596</v>
          </cell>
          <cell r="J59">
            <v>9525</v>
          </cell>
          <cell r="K59">
            <v>9480</v>
          </cell>
          <cell r="L59">
            <v>9483</v>
          </cell>
          <cell r="M59">
            <v>9433</v>
          </cell>
          <cell r="N59">
            <v>9408</v>
          </cell>
          <cell r="O59">
            <v>9434</v>
          </cell>
        </row>
        <row r="60">
          <cell r="D60">
            <v>12914</v>
          </cell>
          <cell r="E60">
            <v>12934</v>
          </cell>
          <cell r="F60">
            <v>12854</v>
          </cell>
          <cell r="G60">
            <v>12833</v>
          </cell>
          <cell r="H60">
            <v>12801</v>
          </cell>
          <cell r="I60">
            <v>12748</v>
          </cell>
          <cell r="J60">
            <v>12671</v>
          </cell>
          <cell r="K60">
            <v>12613</v>
          </cell>
          <cell r="L60">
            <v>12604</v>
          </cell>
          <cell r="M60">
            <v>12537</v>
          </cell>
          <cell r="N60">
            <v>12574</v>
          </cell>
          <cell r="O60">
            <v>12471</v>
          </cell>
        </row>
        <row r="61">
          <cell r="D61">
            <v>10066</v>
          </cell>
          <cell r="E61">
            <v>10220</v>
          </cell>
          <cell r="F61">
            <v>9991</v>
          </cell>
          <cell r="G61">
            <v>10035</v>
          </cell>
          <cell r="H61">
            <v>9939</v>
          </cell>
          <cell r="I61">
            <v>9985</v>
          </cell>
          <cell r="J61">
            <v>9950</v>
          </cell>
          <cell r="K61">
            <v>9971</v>
          </cell>
          <cell r="L61">
            <v>10035</v>
          </cell>
          <cell r="M61">
            <v>9913</v>
          </cell>
          <cell r="N61">
            <v>10013</v>
          </cell>
          <cell r="O61">
            <v>9905</v>
          </cell>
        </row>
        <row r="62">
          <cell r="D62">
            <v>1480</v>
          </cell>
          <cell r="E62">
            <v>1471</v>
          </cell>
          <cell r="F62">
            <v>1465</v>
          </cell>
          <cell r="G62">
            <v>1462</v>
          </cell>
          <cell r="H62">
            <v>1461</v>
          </cell>
          <cell r="I62">
            <v>1457</v>
          </cell>
          <cell r="J62">
            <v>1447</v>
          </cell>
          <cell r="K62">
            <v>1444</v>
          </cell>
          <cell r="L62">
            <v>1436</v>
          </cell>
          <cell r="M62">
            <v>1424</v>
          </cell>
          <cell r="N62">
            <v>1428</v>
          </cell>
          <cell r="O62">
            <v>1433</v>
          </cell>
        </row>
        <row r="63">
          <cell r="D63">
            <v>5330</v>
          </cell>
          <cell r="E63">
            <v>5332</v>
          </cell>
          <cell r="F63">
            <v>5251</v>
          </cell>
          <cell r="G63">
            <v>5292</v>
          </cell>
          <cell r="H63">
            <v>5110</v>
          </cell>
          <cell r="I63">
            <v>5272</v>
          </cell>
          <cell r="J63">
            <v>5245</v>
          </cell>
          <cell r="K63">
            <v>5272</v>
          </cell>
          <cell r="L63">
            <v>5219</v>
          </cell>
          <cell r="M63">
            <v>5168</v>
          </cell>
          <cell r="N63">
            <v>5160</v>
          </cell>
          <cell r="O63">
            <v>4941</v>
          </cell>
        </row>
        <row r="64">
          <cell r="D64">
            <v>12578</v>
          </cell>
          <cell r="E64">
            <v>12614</v>
          </cell>
          <cell r="F64">
            <v>12514</v>
          </cell>
          <cell r="G64">
            <v>12564</v>
          </cell>
          <cell r="H64">
            <v>12333</v>
          </cell>
          <cell r="I64">
            <v>12454</v>
          </cell>
          <cell r="J64">
            <v>12399</v>
          </cell>
          <cell r="K64">
            <v>12384</v>
          </cell>
          <cell r="L64">
            <v>12365</v>
          </cell>
          <cell r="M64">
            <v>12325</v>
          </cell>
          <cell r="N64">
            <v>12252</v>
          </cell>
          <cell r="O64">
            <v>12226</v>
          </cell>
        </row>
        <row r="65">
          <cell r="D65">
            <v>5006</v>
          </cell>
          <cell r="E65">
            <v>5011</v>
          </cell>
          <cell r="F65">
            <v>4997</v>
          </cell>
          <cell r="G65">
            <v>5012</v>
          </cell>
          <cell r="H65">
            <v>4986</v>
          </cell>
          <cell r="I65">
            <v>4960</v>
          </cell>
          <cell r="J65">
            <v>4969</v>
          </cell>
          <cell r="K65">
            <v>5057</v>
          </cell>
          <cell r="L65">
            <v>4931</v>
          </cell>
          <cell r="M65">
            <v>4960</v>
          </cell>
          <cell r="N65">
            <v>4918</v>
          </cell>
          <cell r="O65">
            <v>4931</v>
          </cell>
        </row>
        <row r="66">
          <cell r="D66">
            <v>2036</v>
          </cell>
          <cell r="E66">
            <v>2021</v>
          </cell>
          <cell r="F66">
            <v>2024</v>
          </cell>
          <cell r="G66">
            <v>2034</v>
          </cell>
          <cell r="H66">
            <v>2020</v>
          </cell>
          <cell r="I66">
            <v>2008</v>
          </cell>
          <cell r="J66">
            <v>1992</v>
          </cell>
          <cell r="K66">
            <v>2001</v>
          </cell>
          <cell r="L66">
            <v>2006</v>
          </cell>
          <cell r="M66">
            <v>1990</v>
          </cell>
          <cell r="N66">
            <v>1985</v>
          </cell>
          <cell r="O66">
            <v>1975</v>
          </cell>
        </row>
        <row r="67">
          <cell r="D67">
            <v>3641</v>
          </cell>
          <cell r="E67">
            <v>3645</v>
          </cell>
          <cell r="F67">
            <v>3670</v>
          </cell>
          <cell r="G67">
            <v>3677</v>
          </cell>
          <cell r="H67">
            <v>3536</v>
          </cell>
          <cell r="I67">
            <v>3676</v>
          </cell>
          <cell r="J67">
            <v>3664</v>
          </cell>
          <cell r="K67">
            <v>3634</v>
          </cell>
          <cell r="L67">
            <v>3638</v>
          </cell>
          <cell r="M67">
            <v>3612</v>
          </cell>
          <cell r="N67">
            <v>3599</v>
          </cell>
          <cell r="O67">
            <v>3604</v>
          </cell>
        </row>
        <row r="68">
          <cell r="D68">
            <v>3605</v>
          </cell>
          <cell r="E68">
            <v>3647</v>
          </cell>
          <cell r="F68">
            <v>3645</v>
          </cell>
          <cell r="G68">
            <v>3665</v>
          </cell>
          <cell r="H68">
            <v>3426</v>
          </cell>
          <cell r="I68">
            <v>3591</v>
          </cell>
          <cell r="J68">
            <v>3561</v>
          </cell>
          <cell r="K68">
            <v>3560</v>
          </cell>
          <cell r="L68">
            <v>3529</v>
          </cell>
          <cell r="M68">
            <v>3490</v>
          </cell>
          <cell r="N68">
            <v>3496</v>
          </cell>
          <cell r="O68">
            <v>3463</v>
          </cell>
        </row>
        <row r="69">
          <cell r="D69">
            <v>1304</v>
          </cell>
          <cell r="E69">
            <v>1294</v>
          </cell>
          <cell r="F69">
            <v>1278</v>
          </cell>
          <cell r="G69">
            <v>1299</v>
          </cell>
          <cell r="H69">
            <v>1295</v>
          </cell>
          <cell r="I69">
            <v>1292</v>
          </cell>
          <cell r="J69">
            <v>1267</v>
          </cell>
          <cell r="K69">
            <v>1276</v>
          </cell>
          <cell r="L69">
            <v>1268</v>
          </cell>
          <cell r="M69">
            <v>1251</v>
          </cell>
          <cell r="N69">
            <v>1255</v>
          </cell>
          <cell r="O69">
            <v>1242</v>
          </cell>
        </row>
        <row r="70">
          <cell r="D70">
            <v>493</v>
          </cell>
          <cell r="E70">
            <v>490</v>
          </cell>
          <cell r="F70">
            <v>493</v>
          </cell>
          <cell r="G70">
            <v>491</v>
          </cell>
          <cell r="H70">
            <v>491</v>
          </cell>
          <cell r="I70">
            <v>490</v>
          </cell>
          <cell r="J70">
            <v>485</v>
          </cell>
          <cell r="K70">
            <v>485</v>
          </cell>
          <cell r="L70">
            <v>477</v>
          </cell>
          <cell r="M70">
            <v>473</v>
          </cell>
          <cell r="N70">
            <v>488</v>
          </cell>
          <cell r="O70">
            <v>474</v>
          </cell>
        </row>
        <row r="71">
          <cell r="D71">
            <v>2</v>
          </cell>
          <cell r="E71">
            <v>2</v>
          </cell>
          <cell r="F71">
            <v>2</v>
          </cell>
          <cell r="G71">
            <v>2</v>
          </cell>
          <cell r="H71">
            <v>2</v>
          </cell>
          <cell r="I71">
            <v>2</v>
          </cell>
          <cell r="J71">
            <v>2</v>
          </cell>
          <cell r="K71">
            <v>2</v>
          </cell>
          <cell r="L71">
            <v>2</v>
          </cell>
          <cell r="M71">
            <v>2</v>
          </cell>
          <cell r="N71">
            <v>2</v>
          </cell>
          <cell r="O71">
            <v>2</v>
          </cell>
        </row>
        <row r="72">
          <cell r="D72">
            <v>344</v>
          </cell>
          <cell r="E72">
            <v>331</v>
          </cell>
          <cell r="F72">
            <v>330</v>
          </cell>
          <cell r="G72">
            <v>333</v>
          </cell>
          <cell r="H72">
            <v>333</v>
          </cell>
          <cell r="I72">
            <v>327</v>
          </cell>
          <cell r="J72">
            <v>328</v>
          </cell>
          <cell r="K72">
            <v>327</v>
          </cell>
          <cell r="L72">
            <v>329</v>
          </cell>
          <cell r="M72">
            <v>326</v>
          </cell>
          <cell r="N72">
            <v>340</v>
          </cell>
          <cell r="O72">
            <v>327</v>
          </cell>
        </row>
        <row r="73">
          <cell r="D73">
            <v>99</v>
          </cell>
          <cell r="E73">
            <v>119</v>
          </cell>
          <cell r="F73">
            <v>124</v>
          </cell>
          <cell r="G73">
            <v>143</v>
          </cell>
          <cell r="H73">
            <v>155</v>
          </cell>
          <cell r="I73">
            <v>189</v>
          </cell>
          <cell r="J73">
            <v>210</v>
          </cell>
          <cell r="K73">
            <v>238</v>
          </cell>
          <cell r="L73">
            <v>276</v>
          </cell>
          <cell r="M73">
            <v>296</v>
          </cell>
          <cell r="N73">
            <v>329</v>
          </cell>
          <cell r="O73">
            <v>397</v>
          </cell>
        </row>
        <row r="74">
          <cell r="D74">
            <v>142</v>
          </cell>
          <cell r="E74">
            <v>155</v>
          </cell>
          <cell r="F74">
            <v>183</v>
          </cell>
          <cell r="G74">
            <v>196</v>
          </cell>
          <cell r="H74">
            <v>202</v>
          </cell>
          <cell r="I74">
            <v>222</v>
          </cell>
          <cell r="J74">
            <v>228</v>
          </cell>
          <cell r="K74">
            <v>252</v>
          </cell>
          <cell r="L74">
            <v>272</v>
          </cell>
          <cell r="M74">
            <v>301</v>
          </cell>
          <cell r="N74">
            <v>330</v>
          </cell>
          <cell r="O74">
            <v>350</v>
          </cell>
        </row>
        <row r="75">
          <cell r="D75">
            <v>118</v>
          </cell>
          <cell r="E75">
            <v>106</v>
          </cell>
          <cell r="F75">
            <v>130</v>
          </cell>
          <cell r="G75">
            <v>158</v>
          </cell>
          <cell r="H75">
            <v>241</v>
          </cell>
          <cell r="I75">
            <v>239</v>
          </cell>
          <cell r="J75">
            <v>274</v>
          </cell>
          <cell r="K75">
            <v>303</v>
          </cell>
          <cell r="L75">
            <v>361</v>
          </cell>
          <cell r="M75">
            <v>377</v>
          </cell>
          <cell r="N75">
            <v>414</v>
          </cell>
          <cell r="O75">
            <v>480</v>
          </cell>
        </row>
        <row r="76">
          <cell r="D76">
            <v>13</v>
          </cell>
          <cell r="E76">
            <v>13</v>
          </cell>
          <cell r="F76">
            <v>13</v>
          </cell>
          <cell r="G76">
            <v>13</v>
          </cell>
          <cell r="H76">
            <v>15</v>
          </cell>
          <cell r="I76">
            <v>16</v>
          </cell>
          <cell r="J76">
            <v>16</v>
          </cell>
          <cell r="K76">
            <v>16</v>
          </cell>
          <cell r="L76">
            <v>16</v>
          </cell>
          <cell r="M76">
            <v>17</v>
          </cell>
          <cell r="N76">
            <v>19</v>
          </cell>
          <cell r="O76">
            <v>19</v>
          </cell>
        </row>
        <row r="77">
          <cell r="D77">
            <v>1</v>
          </cell>
          <cell r="E77">
            <v>1</v>
          </cell>
          <cell r="F77">
            <v>3</v>
          </cell>
          <cell r="G77">
            <v>3</v>
          </cell>
          <cell r="H77">
            <v>3</v>
          </cell>
          <cell r="I77">
            <v>5</v>
          </cell>
          <cell r="J77">
            <v>7</v>
          </cell>
          <cell r="K77">
            <v>9</v>
          </cell>
          <cell r="L77">
            <v>11</v>
          </cell>
          <cell r="M77">
            <v>19</v>
          </cell>
          <cell r="N77">
            <v>20</v>
          </cell>
          <cell r="O77">
            <v>22</v>
          </cell>
        </row>
        <row r="78">
          <cell r="D78">
            <v>102</v>
          </cell>
          <cell r="E78">
            <v>106</v>
          </cell>
          <cell r="F78">
            <v>64</v>
          </cell>
          <cell r="G78">
            <v>113</v>
          </cell>
          <cell r="H78">
            <v>129</v>
          </cell>
          <cell r="I78">
            <v>131</v>
          </cell>
          <cell r="J78">
            <v>139</v>
          </cell>
          <cell r="K78">
            <v>138</v>
          </cell>
          <cell r="L78">
            <v>146</v>
          </cell>
          <cell r="M78">
            <v>146</v>
          </cell>
          <cell r="N78">
            <v>157</v>
          </cell>
          <cell r="O78">
            <v>416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2</v>
          </cell>
          <cell r="K79">
            <v>10</v>
          </cell>
          <cell r="L79">
            <v>25</v>
          </cell>
          <cell r="M79">
            <v>49</v>
          </cell>
          <cell r="N79">
            <v>53</v>
          </cell>
          <cell r="O79">
            <v>64</v>
          </cell>
        </row>
        <row r="80">
          <cell r="D80">
            <v>2216</v>
          </cell>
          <cell r="E80">
            <v>2214</v>
          </cell>
          <cell r="F80">
            <v>2210</v>
          </cell>
          <cell r="G80">
            <v>2209</v>
          </cell>
          <cell r="H80">
            <v>2360</v>
          </cell>
          <cell r="I80">
            <v>2205</v>
          </cell>
          <cell r="J80">
            <v>2203</v>
          </cell>
          <cell r="K80">
            <v>2203</v>
          </cell>
          <cell r="L80">
            <v>2204</v>
          </cell>
          <cell r="M80">
            <v>2216</v>
          </cell>
          <cell r="N80">
            <v>2198</v>
          </cell>
          <cell r="O80">
            <v>2198</v>
          </cell>
        </row>
        <row r="81">
          <cell r="D81">
            <v>5137</v>
          </cell>
          <cell r="E81">
            <v>5107</v>
          </cell>
          <cell r="F81">
            <v>5101</v>
          </cell>
          <cell r="G81">
            <v>5095</v>
          </cell>
          <cell r="H81">
            <v>5088</v>
          </cell>
          <cell r="I81">
            <v>5023</v>
          </cell>
          <cell r="J81">
            <v>4815</v>
          </cell>
          <cell r="K81">
            <v>4813</v>
          </cell>
          <cell r="L81">
            <v>4842</v>
          </cell>
          <cell r="M81">
            <v>4793</v>
          </cell>
          <cell r="N81">
            <v>4781</v>
          </cell>
          <cell r="O81">
            <v>4753</v>
          </cell>
        </row>
        <row r="82">
          <cell r="D82">
            <v>2967</v>
          </cell>
          <cell r="E82">
            <v>2959</v>
          </cell>
          <cell r="F82">
            <v>2986</v>
          </cell>
          <cell r="G82">
            <v>2941</v>
          </cell>
          <cell r="H82">
            <v>2954</v>
          </cell>
          <cell r="I82">
            <v>2902</v>
          </cell>
          <cell r="J82">
            <v>2868</v>
          </cell>
          <cell r="K82">
            <v>2864</v>
          </cell>
          <cell r="L82">
            <v>2886</v>
          </cell>
          <cell r="M82">
            <v>2860</v>
          </cell>
          <cell r="N82">
            <v>2852</v>
          </cell>
          <cell r="O82">
            <v>2849</v>
          </cell>
        </row>
        <row r="83">
          <cell r="D83">
            <v>74</v>
          </cell>
          <cell r="E83">
            <v>74</v>
          </cell>
          <cell r="F83">
            <v>74</v>
          </cell>
          <cell r="G83">
            <v>74</v>
          </cell>
          <cell r="H83">
            <v>74</v>
          </cell>
          <cell r="I83">
            <v>74</v>
          </cell>
          <cell r="J83">
            <v>74</v>
          </cell>
          <cell r="K83">
            <v>74</v>
          </cell>
          <cell r="L83">
            <v>74</v>
          </cell>
          <cell r="M83">
            <v>74</v>
          </cell>
          <cell r="N83">
            <v>74</v>
          </cell>
          <cell r="O83">
            <v>74</v>
          </cell>
        </row>
        <row r="84">
          <cell r="D84">
            <v>60</v>
          </cell>
          <cell r="E84">
            <v>60</v>
          </cell>
          <cell r="F84">
            <v>60</v>
          </cell>
          <cell r="G84">
            <v>60</v>
          </cell>
          <cell r="H84">
            <v>60</v>
          </cell>
          <cell r="I84">
            <v>60</v>
          </cell>
          <cell r="J84">
            <v>60</v>
          </cell>
          <cell r="K84">
            <v>60</v>
          </cell>
          <cell r="L84">
            <v>60</v>
          </cell>
          <cell r="M84">
            <v>60</v>
          </cell>
          <cell r="N84">
            <v>60</v>
          </cell>
          <cell r="O84">
            <v>60</v>
          </cell>
        </row>
        <row r="85">
          <cell r="D85">
            <v>30</v>
          </cell>
          <cell r="E85">
            <v>30</v>
          </cell>
          <cell r="F85">
            <v>30</v>
          </cell>
          <cell r="G85">
            <v>30</v>
          </cell>
          <cell r="H85">
            <v>30</v>
          </cell>
          <cell r="I85">
            <v>29</v>
          </cell>
          <cell r="J85">
            <v>29</v>
          </cell>
          <cell r="K85">
            <v>29</v>
          </cell>
          <cell r="L85">
            <v>29</v>
          </cell>
          <cell r="M85">
            <v>28</v>
          </cell>
          <cell r="N85">
            <v>28</v>
          </cell>
          <cell r="O85">
            <v>20</v>
          </cell>
        </row>
        <row r="86">
          <cell r="D86">
            <v>16144</v>
          </cell>
          <cell r="E86">
            <v>16085</v>
          </cell>
          <cell r="F86">
            <v>16293</v>
          </cell>
          <cell r="G86">
            <v>16083</v>
          </cell>
          <cell r="H86">
            <v>16078</v>
          </cell>
          <cell r="I86">
            <v>16035</v>
          </cell>
          <cell r="J86">
            <v>16078</v>
          </cell>
          <cell r="K86">
            <v>16055</v>
          </cell>
          <cell r="L86">
            <v>16091</v>
          </cell>
          <cell r="M86">
            <v>16001</v>
          </cell>
          <cell r="N86">
            <v>15960</v>
          </cell>
          <cell r="O86">
            <v>15925</v>
          </cell>
        </row>
        <row r="87">
          <cell r="D87">
            <v>10828</v>
          </cell>
          <cell r="E87">
            <v>10826</v>
          </cell>
          <cell r="F87">
            <v>10803</v>
          </cell>
          <cell r="G87">
            <v>10791</v>
          </cell>
          <cell r="H87">
            <v>10786</v>
          </cell>
          <cell r="I87">
            <v>10771</v>
          </cell>
          <cell r="J87">
            <v>10755</v>
          </cell>
          <cell r="K87">
            <v>10752</v>
          </cell>
          <cell r="L87">
            <v>10736</v>
          </cell>
          <cell r="M87">
            <v>10725</v>
          </cell>
          <cell r="N87">
            <v>10709</v>
          </cell>
          <cell r="O87">
            <v>10698</v>
          </cell>
        </row>
        <row r="88">
          <cell r="D88">
            <v>35690</v>
          </cell>
          <cell r="E88">
            <v>35693</v>
          </cell>
          <cell r="F88">
            <v>35751</v>
          </cell>
          <cell r="G88">
            <v>35590</v>
          </cell>
          <cell r="H88">
            <v>34876</v>
          </cell>
          <cell r="I88">
            <v>33741</v>
          </cell>
          <cell r="J88">
            <v>34625</v>
          </cell>
          <cell r="K88">
            <v>34727</v>
          </cell>
          <cell r="L88">
            <v>34599</v>
          </cell>
          <cell r="M88">
            <v>34712</v>
          </cell>
          <cell r="N88">
            <v>34521</v>
          </cell>
          <cell r="O88">
            <v>34456</v>
          </cell>
        </row>
        <row r="89">
          <cell r="D89">
            <v>43885</v>
          </cell>
          <cell r="E89">
            <v>44636</v>
          </cell>
          <cell r="F89">
            <v>43763</v>
          </cell>
          <cell r="G89">
            <v>43666</v>
          </cell>
          <cell r="H89">
            <v>44357</v>
          </cell>
          <cell r="I89">
            <v>43628</v>
          </cell>
          <cell r="J89">
            <v>43677</v>
          </cell>
          <cell r="K89">
            <v>43986</v>
          </cell>
          <cell r="L89">
            <v>43456</v>
          </cell>
          <cell r="M89">
            <v>44360</v>
          </cell>
          <cell r="N89">
            <v>43359</v>
          </cell>
          <cell r="O89">
            <v>43085</v>
          </cell>
        </row>
        <row r="90">
          <cell r="D90">
            <v>3170</v>
          </cell>
          <cell r="E90">
            <v>3170</v>
          </cell>
          <cell r="F90">
            <v>3171</v>
          </cell>
          <cell r="G90">
            <v>3167</v>
          </cell>
          <cell r="H90">
            <v>3214</v>
          </cell>
          <cell r="I90">
            <v>3166</v>
          </cell>
          <cell r="J90">
            <v>3161</v>
          </cell>
          <cell r="K90">
            <v>3176</v>
          </cell>
          <cell r="L90">
            <v>3171</v>
          </cell>
          <cell r="M90">
            <v>3175</v>
          </cell>
          <cell r="N90">
            <v>3168</v>
          </cell>
          <cell r="O90">
            <v>3171</v>
          </cell>
        </row>
        <row r="91">
          <cell r="D91">
            <v>603</v>
          </cell>
          <cell r="E91">
            <v>603</v>
          </cell>
          <cell r="F91">
            <v>606</v>
          </cell>
          <cell r="G91">
            <v>603</v>
          </cell>
          <cell r="H91">
            <v>603</v>
          </cell>
          <cell r="I91">
            <v>602</v>
          </cell>
          <cell r="J91">
            <v>604</v>
          </cell>
          <cell r="K91">
            <v>620</v>
          </cell>
          <cell r="L91">
            <v>604</v>
          </cell>
          <cell r="M91">
            <v>605</v>
          </cell>
          <cell r="N91">
            <v>603</v>
          </cell>
          <cell r="O91">
            <v>604</v>
          </cell>
        </row>
        <row r="92">
          <cell r="D92">
            <v>217</v>
          </cell>
          <cell r="E92">
            <v>217</v>
          </cell>
          <cell r="F92">
            <v>217</v>
          </cell>
          <cell r="G92">
            <v>216</v>
          </cell>
          <cell r="H92">
            <v>218</v>
          </cell>
          <cell r="I92">
            <v>218</v>
          </cell>
          <cell r="J92">
            <v>219</v>
          </cell>
          <cell r="K92">
            <v>219</v>
          </cell>
          <cell r="L92">
            <v>219</v>
          </cell>
          <cell r="M92">
            <v>219</v>
          </cell>
          <cell r="N92">
            <v>219</v>
          </cell>
          <cell r="O92">
            <v>219</v>
          </cell>
        </row>
        <row r="93">
          <cell r="D93">
            <v>697</v>
          </cell>
          <cell r="E93">
            <v>713</v>
          </cell>
          <cell r="F93">
            <v>705</v>
          </cell>
          <cell r="G93">
            <v>705</v>
          </cell>
          <cell r="H93">
            <v>703</v>
          </cell>
          <cell r="I93">
            <v>704</v>
          </cell>
          <cell r="J93">
            <v>703</v>
          </cell>
          <cell r="K93">
            <v>704</v>
          </cell>
          <cell r="L93">
            <v>702</v>
          </cell>
          <cell r="M93">
            <v>702</v>
          </cell>
          <cell r="N93">
            <v>702</v>
          </cell>
          <cell r="O93">
            <v>702</v>
          </cell>
        </row>
        <row r="94">
          <cell r="D94">
            <v>181</v>
          </cell>
          <cell r="E94">
            <v>181</v>
          </cell>
          <cell r="F94">
            <v>181</v>
          </cell>
          <cell r="G94">
            <v>181</v>
          </cell>
          <cell r="H94">
            <v>187</v>
          </cell>
          <cell r="I94">
            <v>181</v>
          </cell>
          <cell r="J94">
            <v>181</v>
          </cell>
          <cell r="K94">
            <v>181</v>
          </cell>
          <cell r="L94">
            <v>181</v>
          </cell>
          <cell r="M94">
            <v>183</v>
          </cell>
          <cell r="N94">
            <v>181</v>
          </cell>
          <cell r="O94">
            <v>181</v>
          </cell>
        </row>
        <row r="95">
          <cell r="D95">
            <v>1551</v>
          </cell>
          <cell r="E95">
            <v>1550</v>
          </cell>
          <cell r="F95">
            <v>1551</v>
          </cell>
          <cell r="G95">
            <v>1551</v>
          </cell>
          <cell r="H95">
            <v>1549</v>
          </cell>
          <cell r="I95">
            <v>1548</v>
          </cell>
          <cell r="J95">
            <v>1556</v>
          </cell>
          <cell r="K95">
            <v>1550</v>
          </cell>
          <cell r="L95">
            <v>1534</v>
          </cell>
          <cell r="M95">
            <v>1560</v>
          </cell>
          <cell r="N95">
            <v>1546</v>
          </cell>
          <cell r="O95">
            <v>1545</v>
          </cell>
        </row>
        <row r="96">
          <cell r="D96">
            <v>28</v>
          </cell>
          <cell r="E96">
            <v>28</v>
          </cell>
          <cell r="F96">
            <v>28</v>
          </cell>
          <cell r="G96">
            <v>28</v>
          </cell>
          <cell r="H96">
            <v>28</v>
          </cell>
          <cell r="I96">
            <v>28</v>
          </cell>
          <cell r="J96">
            <v>28</v>
          </cell>
          <cell r="K96">
            <v>29</v>
          </cell>
          <cell r="L96">
            <v>27</v>
          </cell>
          <cell r="M96">
            <v>28</v>
          </cell>
          <cell r="N96">
            <v>31</v>
          </cell>
          <cell r="O96">
            <v>27</v>
          </cell>
        </row>
        <row r="97">
          <cell r="D97">
            <v>898</v>
          </cell>
          <cell r="E97">
            <v>900</v>
          </cell>
          <cell r="F97">
            <v>900</v>
          </cell>
          <cell r="G97">
            <v>900</v>
          </cell>
          <cell r="H97">
            <v>917</v>
          </cell>
          <cell r="I97">
            <v>900</v>
          </cell>
          <cell r="J97">
            <v>900</v>
          </cell>
          <cell r="K97">
            <v>900</v>
          </cell>
          <cell r="L97">
            <v>898</v>
          </cell>
          <cell r="M97">
            <v>898</v>
          </cell>
          <cell r="N97">
            <v>899</v>
          </cell>
          <cell r="O97">
            <v>899</v>
          </cell>
        </row>
        <row r="98">
          <cell r="D98">
            <v>582</v>
          </cell>
          <cell r="E98">
            <v>582</v>
          </cell>
          <cell r="F98">
            <v>582</v>
          </cell>
          <cell r="G98">
            <v>582</v>
          </cell>
          <cell r="H98">
            <v>582</v>
          </cell>
          <cell r="I98">
            <v>582</v>
          </cell>
          <cell r="J98">
            <v>580</v>
          </cell>
          <cell r="K98">
            <v>581</v>
          </cell>
          <cell r="L98">
            <v>581</v>
          </cell>
          <cell r="M98">
            <v>581</v>
          </cell>
          <cell r="N98">
            <v>581</v>
          </cell>
          <cell r="O98">
            <v>581</v>
          </cell>
        </row>
        <row r="99">
          <cell r="D99">
            <v>17</v>
          </cell>
          <cell r="E99">
            <v>17</v>
          </cell>
          <cell r="F99">
            <v>17</v>
          </cell>
          <cell r="G99">
            <v>17</v>
          </cell>
          <cell r="H99">
            <v>17</v>
          </cell>
          <cell r="I99">
            <v>17</v>
          </cell>
          <cell r="J99">
            <v>17</v>
          </cell>
          <cell r="K99">
            <v>17</v>
          </cell>
          <cell r="L99">
            <v>17</v>
          </cell>
          <cell r="M99">
            <v>17</v>
          </cell>
          <cell r="N99">
            <v>17</v>
          </cell>
          <cell r="O99">
            <v>17</v>
          </cell>
        </row>
        <row r="100">
          <cell r="D100">
            <v>147</v>
          </cell>
          <cell r="E100">
            <v>147</v>
          </cell>
          <cell r="F100">
            <v>147</v>
          </cell>
          <cell r="G100">
            <v>145</v>
          </cell>
          <cell r="H100">
            <v>149</v>
          </cell>
          <cell r="I100">
            <v>147</v>
          </cell>
          <cell r="J100">
            <v>147</v>
          </cell>
          <cell r="K100">
            <v>147</v>
          </cell>
          <cell r="L100">
            <v>147</v>
          </cell>
          <cell r="M100">
            <v>147</v>
          </cell>
          <cell r="N100">
            <v>147</v>
          </cell>
          <cell r="O100">
            <v>147</v>
          </cell>
        </row>
        <row r="101">
          <cell r="D101">
            <v>432</v>
          </cell>
          <cell r="E101">
            <v>458</v>
          </cell>
          <cell r="F101">
            <v>480</v>
          </cell>
          <cell r="G101">
            <v>375</v>
          </cell>
          <cell r="H101">
            <v>687</v>
          </cell>
          <cell r="I101">
            <v>620</v>
          </cell>
          <cell r="J101">
            <v>758</v>
          </cell>
          <cell r="K101">
            <v>776</v>
          </cell>
          <cell r="L101">
            <v>795</v>
          </cell>
          <cell r="M101">
            <v>821</v>
          </cell>
          <cell r="N101">
            <v>870</v>
          </cell>
          <cell r="O101">
            <v>906</v>
          </cell>
        </row>
        <row r="102">
          <cell r="D102">
            <v>8596</v>
          </cell>
          <cell r="E102">
            <v>8664</v>
          </cell>
          <cell r="F102">
            <v>8705</v>
          </cell>
          <cell r="G102">
            <v>8591</v>
          </cell>
          <cell r="H102">
            <v>9970</v>
          </cell>
          <cell r="I102">
            <v>9868</v>
          </cell>
          <cell r="J102">
            <v>9958</v>
          </cell>
          <cell r="K102">
            <v>10007</v>
          </cell>
          <cell r="L102">
            <v>10108</v>
          </cell>
          <cell r="M102">
            <v>10194</v>
          </cell>
          <cell r="N102">
            <v>10259</v>
          </cell>
          <cell r="O102">
            <v>10311</v>
          </cell>
        </row>
        <row r="103">
          <cell r="D103">
            <v>7453</v>
          </cell>
          <cell r="E103">
            <v>7559</v>
          </cell>
          <cell r="F103">
            <v>7648</v>
          </cell>
          <cell r="G103">
            <v>7254</v>
          </cell>
          <cell r="H103">
            <v>8322</v>
          </cell>
          <cell r="I103">
            <v>7926</v>
          </cell>
          <cell r="J103">
            <v>8030</v>
          </cell>
          <cell r="K103">
            <v>8118</v>
          </cell>
          <cell r="L103">
            <v>8355</v>
          </cell>
          <cell r="M103">
            <v>8433</v>
          </cell>
          <cell r="N103">
            <v>8585</v>
          </cell>
          <cell r="O103">
            <v>8652</v>
          </cell>
        </row>
        <row r="104">
          <cell r="D104">
            <v>1327</v>
          </cell>
          <cell r="E104">
            <v>1334</v>
          </cell>
          <cell r="F104">
            <v>1346</v>
          </cell>
          <cell r="G104">
            <v>1326</v>
          </cell>
          <cell r="H104">
            <v>1453</v>
          </cell>
          <cell r="I104">
            <v>1421</v>
          </cell>
          <cell r="J104">
            <v>1581</v>
          </cell>
          <cell r="K104">
            <v>1480</v>
          </cell>
          <cell r="L104">
            <v>1536</v>
          </cell>
          <cell r="M104">
            <v>1545</v>
          </cell>
          <cell r="N104">
            <v>1674</v>
          </cell>
          <cell r="O104">
            <v>1577</v>
          </cell>
        </row>
        <row r="105">
          <cell r="D105">
            <v>142</v>
          </cell>
          <cell r="E105">
            <v>169</v>
          </cell>
          <cell r="F105">
            <v>170</v>
          </cell>
          <cell r="G105">
            <v>174</v>
          </cell>
          <cell r="H105">
            <v>189</v>
          </cell>
          <cell r="I105">
            <v>184</v>
          </cell>
          <cell r="J105">
            <v>208</v>
          </cell>
          <cell r="K105">
            <v>207</v>
          </cell>
          <cell r="L105">
            <v>212</v>
          </cell>
          <cell r="M105">
            <v>213</v>
          </cell>
          <cell r="N105">
            <v>218</v>
          </cell>
          <cell r="O105">
            <v>222</v>
          </cell>
        </row>
        <row r="106"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12</v>
          </cell>
          <cell r="M106">
            <v>16</v>
          </cell>
          <cell r="N106">
            <v>16</v>
          </cell>
          <cell r="O106">
            <v>16</v>
          </cell>
        </row>
        <row r="107">
          <cell r="D107">
            <v>837</v>
          </cell>
          <cell r="E107">
            <v>837</v>
          </cell>
          <cell r="F107">
            <v>837</v>
          </cell>
          <cell r="G107">
            <v>837</v>
          </cell>
          <cell r="H107">
            <v>837</v>
          </cell>
          <cell r="I107">
            <v>837</v>
          </cell>
          <cell r="J107">
            <v>837</v>
          </cell>
          <cell r="K107">
            <v>835</v>
          </cell>
          <cell r="L107">
            <v>829</v>
          </cell>
          <cell r="M107">
            <v>818</v>
          </cell>
          <cell r="N107">
            <v>823</v>
          </cell>
          <cell r="O107">
            <v>823</v>
          </cell>
        </row>
        <row r="108">
          <cell r="D108">
            <v>53</v>
          </cell>
          <cell r="E108">
            <v>53</v>
          </cell>
          <cell r="F108">
            <v>53</v>
          </cell>
          <cell r="G108">
            <v>53</v>
          </cell>
          <cell r="H108">
            <v>53</v>
          </cell>
          <cell r="I108">
            <v>53</v>
          </cell>
          <cell r="J108">
            <v>53</v>
          </cell>
          <cell r="K108">
            <v>53</v>
          </cell>
          <cell r="L108">
            <v>53</v>
          </cell>
          <cell r="M108">
            <v>53</v>
          </cell>
          <cell r="N108">
            <v>53</v>
          </cell>
          <cell r="O108">
            <v>53</v>
          </cell>
        </row>
        <row r="109">
          <cell r="D109">
            <v>57</v>
          </cell>
          <cell r="E109">
            <v>57</v>
          </cell>
          <cell r="F109">
            <v>57</v>
          </cell>
          <cell r="G109">
            <v>57</v>
          </cell>
          <cell r="H109">
            <v>57</v>
          </cell>
          <cell r="I109">
            <v>57</v>
          </cell>
          <cell r="J109">
            <v>57</v>
          </cell>
          <cell r="K109">
            <v>57</v>
          </cell>
          <cell r="L109">
            <v>57</v>
          </cell>
          <cell r="M109">
            <v>57</v>
          </cell>
          <cell r="N109">
            <v>57</v>
          </cell>
          <cell r="O109">
            <v>57</v>
          </cell>
        </row>
        <row r="110">
          <cell r="D110">
            <v>44</v>
          </cell>
          <cell r="E110">
            <v>44</v>
          </cell>
          <cell r="F110">
            <v>44</v>
          </cell>
          <cell r="G110">
            <v>44</v>
          </cell>
          <cell r="H110">
            <v>44</v>
          </cell>
          <cell r="I110">
            <v>44</v>
          </cell>
          <cell r="J110">
            <v>44</v>
          </cell>
          <cell r="K110">
            <v>44</v>
          </cell>
          <cell r="L110">
            <v>44</v>
          </cell>
          <cell r="M110">
            <v>44</v>
          </cell>
          <cell r="N110">
            <v>44</v>
          </cell>
          <cell r="O110">
            <v>44</v>
          </cell>
        </row>
        <row r="111">
          <cell r="D111">
            <v>38</v>
          </cell>
          <cell r="E111">
            <v>38</v>
          </cell>
          <cell r="F111">
            <v>38</v>
          </cell>
          <cell r="G111">
            <v>38</v>
          </cell>
          <cell r="H111">
            <v>38</v>
          </cell>
          <cell r="I111">
            <v>38</v>
          </cell>
          <cell r="J111">
            <v>38</v>
          </cell>
          <cell r="K111">
            <v>38</v>
          </cell>
          <cell r="L111">
            <v>38</v>
          </cell>
          <cell r="M111">
            <v>38</v>
          </cell>
          <cell r="N111">
            <v>38</v>
          </cell>
          <cell r="O111">
            <v>38</v>
          </cell>
        </row>
        <row r="112"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14</v>
          </cell>
          <cell r="L112">
            <v>11</v>
          </cell>
          <cell r="M112">
            <v>18</v>
          </cell>
          <cell r="N112">
            <v>19</v>
          </cell>
          <cell r="O112">
            <v>19</v>
          </cell>
        </row>
        <row r="113"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</row>
        <row r="114"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</row>
        <row r="118"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29">
          <cell r="D129">
            <v>17952.999999999975</v>
          </cell>
          <cell r="E129">
            <v>16692.999999999945</v>
          </cell>
          <cell r="F129">
            <v>15761.999999999962</v>
          </cell>
          <cell r="G129">
            <v>14682.000000000045</v>
          </cell>
          <cell r="H129">
            <v>13215.999999999953</v>
          </cell>
          <cell r="I129">
            <v>11991.999999999909</v>
          </cell>
          <cell r="J129">
            <v>9947.9999999998981</v>
          </cell>
          <cell r="K129">
            <v>5736.9999999999245</v>
          </cell>
          <cell r="L129">
            <v>3253.0000000000973</v>
          </cell>
          <cell r="M129">
            <v>320.00000000001978</v>
          </cell>
          <cell r="N129">
            <v>-646.00000000000387</v>
          </cell>
          <cell r="O129">
            <v>0</v>
          </cell>
        </row>
        <row r="130">
          <cell r="D130">
            <v>-113.00000000000014</v>
          </cell>
          <cell r="E130">
            <v>-123.00000000000001</v>
          </cell>
          <cell r="F130">
            <v>-128.00000000000003</v>
          </cell>
          <cell r="G130">
            <v>-128.00000000000003</v>
          </cell>
          <cell r="H130">
            <v>25.000000000000053</v>
          </cell>
          <cell r="I130">
            <v>30.999999999999826</v>
          </cell>
          <cell r="J130">
            <v>21.000000000000117</v>
          </cell>
          <cell r="K130">
            <v>1.999999999999911</v>
          </cell>
          <cell r="L130">
            <v>1.0000000000002451</v>
          </cell>
          <cell r="M130">
            <v>-4.0000000000000995</v>
          </cell>
          <cell r="N130">
            <v>-9.0000000000000639</v>
          </cell>
          <cell r="O130">
            <v>0</v>
          </cell>
        </row>
        <row r="131"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</row>
        <row r="132">
          <cell r="D132">
            <v>-2.0000000000000009</v>
          </cell>
          <cell r="E132">
            <v>-2.0000000000000009</v>
          </cell>
          <cell r="F132">
            <v>-2.0000000000000009</v>
          </cell>
          <cell r="G132">
            <v>-2.0000000000000009</v>
          </cell>
          <cell r="H132">
            <v>-2.0000000000000009</v>
          </cell>
          <cell r="I132">
            <v>-2.0000000000000009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</row>
        <row r="133">
          <cell r="D133">
            <v>-58.000000000000014</v>
          </cell>
          <cell r="E133">
            <v>-59.999999999999993</v>
          </cell>
          <cell r="F133">
            <v>-59.999999999999993</v>
          </cell>
          <cell r="G133">
            <v>-63.000000000000007</v>
          </cell>
          <cell r="H133">
            <v>-50</v>
          </cell>
          <cell r="I133">
            <v>-50</v>
          </cell>
          <cell r="J133">
            <v>-47</v>
          </cell>
          <cell r="K133">
            <v>-34</v>
          </cell>
          <cell r="L133">
            <v>-9.0000000000000036</v>
          </cell>
          <cell r="M133">
            <v>-6.9999999999999911</v>
          </cell>
          <cell r="N133">
            <v>0</v>
          </cell>
          <cell r="O133">
            <v>0</v>
          </cell>
        </row>
        <row r="134">
          <cell r="D134">
            <v>-0.99999999999999645</v>
          </cell>
          <cell r="E134">
            <v>-0.99999999999999645</v>
          </cell>
          <cell r="F134">
            <v>-0.99999999999999645</v>
          </cell>
          <cell r="G134">
            <v>-0.99999999999999645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-0.99999999999999645</v>
          </cell>
          <cell r="N134">
            <v>-1.9999999999999982</v>
          </cell>
          <cell r="O134">
            <v>0</v>
          </cell>
        </row>
        <row r="135">
          <cell r="D135">
            <v>-30.000000000000011</v>
          </cell>
          <cell r="E135">
            <v>-27.999999999999961</v>
          </cell>
          <cell r="F135">
            <v>-20.999999999999982</v>
          </cell>
          <cell r="G135">
            <v>-23.999999999999968</v>
          </cell>
          <cell r="H135">
            <v>-19.000000000000053</v>
          </cell>
          <cell r="I135">
            <v>-19.000000000000053</v>
          </cell>
          <cell r="J135">
            <v>-7.9999999999999449</v>
          </cell>
          <cell r="K135">
            <v>-7.9999999999999449</v>
          </cell>
          <cell r="L135">
            <v>-4.0000000000000444</v>
          </cell>
          <cell r="M135">
            <v>-4.0000000000000444</v>
          </cell>
          <cell r="N135">
            <v>0</v>
          </cell>
          <cell r="O135">
            <v>0</v>
          </cell>
        </row>
        <row r="136">
          <cell r="D136">
            <v>-9.0000000000000018</v>
          </cell>
          <cell r="E136">
            <v>-12.000000000000011</v>
          </cell>
          <cell r="F136">
            <v>-9.0000000000000018</v>
          </cell>
          <cell r="G136">
            <v>-9.0000000000000018</v>
          </cell>
          <cell r="H136">
            <v>-10.000000000000011</v>
          </cell>
          <cell r="I136">
            <v>-8.0000000000000089</v>
          </cell>
          <cell r="J136">
            <v>-7.0000000000000231</v>
          </cell>
          <cell r="K136">
            <v>-10.000000000000011</v>
          </cell>
          <cell r="L136">
            <v>-1.9999999999999929</v>
          </cell>
          <cell r="M136">
            <v>6.000000000000032</v>
          </cell>
          <cell r="N136">
            <v>2.9999999999999991</v>
          </cell>
          <cell r="O136">
            <v>0</v>
          </cell>
        </row>
        <row r="137">
          <cell r="D137">
            <v>374.00000000000307</v>
          </cell>
          <cell r="E137">
            <v>175.00000000000207</v>
          </cell>
          <cell r="F137">
            <v>339.00000000000341</v>
          </cell>
          <cell r="G137">
            <v>1420.0000000000061</v>
          </cell>
          <cell r="H137">
            <v>1822.9999999999927</v>
          </cell>
          <cell r="I137">
            <v>1724.9999999999993</v>
          </cell>
          <cell r="J137">
            <v>1113.0000000000043</v>
          </cell>
          <cell r="K137">
            <v>400.99999999999386</v>
          </cell>
          <cell r="L137">
            <v>173.99999999999335</v>
          </cell>
          <cell r="M137">
            <v>120.99999999999699</v>
          </cell>
          <cell r="N137">
            <v>-94.99999999999558</v>
          </cell>
          <cell r="O137">
            <v>0</v>
          </cell>
        </row>
        <row r="138">
          <cell r="D138">
            <v>-1.0000000000000018</v>
          </cell>
          <cell r="E138">
            <v>-1.0000000000000018</v>
          </cell>
          <cell r="F138">
            <v>-1.0000000000000018</v>
          </cell>
          <cell r="G138">
            <v>-1.0000000000000018</v>
          </cell>
          <cell r="H138">
            <v>-1.0000000000000018</v>
          </cell>
          <cell r="I138">
            <v>0</v>
          </cell>
          <cell r="J138">
            <v>-2.0000000000000089</v>
          </cell>
          <cell r="K138">
            <v>-1.0000000000000018</v>
          </cell>
          <cell r="L138">
            <v>-4.9999999999999956</v>
          </cell>
          <cell r="M138">
            <v>-2.0000000000000089</v>
          </cell>
          <cell r="N138">
            <v>0</v>
          </cell>
          <cell r="O138">
            <v>0</v>
          </cell>
        </row>
        <row r="139">
          <cell r="D139">
            <v>-0.99999999999999978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-9.0000000000000124</v>
          </cell>
          <cell r="E140">
            <v>-5.0000000000000195</v>
          </cell>
          <cell r="F140">
            <v>-5.0000000000000195</v>
          </cell>
          <cell r="G140">
            <v>1.0000000000000089</v>
          </cell>
          <cell r="H140">
            <v>-1.0000000000000224</v>
          </cell>
          <cell r="I140">
            <v>0</v>
          </cell>
          <cell r="J140">
            <v>-1.0000000000000224</v>
          </cell>
          <cell r="K140">
            <v>-9.0000000000000124</v>
          </cell>
          <cell r="L140">
            <v>-4.0000000000000178</v>
          </cell>
          <cell r="M140">
            <v>-2.0000000000000102</v>
          </cell>
          <cell r="N140">
            <v>-1.0000000000000224</v>
          </cell>
          <cell r="O140">
            <v>0</v>
          </cell>
        </row>
        <row r="141">
          <cell r="D141">
            <v>1.0000000000000009</v>
          </cell>
          <cell r="E141">
            <v>1.0000000000000009</v>
          </cell>
          <cell r="F141">
            <v>1.0000000000000009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</row>
        <row r="142">
          <cell r="D142">
            <v>1.9999999999999996</v>
          </cell>
          <cell r="E142">
            <v>0</v>
          </cell>
          <cell r="F142">
            <v>0</v>
          </cell>
          <cell r="G142">
            <v>0</v>
          </cell>
          <cell r="H142">
            <v>-2</v>
          </cell>
          <cell r="I142">
            <v>-2</v>
          </cell>
          <cell r="J142">
            <v>0</v>
          </cell>
          <cell r="K142">
            <v>0</v>
          </cell>
          <cell r="L142">
            <v>-1.0000000000000004</v>
          </cell>
          <cell r="M142">
            <v>0</v>
          </cell>
          <cell r="N142">
            <v>0</v>
          </cell>
          <cell r="O142">
            <v>0</v>
          </cell>
        </row>
        <row r="143">
          <cell r="D143">
            <v>145.9999999999994</v>
          </cell>
          <cell r="E143">
            <v>158.99999999999972</v>
          </cell>
          <cell r="F143">
            <v>139.99999999999991</v>
          </cell>
          <cell r="G143">
            <v>40.999999999998892</v>
          </cell>
          <cell r="H143">
            <v>-9.0000000000004317</v>
          </cell>
          <cell r="I143">
            <v>-7.9999999999995151</v>
          </cell>
          <cell r="J143">
            <v>2.9999999999986624</v>
          </cell>
          <cell r="K143">
            <v>5.0000000000005453</v>
          </cell>
          <cell r="L143">
            <v>-26.000000000000423</v>
          </cell>
          <cell r="M143">
            <v>-13.000000000000572</v>
          </cell>
          <cell r="N143">
            <v>-63.999999999999993</v>
          </cell>
          <cell r="O143">
            <v>0</v>
          </cell>
        </row>
        <row r="144">
          <cell r="D144">
            <v>2.0000000000000124</v>
          </cell>
          <cell r="E144">
            <v>1.0000000000000151</v>
          </cell>
          <cell r="F144">
            <v>2.0000000000000124</v>
          </cell>
          <cell r="G144">
            <v>2.0000000000000124</v>
          </cell>
          <cell r="H144">
            <v>2.0000000000000124</v>
          </cell>
          <cell r="I144">
            <v>2.0000000000000124</v>
          </cell>
          <cell r="J144">
            <v>2.0000000000000124</v>
          </cell>
          <cell r="K144">
            <v>1.0000000000000151</v>
          </cell>
          <cell r="L144">
            <v>0</v>
          </cell>
          <cell r="M144">
            <v>0</v>
          </cell>
          <cell r="N144">
            <v>-5.9999999999999964</v>
          </cell>
          <cell r="O144">
            <v>0</v>
          </cell>
        </row>
        <row r="145">
          <cell r="D145">
            <v>-21.999999999999975</v>
          </cell>
          <cell r="E145">
            <v>-21.999999999999975</v>
          </cell>
          <cell r="F145">
            <v>-26.999999999999996</v>
          </cell>
          <cell r="G145">
            <v>-17.999999999999975</v>
          </cell>
          <cell r="H145">
            <v>-18.999999999999986</v>
          </cell>
          <cell r="I145">
            <v>-18.999999999999986</v>
          </cell>
          <cell r="J145">
            <v>-16.999999999999979</v>
          </cell>
          <cell r="K145">
            <v>-15.999999999999989</v>
          </cell>
          <cell r="L145">
            <v>-7.9999999999999867</v>
          </cell>
          <cell r="M145">
            <v>-4.9999999999999822</v>
          </cell>
          <cell r="N145">
            <v>-7.0000000000000009</v>
          </cell>
          <cell r="O145">
            <v>0</v>
          </cell>
        </row>
        <row r="146">
          <cell r="D146">
            <v>2.9999999999999973</v>
          </cell>
          <cell r="E146">
            <v>0.99999999999999911</v>
          </cell>
          <cell r="F146">
            <v>2</v>
          </cell>
          <cell r="G146">
            <v>2</v>
          </cell>
          <cell r="H146">
            <v>2.9999999999999973</v>
          </cell>
          <cell r="I146">
            <v>2</v>
          </cell>
          <cell r="J146">
            <v>2</v>
          </cell>
          <cell r="K146">
            <v>2</v>
          </cell>
          <cell r="L146">
            <v>-1.0000000000000004</v>
          </cell>
          <cell r="M146">
            <v>0.99999999999999911</v>
          </cell>
          <cell r="N146">
            <v>-1.0000000000000004</v>
          </cell>
          <cell r="O146">
            <v>0</v>
          </cell>
        </row>
        <row r="147">
          <cell r="D147">
            <v>0.9999999999999698</v>
          </cell>
          <cell r="E147">
            <v>0.9999999999999698</v>
          </cell>
          <cell r="F147">
            <v>0.9999999999999698</v>
          </cell>
          <cell r="G147">
            <v>0.9999999999999698</v>
          </cell>
          <cell r="H147">
            <v>1.9999999999999929</v>
          </cell>
          <cell r="I147">
            <v>1.9999999999999929</v>
          </cell>
          <cell r="J147">
            <v>0</v>
          </cell>
          <cell r="K147">
            <v>-2.000000000000028</v>
          </cell>
          <cell r="L147">
            <v>-3.0000000000000036</v>
          </cell>
          <cell r="M147">
            <v>-3.0000000000000036</v>
          </cell>
          <cell r="N147">
            <v>0.9999999999999698</v>
          </cell>
          <cell r="O147">
            <v>0</v>
          </cell>
        </row>
        <row r="148">
          <cell r="D148">
            <v>9.9999999999999645</v>
          </cell>
          <cell r="E148">
            <v>0.99999999999996136</v>
          </cell>
          <cell r="F148">
            <v>-6.0000000000000195</v>
          </cell>
          <cell r="G148">
            <v>-2.0000000000000187</v>
          </cell>
          <cell r="H148">
            <v>-9.9999999999999911</v>
          </cell>
          <cell r="I148">
            <v>-3.9999999999999964</v>
          </cell>
          <cell r="J148">
            <v>0</v>
          </cell>
          <cell r="K148">
            <v>-13.999999999999975</v>
          </cell>
          <cell r="L148">
            <v>-10.999999999999973</v>
          </cell>
          <cell r="M148">
            <v>-3.9999999999999964</v>
          </cell>
          <cell r="N148">
            <v>-16.000000000000028</v>
          </cell>
          <cell r="O148">
            <v>0</v>
          </cell>
        </row>
        <row r="149">
          <cell r="D149">
            <v>-1.0000000000000004</v>
          </cell>
          <cell r="E149">
            <v>-1.0000000000000004</v>
          </cell>
          <cell r="F149">
            <v>-1.0000000000000004</v>
          </cell>
          <cell r="G149">
            <v>-1.0000000000000004</v>
          </cell>
          <cell r="H149">
            <v>-1.0000000000000004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-1.9999999999999996</v>
          </cell>
          <cell r="E150">
            <v>-1.9999999999999996</v>
          </cell>
          <cell r="F150">
            <v>-1.9999999999999996</v>
          </cell>
          <cell r="G150">
            <v>-1.9999999999999996</v>
          </cell>
          <cell r="H150">
            <v>-1.9999999999999996</v>
          </cell>
          <cell r="I150">
            <v>-1.9999999999999996</v>
          </cell>
          <cell r="J150">
            <v>-1.9999999999999996</v>
          </cell>
          <cell r="K150">
            <v>-1.9999999999999996</v>
          </cell>
          <cell r="L150">
            <v>-0.99999999999999956</v>
          </cell>
          <cell r="M150">
            <v>0</v>
          </cell>
          <cell r="N150">
            <v>0</v>
          </cell>
          <cell r="O150">
            <v>0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</row>
        <row r="153"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</row>
        <row r="154">
          <cell r="D154">
            <v>11.000000000000053</v>
          </cell>
          <cell r="E154">
            <v>6.0000000000000089</v>
          </cell>
          <cell r="F154">
            <v>3.9999999999999813</v>
          </cell>
          <cell r="G154">
            <v>3.9999999999999813</v>
          </cell>
          <cell r="H154">
            <v>6.0000000000000089</v>
          </cell>
          <cell r="I154">
            <v>2.999999999999992</v>
          </cell>
          <cell r="J154">
            <v>2.999999999999992</v>
          </cell>
          <cell r="K154">
            <v>3.9999999999999813</v>
          </cell>
          <cell r="L154">
            <v>-4.9999999999999645</v>
          </cell>
          <cell r="M154">
            <v>-2.9999999999999893</v>
          </cell>
          <cell r="N154">
            <v>0.99999999999999867</v>
          </cell>
          <cell r="O154">
            <v>0</v>
          </cell>
        </row>
        <row r="155">
          <cell r="D155">
            <v>-6.9999999999999556</v>
          </cell>
          <cell r="E155">
            <v>-5.9999999999999787</v>
          </cell>
          <cell r="F155">
            <v>-5.9999999999999787</v>
          </cell>
          <cell r="G155">
            <v>-5.9999999999999787</v>
          </cell>
          <cell r="H155">
            <v>-5.0000000000000666</v>
          </cell>
          <cell r="I155">
            <v>-10.999999999999961</v>
          </cell>
          <cell r="J155">
            <v>-3.9999999999999525</v>
          </cell>
          <cell r="K155">
            <v>-5.9999999999999787</v>
          </cell>
          <cell r="L155">
            <v>-1.9999999999999223</v>
          </cell>
          <cell r="M155">
            <v>-1.9999999999999223</v>
          </cell>
          <cell r="N155">
            <v>-1.9999999999999223</v>
          </cell>
          <cell r="O155">
            <v>0</v>
          </cell>
        </row>
        <row r="156">
          <cell r="D156">
            <v>-4.9999999999999929</v>
          </cell>
          <cell r="E156">
            <v>-3.9999999999999964</v>
          </cell>
          <cell r="F156">
            <v>-3.9999999999999964</v>
          </cell>
          <cell r="G156">
            <v>-3.9999999999999964</v>
          </cell>
          <cell r="H156">
            <v>-2.9999999999999973</v>
          </cell>
          <cell r="I156">
            <v>-1.9999999999999976</v>
          </cell>
          <cell r="J156">
            <v>0.99999999999999045</v>
          </cell>
          <cell r="K156">
            <v>0.99999999999999045</v>
          </cell>
          <cell r="L156">
            <v>-1.9999999999999976</v>
          </cell>
          <cell r="M156">
            <v>0.99999999999999045</v>
          </cell>
          <cell r="N156">
            <v>0.99999999999999045</v>
          </cell>
          <cell r="O156">
            <v>0</v>
          </cell>
        </row>
        <row r="157"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</row>
        <row r="158">
          <cell r="D158">
            <v>-212.0000000000002</v>
          </cell>
          <cell r="E158">
            <v>-154.00000000000003</v>
          </cell>
          <cell r="F158">
            <v>-150.00000000000054</v>
          </cell>
          <cell r="G158">
            <v>-201.00000000000017</v>
          </cell>
          <cell r="H158">
            <v>-228.00000000000065</v>
          </cell>
          <cell r="I158">
            <v>-201.00000000000017</v>
          </cell>
          <cell r="J158">
            <v>-73.000000000000227</v>
          </cell>
          <cell r="K158">
            <v>-83.000000000000412</v>
          </cell>
          <cell r="L158">
            <v>-109.9999999999996</v>
          </cell>
          <cell r="M158">
            <v>-71.999999999999645</v>
          </cell>
          <cell r="N158">
            <v>-73.000000000000227</v>
          </cell>
          <cell r="O158">
            <v>0</v>
          </cell>
        </row>
        <row r="159">
          <cell r="D159">
            <v>1.9999999999999982</v>
          </cell>
          <cell r="E159">
            <v>1.9999999999999982</v>
          </cell>
          <cell r="F159">
            <v>1</v>
          </cell>
          <cell r="G159">
            <v>1</v>
          </cell>
          <cell r="H159">
            <v>1</v>
          </cell>
          <cell r="I159">
            <v>-1.0000000000000002</v>
          </cell>
          <cell r="J159">
            <v>-1.0000000000000002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</row>
        <row r="160">
          <cell r="D160">
            <v>1267</v>
          </cell>
          <cell r="E160">
            <v>1359.999999999998</v>
          </cell>
          <cell r="F160">
            <v>1257.0000000000011</v>
          </cell>
          <cell r="G160">
            <v>334.00000000000028</v>
          </cell>
          <cell r="H160">
            <v>-71.999999999999829</v>
          </cell>
          <cell r="I160">
            <v>-133.99999999999821</v>
          </cell>
          <cell r="J160">
            <v>279.00000000000233</v>
          </cell>
          <cell r="K160">
            <v>266.00000000000409</v>
          </cell>
          <cell r="L160">
            <v>253.99999999999994</v>
          </cell>
          <cell r="M160">
            <v>136.99999999999639</v>
          </cell>
          <cell r="N160">
            <v>8.9999999999967066</v>
          </cell>
          <cell r="O160">
            <v>0</v>
          </cell>
        </row>
        <row r="161">
          <cell r="D161">
            <v>9.9999999999999982</v>
          </cell>
          <cell r="E161">
            <v>6.9999999999999654</v>
          </cell>
          <cell r="F161">
            <v>4.9999999999999858</v>
          </cell>
          <cell r="G161">
            <v>6.9999999999999654</v>
          </cell>
          <cell r="H161">
            <v>4.0000000000000178</v>
          </cell>
          <cell r="I161">
            <v>4.0000000000000178</v>
          </cell>
          <cell r="J161">
            <v>1.9999999999999885</v>
          </cell>
          <cell r="K161">
            <v>-0.99999999999999101</v>
          </cell>
          <cell r="L161">
            <v>-2.0000000000000129</v>
          </cell>
          <cell r="M161">
            <v>-2.0000000000000129</v>
          </cell>
          <cell r="N161">
            <v>0.9999999999999698</v>
          </cell>
          <cell r="O161">
            <v>0</v>
          </cell>
        </row>
        <row r="162">
          <cell r="D162">
            <v>0</v>
          </cell>
          <cell r="E162">
            <v>3</v>
          </cell>
          <cell r="F162">
            <v>3</v>
          </cell>
          <cell r="G162">
            <v>4</v>
          </cell>
          <cell r="H162">
            <v>1.9999999999999929</v>
          </cell>
          <cell r="I162">
            <v>0</v>
          </cell>
          <cell r="J162">
            <v>1.9999999999999929</v>
          </cell>
          <cell r="K162">
            <v>-2.9999999999999973</v>
          </cell>
          <cell r="L162">
            <v>1.9999999999999929</v>
          </cell>
          <cell r="M162">
            <v>-9.0000000000000036</v>
          </cell>
          <cell r="N162">
            <v>-8.0000000000000018</v>
          </cell>
          <cell r="O162">
            <v>0</v>
          </cell>
        </row>
        <row r="163">
          <cell r="D163">
            <v>-0.99999999999999933</v>
          </cell>
          <cell r="E163">
            <v>-0.99999999999999933</v>
          </cell>
          <cell r="F163">
            <v>-0.99999999999999933</v>
          </cell>
          <cell r="G163">
            <v>-0.99999999999999933</v>
          </cell>
          <cell r="H163">
            <v>-0.99999999999999933</v>
          </cell>
          <cell r="I163">
            <v>-0.99999999999999933</v>
          </cell>
          <cell r="J163">
            <v>-0.99999999999999933</v>
          </cell>
          <cell r="K163">
            <v>-0.99999999999999933</v>
          </cell>
          <cell r="L163">
            <v>-0.99999999999999933</v>
          </cell>
          <cell r="M163">
            <v>-0.99999999999999933</v>
          </cell>
          <cell r="N163">
            <v>0</v>
          </cell>
          <cell r="O163">
            <v>0</v>
          </cell>
        </row>
        <row r="164"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</row>
        <row r="165"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</row>
        <row r="166"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</row>
        <row r="167">
          <cell r="D167">
            <v>0</v>
          </cell>
          <cell r="E167">
            <v>0</v>
          </cell>
          <cell r="F167">
            <v>0.99999999999999956</v>
          </cell>
          <cell r="G167">
            <v>-1.0000000000000004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</row>
        <row r="168"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</row>
        <row r="169"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</row>
        <row r="170"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</row>
        <row r="171">
          <cell r="D171">
            <v>0</v>
          </cell>
          <cell r="E171">
            <v>0</v>
          </cell>
          <cell r="F171">
            <v>1</v>
          </cell>
          <cell r="G171">
            <v>-1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</row>
        <row r="172"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</row>
        <row r="173">
          <cell r="D173">
            <v>59</v>
          </cell>
          <cell r="E173">
            <v>59</v>
          </cell>
          <cell r="F173">
            <v>59</v>
          </cell>
          <cell r="G173">
            <v>59</v>
          </cell>
          <cell r="H173">
            <v>59</v>
          </cell>
          <cell r="I173">
            <v>59</v>
          </cell>
          <cell r="J173">
            <v>59.999999999999993</v>
          </cell>
          <cell r="K173">
            <v>44</v>
          </cell>
          <cell r="L173">
            <v>17.999999999999996</v>
          </cell>
          <cell r="M173">
            <v>13.999999999999991</v>
          </cell>
          <cell r="N173">
            <v>7.0000000000000124</v>
          </cell>
          <cell r="O173">
            <v>0</v>
          </cell>
        </row>
        <row r="174"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D176">
            <v>2</v>
          </cell>
          <cell r="E176">
            <v>-2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D177">
            <v>-319</v>
          </cell>
          <cell r="E177">
            <v>-294</v>
          </cell>
          <cell r="F177">
            <v>-255.00000000000031</v>
          </cell>
          <cell r="G177">
            <v>-254.00000000000014</v>
          </cell>
          <cell r="H177">
            <v>-224.99999999999969</v>
          </cell>
          <cell r="I177">
            <v>-185.00000000000028</v>
          </cell>
          <cell r="J177">
            <v>-136.00000000000014</v>
          </cell>
          <cell r="K177">
            <v>-96.999999999999801</v>
          </cell>
          <cell r="L177">
            <v>-56.000000000000199</v>
          </cell>
          <cell r="M177">
            <v>2.9999999999999365</v>
          </cell>
          <cell r="N177">
            <v>9.9999999999994245</v>
          </cell>
          <cell r="O177">
            <v>0</v>
          </cell>
        </row>
        <row r="178">
          <cell r="D178">
            <v>-122.99999999999993</v>
          </cell>
          <cell r="E178">
            <v>89.999999999999886</v>
          </cell>
          <cell r="F178">
            <v>-76.000000000000142</v>
          </cell>
          <cell r="G178">
            <v>-122.99999999999993</v>
          </cell>
          <cell r="H178">
            <v>-84.999999999999915</v>
          </cell>
          <cell r="I178">
            <v>-80.000000000000114</v>
          </cell>
          <cell r="J178">
            <v>-78.000000000000128</v>
          </cell>
          <cell r="K178">
            <v>-72.999999999999929</v>
          </cell>
          <cell r="L178">
            <v>-33.999999999999901</v>
          </cell>
          <cell r="M178">
            <v>-17.999999999999922</v>
          </cell>
          <cell r="N178">
            <v>-6.999999999999905</v>
          </cell>
          <cell r="O178">
            <v>0</v>
          </cell>
        </row>
        <row r="179">
          <cell r="D179">
            <v>-277.99999999999983</v>
          </cell>
          <cell r="E179">
            <v>-254.99999999999986</v>
          </cell>
          <cell r="F179">
            <v>-176.00000000000003</v>
          </cell>
          <cell r="G179">
            <v>-156.00000000000045</v>
          </cell>
          <cell r="H179">
            <v>-178.99999999999949</v>
          </cell>
          <cell r="I179">
            <v>-162.00000000000011</v>
          </cell>
          <cell r="J179">
            <v>-91.000000000000071</v>
          </cell>
          <cell r="K179">
            <v>-45.999999999999545</v>
          </cell>
          <cell r="L179">
            <v>-48.999999999999574</v>
          </cell>
          <cell r="M179">
            <v>1.0000000000007789</v>
          </cell>
          <cell r="N179">
            <v>26.000000000000355</v>
          </cell>
          <cell r="O179">
            <v>0</v>
          </cell>
        </row>
        <row r="180">
          <cell r="D180">
            <v>-443.00000000000017</v>
          </cell>
          <cell r="E180">
            <v>-463.00000000000017</v>
          </cell>
          <cell r="F180">
            <v>-382.99999999999932</v>
          </cell>
          <cell r="G180">
            <v>-361.99999999999943</v>
          </cell>
          <cell r="H180">
            <v>-329.99999999999943</v>
          </cell>
          <cell r="I180">
            <v>-277.00000000000028</v>
          </cell>
          <cell r="J180">
            <v>-199.99999999999957</v>
          </cell>
          <cell r="K180">
            <v>-142.00000000000031</v>
          </cell>
          <cell r="L180">
            <v>-132.99999999999952</v>
          </cell>
          <cell r="M180">
            <v>-65.999999999999957</v>
          </cell>
          <cell r="N180">
            <v>-102.99999999999936</v>
          </cell>
          <cell r="O180">
            <v>0</v>
          </cell>
        </row>
        <row r="181">
          <cell r="D181">
            <v>-161.00000000000009</v>
          </cell>
          <cell r="E181">
            <v>-315.00000000000011</v>
          </cell>
          <cell r="F181">
            <v>-86.000000000000185</v>
          </cell>
          <cell r="G181">
            <v>-130.00000000000011</v>
          </cell>
          <cell r="H181">
            <v>-33.999999999999844</v>
          </cell>
          <cell r="I181">
            <v>-79.999999999999858</v>
          </cell>
          <cell r="J181">
            <v>-45.000000000000085</v>
          </cell>
          <cell r="K181">
            <v>-65.999999999999545</v>
          </cell>
          <cell r="L181">
            <v>-130.00000000000011</v>
          </cell>
          <cell r="M181">
            <v>-7.9999999999998082</v>
          </cell>
          <cell r="N181">
            <v>-107.99999999999977</v>
          </cell>
          <cell r="O181">
            <v>0</v>
          </cell>
        </row>
        <row r="182">
          <cell r="D182">
            <v>-46.999999999999929</v>
          </cell>
          <cell r="E182">
            <v>-37.999999999999972</v>
          </cell>
          <cell r="F182">
            <v>-32.000000000000021</v>
          </cell>
          <cell r="G182">
            <v>-29.000000000000071</v>
          </cell>
          <cell r="H182">
            <v>-27.999999999999982</v>
          </cell>
          <cell r="I182">
            <v>-23.99999999999995</v>
          </cell>
          <cell r="J182">
            <v>-13.999999999999948</v>
          </cell>
          <cell r="K182">
            <v>-10.999999999999975</v>
          </cell>
          <cell r="L182">
            <v>-2.9999999999999547</v>
          </cell>
          <cell r="M182">
            <v>9.0000000000001208</v>
          </cell>
          <cell r="N182">
            <v>4.9999999999999822</v>
          </cell>
          <cell r="O182">
            <v>0</v>
          </cell>
        </row>
        <row r="183">
          <cell r="D183">
            <v>-388.99999999999983</v>
          </cell>
          <cell r="E183">
            <v>-391.00000000000023</v>
          </cell>
          <cell r="F183">
            <v>-309.99999999999994</v>
          </cell>
          <cell r="G183">
            <v>-351.00000000000011</v>
          </cell>
          <cell r="H183">
            <v>-169.00000000000009</v>
          </cell>
          <cell r="I183">
            <v>-330.99999999999977</v>
          </cell>
          <cell r="J183">
            <v>-303.99999999999977</v>
          </cell>
          <cell r="K183">
            <v>-330.99999999999977</v>
          </cell>
          <cell r="L183">
            <v>-277.99999999999972</v>
          </cell>
          <cell r="M183">
            <v>-227.00000000000003</v>
          </cell>
          <cell r="N183">
            <v>-219.00000000000028</v>
          </cell>
          <cell r="O183">
            <v>0</v>
          </cell>
        </row>
        <row r="184">
          <cell r="D184">
            <v>-352.00000000000023</v>
          </cell>
          <cell r="E184">
            <v>-387.99999999999966</v>
          </cell>
          <cell r="F184">
            <v>-287.99999999999949</v>
          </cell>
          <cell r="G184">
            <v>-337.99999999999966</v>
          </cell>
          <cell r="H184">
            <v>-106.99999999999957</v>
          </cell>
          <cell r="I184">
            <v>-228.0000000000004</v>
          </cell>
          <cell r="J184">
            <v>-173.00000000000043</v>
          </cell>
          <cell r="K184">
            <v>-157.99999999999983</v>
          </cell>
          <cell r="L184">
            <v>-139.00000000000054</v>
          </cell>
          <cell r="M184">
            <v>-99.000000000000654</v>
          </cell>
          <cell r="N184">
            <v>-25.999999999999375</v>
          </cell>
          <cell r="O184">
            <v>0</v>
          </cell>
        </row>
        <row r="185">
          <cell r="D185">
            <v>-75.000000000000185</v>
          </cell>
          <cell r="E185">
            <v>-79.999999999999815</v>
          </cell>
          <cell r="F185">
            <v>-65.999999999999858</v>
          </cell>
          <cell r="G185">
            <v>-81.000000000000156</v>
          </cell>
          <cell r="H185">
            <v>-54.999999999999922</v>
          </cell>
          <cell r="I185">
            <v>-29.000000000000057</v>
          </cell>
          <cell r="J185">
            <v>-37.999999999999886</v>
          </cell>
          <cell r="K185">
            <v>-125.99999999999999</v>
          </cell>
          <cell r="L185">
            <v>0</v>
          </cell>
          <cell r="M185">
            <v>-29.000000000000057</v>
          </cell>
          <cell r="N185">
            <v>13.000000000000504</v>
          </cell>
          <cell r="O185">
            <v>0</v>
          </cell>
        </row>
        <row r="186">
          <cell r="D186">
            <v>-61.000000000000043</v>
          </cell>
          <cell r="E186">
            <v>-45.999999999999908</v>
          </cell>
          <cell r="F186">
            <v>-49.000000000000057</v>
          </cell>
          <cell r="G186">
            <v>-58.999999999999964</v>
          </cell>
          <cell r="H186">
            <v>-45.000000000000043</v>
          </cell>
          <cell r="I186">
            <v>-32.999999999999972</v>
          </cell>
          <cell r="J186">
            <v>-16.999999999999989</v>
          </cell>
          <cell r="K186">
            <v>-25.99999999999994</v>
          </cell>
          <cell r="L186">
            <v>-31.00000000000005</v>
          </cell>
          <cell r="M186">
            <v>-14.999999999999954</v>
          </cell>
          <cell r="N186">
            <v>-10.000000000000092</v>
          </cell>
          <cell r="O186">
            <v>0</v>
          </cell>
        </row>
        <row r="187">
          <cell r="D187">
            <v>-36.999999999999837</v>
          </cell>
          <cell r="E187">
            <v>-41.000000000000163</v>
          </cell>
          <cell r="F187">
            <v>-66.000000000000156</v>
          </cell>
          <cell r="G187">
            <v>-73.000000000000171</v>
          </cell>
          <cell r="H187">
            <v>67.999999999999758</v>
          </cell>
          <cell r="I187">
            <v>-71.999999999999972</v>
          </cell>
          <cell r="J187">
            <v>-59.999999999999837</v>
          </cell>
          <cell r="K187">
            <v>-29.99999999999995</v>
          </cell>
          <cell r="L187">
            <v>-34.000000000000007</v>
          </cell>
          <cell r="M187">
            <v>-8.0000000000001865</v>
          </cell>
          <cell r="N187">
            <v>4.9999999999998295</v>
          </cell>
          <cell r="O187">
            <v>0</v>
          </cell>
        </row>
        <row r="188">
          <cell r="D188">
            <v>-141.99999999999986</v>
          </cell>
          <cell r="E188">
            <v>-183.99999999999991</v>
          </cell>
          <cell r="F188">
            <v>-182</v>
          </cell>
          <cell r="G188">
            <v>-202.00000000000006</v>
          </cell>
          <cell r="H188">
            <v>37.000000000000128</v>
          </cell>
          <cell r="I188">
            <v>-128</v>
          </cell>
          <cell r="J188">
            <v>-98.000000000000171</v>
          </cell>
          <cell r="K188">
            <v>-97.000000000000014</v>
          </cell>
          <cell r="L188">
            <v>-66.000000000000171</v>
          </cell>
          <cell r="M188">
            <v>-26.999999999999869</v>
          </cell>
          <cell r="N188">
            <v>-32.999999999999943</v>
          </cell>
          <cell r="O188">
            <v>0</v>
          </cell>
        </row>
        <row r="189">
          <cell r="D189">
            <v>-61.999999999999929</v>
          </cell>
          <cell r="E189">
            <v>-52.00000000000005</v>
          </cell>
          <cell r="F189">
            <v>-35.99999999999995</v>
          </cell>
          <cell r="G189">
            <v>-57.000000000000064</v>
          </cell>
          <cell r="H189">
            <v>-52.99999999999995</v>
          </cell>
          <cell r="I189">
            <v>-50</v>
          </cell>
          <cell r="J189">
            <v>-24.999999999999957</v>
          </cell>
          <cell r="K189">
            <v>-33.999999999999964</v>
          </cell>
          <cell r="L189">
            <v>-25.999999999999979</v>
          </cell>
          <cell r="M189">
            <v>-8.9999999999999432</v>
          </cell>
          <cell r="N189">
            <v>-12.999999999999932</v>
          </cell>
          <cell r="O189">
            <v>0</v>
          </cell>
        </row>
        <row r="190">
          <cell r="D190">
            <v>-18.999999999999993</v>
          </cell>
          <cell r="E190">
            <v>-15.999999999999975</v>
          </cell>
          <cell r="F190">
            <v>-18.999999999999993</v>
          </cell>
          <cell r="G190">
            <v>-16.999999999999996</v>
          </cell>
          <cell r="H190">
            <v>-16.999999999999996</v>
          </cell>
          <cell r="I190">
            <v>-15.999999999999975</v>
          </cell>
          <cell r="J190">
            <v>-11.000000000000014</v>
          </cell>
          <cell r="K190">
            <v>-11.000000000000014</v>
          </cell>
          <cell r="L190">
            <v>-2.9999999999999991</v>
          </cell>
          <cell r="M190">
            <v>1.0000000000000113</v>
          </cell>
          <cell r="N190">
            <v>-13.999999999999989</v>
          </cell>
          <cell r="O190">
            <v>0</v>
          </cell>
        </row>
        <row r="191"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</row>
        <row r="192">
          <cell r="D192">
            <v>-16.999999999999993</v>
          </cell>
          <cell r="E192">
            <v>-4.0000000000000036</v>
          </cell>
          <cell r="F192">
            <v>-2.9999999999999827</v>
          </cell>
          <cell r="G192">
            <v>-6.0000000000000124</v>
          </cell>
          <cell r="H192">
            <v>-6.0000000000000124</v>
          </cell>
          <cell r="I192">
            <v>0</v>
          </cell>
          <cell r="J192">
            <v>-1.0000000000000009</v>
          </cell>
          <cell r="K192">
            <v>0</v>
          </cell>
          <cell r="L192">
            <v>-1.999999999999982</v>
          </cell>
          <cell r="M192">
            <v>0.99999999999999423</v>
          </cell>
          <cell r="N192">
            <v>-12.999999999999991</v>
          </cell>
          <cell r="O192">
            <v>0</v>
          </cell>
        </row>
        <row r="193">
          <cell r="D193">
            <v>298</v>
          </cell>
          <cell r="E193">
            <v>278</v>
          </cell>
          <cell r="F193">
            <v>273</v>
          </cell>
          <cell r="G193">
            <v>254</v>
          </cell>
          <cell r="H193">
            <v>242.00000000000003</v>
          </cell>
          <cell r="I193">
            <v>208</v>
          </cell>
          <cell r="J193">
            <v>187</v>
          </cell>
          <cell r="K193">
            <v>159.00000000000003</v>
          </cell>
          <cell r="L193">
            <v>120.99999999999999</v>
          </cell>
          <cell r="M193">
            <v>101</v>
          </cell>
          <cell r="N193">
            <v>67.999999999999972</v>
          </cell>
          <cell r="O193">
            <v>0</v>
          </cell>
        </row>
        <row r="194">
          <cell r="D194">
            <v>207.99999999999997</v>
          </cell>
          <cell r="E194">
            <v>195.00000000000003</v>
          </cell>
          <cell r="F194">
            <v>166.99999999999997</v>
          </cell>
          <cell r="G194">
            <v>154.00000000000003</v>
          </cell>
          <cell r="H194">
            <v>148</v>
          </cell>
          <cell r="I194">
            <v>128.00000000000003</v>
          </cell>
          <cell r="J194">
            <v>122.00000000000003</v>
          </cell>
          <cell r="K194">
            <v>97.999999999999986</v>
          </cell>
          <cell r="L194">
            <v>78.000000000000028</v>
          </cell>
          <cell r="M194">
            <v>49.000000000000021</v>
          </cell>
          <cell r="N194">
            <v>19.999999999999982</v>
          </cell>
          <cell r="O194">
            <v>0</v>
          </cell>
        </row>
        <row r="195">
          <cell r="D195">
            <v>362</v>
          </cell>
          <cell r="E195">
            <v>374</v>
          </cell>
          <cell r="F195">
            <v>350</v>
          </cell>
          <cell r="G195">
            <v>322.00000000000006</v>
          </cell>
          <cell r="H195">
            <v>239</v>
          </cell>
          <cell r="I195">
            <v>240.99999999999997</v>
          </cell>
          <cell r="J195">
            <v>206.00000000000003</v>
          </cell>
          <cell r="K195">
            <v>177.00000000000003</v>
          </cell>
          <cell r="L195">
            <v>118.99999999999999</v>
          </cell>
          <cell r="M195">
            <v>102.99999999999999</v>
          </cell>
          <cell r="N195">
            <v>66.000000000000014</v>
          </cell>
          <cell r="O195">
            <v>0</v>
          </cell>
        </row>
        <row r="196">
          <cell r="D196">
            <v>5.9999999999999991</v>
          </cell>
          <cell r="E196">
            <v>5.9999999999999991</v>
          </cell>
          <cell r="F196">
            <v>5.9999999999999991</v>
          </cell>
          <cell r="G196">
            <v>5.9999999999999991</v>
          </cell>
          <cell r="H196">
            <v>3.9999999999999991</v>
          </cell>
          <cell r="I196">
            <v>3</v>
          </cell>
          <cell r="J196">
            <v>3</v>
          </cell>
          <cell r="K196">
            <v>3</v>
          </cell>
          <cell r="L196">
            <v>3</v>
          </cell>
          <cell r="M196">
            <v>2.0000000000000004</v>
          </cell>
          <cell r="N196">
            <v>0</v>
          </cell>
          <cell r="O196">
            <v>0</v>
          </cell>
        </row>
        <row r="197">
          <cell r="D197">
            <v>21</v>
          </cell>
          <cell r="E197">
            <v>21</v>
          </cell>
          <cell r="F197">
            <v>19</v>
          </cell>
          <cell r="G197">
            <v>19</v>
          </cell>
          <cell r="H197">
            <v>19</v>
          </cell>
          <cell r="I197">
            <v>17</v>
          </cell>
          <cell r="J197">
            <v>15</v>
          </cell>
          <cell r="K197">
            <v>13.000000000000002</v>
          </cell>
          <cell r="L197">
            <v>11</v>
          </cell>
          <cell r="M197">
            <v>3.0000000000000009</v>
          </cell>
          <cell r="N197">
            <v>2.0000000000000018</v>
          </cell>
          <cell r="O197">
            <v>0</v>
          </cell>
        </row>
        <row r="198">
          <cell r="D198">
            <v>314</v>
          </cell>
          <cell r="E198">
            <v>310</v>
          </cell>
          <cell r="F198">
            <v>352</v>
          </cell>
          <cell r="G198">
            <v>303</v>
          </cell>
          <cell r="H198">
            <v>287</v>
          </cell>
          <cell r="I198">
            <v>285</v>
          </cell>
          <cell r="J198">
            <v>277</v>
          </cell>
          <cell r="K198">
            <v>278</v>
          </cell>
          <cell r="L198">
            <v>270</v>
          </cell>
          <cell r="M198">
            <v>270</v>
          </cell>
          <cell r="N198">
            <v>259</v>
          </cell>
          <cell r="O198">
            <v>0</v>
          </cell>
        </row>
        <row r="199">
          <cell r="D199">
            <v>64</v>
          </cell>
          <cell r="E199">
            <v>64</v>
          </cell>
          <cell r="F199">
            <v>64</v>
          </cell>
          <cell r="G199">
            <v>64</v>
          </cell>
          <cell r="H199">
            <v>64</v>
          </cell>
          <cell r="I199">
            <v>64</v>
          </cell>
          <cell r="J199">
            <v>62</v>
          </cell>
          <cell r="K199">
            <v>54</v>
          </cell>
          <cell r="L199">
            <v>39</v>
          </cell>
          <cell r="M199">
            <v>14.999999999999995</v>
          </cell>
          <cell r="N199">
            <v>10.999999999999998</v>
          </cell>
          <cell r="O199">
            <v>0</v>
          </cell>
        </row>
        <row r="200">
          <cell r="D200">
            <v>-18.000000000000011</v>
          </cell>
          <cell r="E200">
            <v>-16.000000000000004</v>
          </cell>
          <cell r="F200">
            <v>-11.999999999999957</v>
          </cell>
          <cell r="G200">
            <v>-11.000000000000057</v>
          </cell>
          <cell r="H200">
            <v>-161.99999999999994</v>
          </cell>
          <cell r="I200">
            <v>-6.9999999999999751</v>
          </cell>
          <cell r="J200">
            <v>-4.9999999999999982</v>
          </cell>
          <cell r="K200">
            <v>-4.9999999999999982</v>
          </cell>
          <cell r="L200">
            <v>-5.9999999999999094</v>
          </cell>
          <cell r="M200">
            <v>-18.000000000000011</v>
          </cell>
          <cell r="N200">
            <v>0</v>
          </cell>
          <cell r="O200">
            <v>0</v>
          </cell>
        </row>
        <row r="201">
          <cell r="D201">
            <v>-384.00000000000017</v>
          </cell>
          <cell r="E201">
            <v>-354.00000000000006</v>
          </cell>
          <cell r="F201">
            <v>-347.99999999999972</v>
          </cell>
          <cell r="G201">
            <v>-341.99999999999983</v>
          </cell>
          <cell r="H201">
            <v>-334.99999999999994</v>
          </cell>
          <cell r="I201">
            <v>-269.99999999999983</v>
          </cell>
          <cell r="J201">
            <v>-62.000000000000149</v>
          </cell>
          <cell r="K201">
            <v>-60.000000000000227</v>
          </cell>
          <cell r="L201">
            <v>-89.000000000000071</v>
          </cell>
          <cell r="M201">
            <v>-39.99999999999978</v>
          </cell>
          <cell r="N201">
            <v>-28</v>
          </cell>
          <cell r="O201">
            <v>0</v>
          </cell>
        </row>
        <row r="202">
          <cell r="D202">
            <v>-118.0000000000001</v>
          </cell>
          <cell r="E202">
            <v>-110.00000000000003</v>
          </cell>
          <cell r="F202">
            <v>-136.99999999999983</v>
          </cell>
          <cell r="G202">
            <v>-91.999999999999972</v>
          </cell>
          <cell r="H202">
            <v>-104.99999999999994</v>
          </cell>
          <cell r="I202">
            <v>-53.000000000000099</v>
          </cell>
          <cell r="J202">
            <v>-19.000000000000011</v>
          </cell>
          <cell r="K202">
            <v>-15.000000000000133</v>
          </cell>
          <cell r="L202">
            <v>-36.999999999999872</v>
          </cell>
          <cell r="M202">
            <v>-10.999999999999961</v>
          </cell>
          <cell r="N202">
            <v>-2.999999999999901</v>
          </cell>
          <cell r="O202">
            <v>0</v>
          </cell>
        </row>
        <row r="203"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</row>
        <row r="204"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</row>
        <row r="205">
          <cell r="D205">
            <v>-10.000000000000002</v>
          </cell>
          <cell r="E205">
            <v>-10.000000000000002</v>
          </cell>
          <cell r="F205">
            <v>-10.000000000000002</v>
          </cell>
          <cell r="G205">
            <v>-10.000000000000002</v>
          </cell>
          <cell r="H205">
            <v>-10.000000000000002</v>
          </cell>
          <cell r="I205">
            <v>-8.9999999999999982</v>
          </cell>
          <cell r="J205">
            <v>-8.9999999999999982</v>
          </cell>
          <cell r="K205">
            <v>-8.9999999999999982</v>
          </cell>
          <cell r="L205">
            <v>-8.9999999999999982</v>
          </cell>
          <cell r="M205">
            <v>-8</v>
          </cell>
          <cell r="N205">
            <v>-8</v>
          </cell>
          <cell r="O205">
            <v>0</v>
          </cell>
        </row>
        <row r="206">
          <cell r="D206">
            <v>-218.99999999999932</v>
          </cell>
          <cell r="E206">
            <v>-160.00000000000085</v>
          </cell>
          <cell r="F206">
            <v>-368.0000000000008</v>
          </cell>
          <cell r="G206">
            <v>-157.99999999999977</v>
          </cell>
          <cell r="H206">
            <v>-152.99999999999972</v>
          </cell>
          <cell r="I206">
            <v>-109.99999999999933</v>
          </cell>
          <cell r="J206">
            <v>-152.99999999999972</v>
          </cell>
          <cell r="K206">
            <v>-129.99999999999943</v>
          </cell>
          <cell r="L206">
            <v>-165.99999999999912</v>
          </cell>
          <cell r="M206">
            <v>-75.999999999999503</v>
          </cell>
          <cell r="N206">
            <v>-34.999999999999226</v>
          </cell>
          <cell r="O206">
            <v>0</v>
          </cell>
        </row>
        <row r="207">
          <cell r="D207">
            <v>-130.00000000000031</v>
          </cell>
          <cell r="E207">
            <v>-127.99999999999999</v>
          </cell>
          <cell r="F207">
            <v>-104.99999999999946</v>
          </cell>
          <cell r="G207">
            <v>-92.999999999999588</v>
          </cell>
          <cell r="H207">
            <v>-88.000000000000597</v>
          </cell>
          <cell r="I207">
            <v>-72.999999999999503</v>
          </cell>
          <cell r="J207">
            <v>-57.000000000000504</v>
          </cell>
          <cell r="K207">
            <v>-53.999999999999659</v>
          </cell>
          <cell r="L207">
            <v>-37.999999999999417</v>
          </cell>
          <cell r="M207">
            <v>-26.999999999999989</v>
          </cell>
          <cell r="N207">
            <v>-10.999999999999607</v>
          </cell>
          <cell r="O207">
            <v>0</v>
          </cell>
        </row>
        <row r="208">
          <cell r="D208">
            <v>-1233.9999999999989</v>
          </cell>
          <cell r="E208">
            <v>-1236.9999999999986</v>
          </cell>
          <cell r="F208">
            <v>-1294.9999999999986</v>
          </cell>
          <cell r="G208">
            <v>-1133.9999999999998</v>
          </cell>
          <cell r="H208">
            <v>-420.00000000000091</v>
          </cell>
          <cell r="I208">
            <v>715.0000000000025</v>
          </cell>
          <cell r="J208">
            <v>-168.9999999999981</v>
          </cell>
          <cell r="K208">
            <v>-270.99999999999989</v>
          </cell>
          <cell r="L208">
            <v>-143.00000000000168</v>
          </cell>
          <cell r="M208">
            <v>-255.99999999999898</v>
          </cell>
          <cell r="N208">
            <v>-64.999999999999901</v>
          </cell>
          <cell r="O208">
            <v>0</v>
          </cell>
        </row>
        <row r="209">
          <cell r="D209">
            <v>-800.00000000000091</v>
          </cell>
          <cell r="E209">
            <v>-1550.9999999999991</v>
          </cell>
          <cell r="F209">
            <v>-678.00000000000227</v>
          </cell>
          <cell r="G209">
            <v>-581.00000000000045</v>
          </cell>
          <cell r="H209">
            <v>-1272.0000000000018</v>
          </cell>
          <cell r="I209">
            <v>-543.00000000000023</v>
          </cell>
          <cell r="J209">
            <v>-592.00000000000182</v>
          </cell>
          <cell r="K209">
            <v>-900.99999999999795</v>
          </cell>
          <cell r="L209">
            <v>-371.00000000000108</v>
          </cell>
          <cell r="M209">
            <v>-1275.0000000000014</v>
          </cell>
          <cell r="N209">
            <v>-273.99999999999841</v>
          </cell>
          <cell r="O209">
            <v>0</v>
          </cell>
        </row>
        <row r="210">
          <cell r="D210">
            <v>0.99999999999971223</v>
          </cell>
          <cell r="E210">
            <v>0.99999999999971223</v>
          </cell>
          <cell r="F210">
            <v>0</v>
          </cell>
          <cell r="G210">
            <v>4.0000000000002256</v>
          </cell>
          <cell r="H210">
            <v>-43.000000000000128</v>
          </cell>
          <cell r="I210">
            <v>4.9999999999999716</v>
          </cell>
          <cell r="J210">
            <v>9.999999999999698</v>
          </cell>
          <cell r="K210">
            <v>-5.0000000000000684</v>
          </cell>
          <cell r="L210">
            <v>0</v>
          </cell>
          <cell r="M210">
            <v>-3.9999999999999645</v>
          </cell>
          <cell r="N210">
            <v>3.0000000000000853</v>
          </cell>
          <cell r="O210">
            <v>0</v>
          </cell>
        </row>
        <row r="211">
          <cell r="D211">
            <v>1.0000000000000624</v>
          </cell>
          <cell r="E211">
            <v>1.0000000000000624</v>
          </cell>
          <cell r="F211">
            <v>-2.000000000000024</v>
          </cell>
          <cell r="G211">
            <v>1.0000000000000624</v>
          </cell>
          <cell r="H211">
            <v>1.0000000000000624</v>
          </cell>
          <cell r="I211">
            <v>1.9999999999999463</v>
          </cell>
          <cell r="J211">
            <v>0</v>
          </cell>
          <cell r="K211">
            <v>-15.999999999999972</v>
          </cell>
          <cell r="L211">
            <v>0</v>
          </cell>
          <cell r="M211">
            <v>-0.9999999999999698</v>
          </cell>
          <cell r="N211">
            <v>1.0000000000000624</v>
          </cell>
          <cell r="O211">
            <v>0</v>
          </cell>
        </row>
        <row r="212">
          <cell r="D212">
            <v>1.9999999999999913</v>
          </cell>
          <cell r="E212">
            <v>1.9999999999999913</v>
          </cell>
          <cell r="F212">
            <v>1.9999999999999913</v>
          </cell>
          <cell r="G212">
            <v>2.9999999999999893</v>
          </cell>
          <cell r="H212">
            <v>1.0000000000000182</v>
          </cell>
          <cell r="I212">
            <v>1.0000000000000182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D213">
            <v>4.9999999999999405</v>
          </cell>
          <cell r="E213">
            <v>-10.99999999999998</v>
          </cell>
          <cell r="F213">
            <v>-3.0000000000000044</v>
          </cell>
          <cell r="G213">
            <v>-3.0000000000000044</v>
          </cell>
          <cell r="H213">
            <v>-0.99999999999996514</v>
          </cell>
          <cell r="I213">
            <v>-1.9999999999999787</v>
          </cell>
          <cell r="J213">
            <v>-0.99999999999996514</v>
          </cell>
          <cell r="K213">
            <v>-1.9999999999999787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-6.0000000000000036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-2.0000000000000022</v>
          </cell>
          <cell r="N214">
            <v>0</v>
          </cell>
          <cell r="O214">
            <v>0</v>
          </cell>
        </row>
        <row r="215">
          <cell r="D215">
            <v>-5.9999999999999618</v>
          </cell>
          <cell r="E215">
            <v>-4.9999999999999272</v>
          </cell>
          <cell r="F215">
            <v>-5.9999999999999618</v>
          </cell>
          <cell r="G215">
            <v>-5.9999999999999618</v>
          </cell>
          <cell r="H215">
            <v>-4.0000000000000444</v>
          </cell>
          <cell r="I215">
            <v>-3.0000000000000053</v>
          </cell>
          <cell r="J215">
            <v>-10.999999999999979</v>
          </cell>
          <cell r="K215">
            <v>-4.9999999999999272</v>
          </cell>
          <cell r="L215">
            <v>10.99999999999984</v>
          </cell>
          <cell r="M215">
            <v>-14.999999999999947</v>
          </cell>
          <cell r="N215">
            <v>-1.0000000000000133</v>
          </cell>
          <cell r="O215">
            <v>0</v>
          </cell>
        </row>
        <row r="216">
          <cell r="D216">
            <v>-0.99999999999999956</v>
          </cell>
          <cell r="E216">
            <v>-0.99999999999999956</v>
          </cell>
          <cell r="F216">
            <v>-0.99999999999999956</v>
          </cell>
          <cell r="G216">
            <v>-0.99999999999999956</v>
          </cell>
          <cell r="H216">
            <v>-0.99999999999999956</v>
          </cell>
          <cell r="I216">
            <v>-0.99999999999999956</v>
          </cell>
          <cell r="J216">
            <v>-0.99999999999999956</v>
          </cell>
          <cell r="K216">
            <v>-2.0000000000000009</v>
          </cell>
          <cell r="L216">
            <v>0</v>
          </cell>
          <cell r="M216">
            <v>-0.99999999999999956</v>
          </cell>
          <cell r="N216">
            <v>-4</v>
          </cell>
          <cell r="O216">
            <v>0</v>
          </cell>
        </row>
        <row r="217">
          <cell r="D217">
            <v>0.99999999999998224</v>
          </cell>
          <cell r="E217">
            <v>-0.99999999999995648</v>
          </cell>
          <cell r="F217">
            <v>-0.99999999999995648</v>
          </cell>
          <cell r="G217">
            <v>-0.99999999999995648</v>
          </cell>
          <cell r="H217">
            <v>-17.999999999999972</v>
          </cell>
          <cell r="I217">
            <v>-0.99999999999995648</v>
          </cell>
          <cell r="J217">
            <v>-0.99999999999995648</v>
          </cell>
          <cell r="K217">
            <v>-0.99999999999995648</v>
          </cell>
          <cell r="L217">
            <v>0.99999999999998224</v>
          </cell>
          <cell r="M217">
            <v>0.99999999999998224</v>
          </cell>
          <cell r="N217">
            <v>0</v>
          </cell>
          <cell r="O217">
            <v>0</v>
          </cell>
        </row>
        <row r="218">
          <cell r="D218">
            <v>-0.99999999999999645</v>
          </cell>
          <cell r="E218">
            <v>-0.99999999999999645</v>
          </cell>
          <cell r="F218">
            <v>-0.99999999999999645</v>
          </cell>
          <cell r="G218">
            <v>-0.99999999999999645</v>
          </cell>
          <cell r="H218">
            <v>-0.99999999999999645</v>
          </cell>
          <cell r="I218">
            <v>-0.99999999999999645</v>
          </cell>
          <cell r="J218">
            <v>0.9999999999999698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</row>
        <row r="219"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</row>
        <row r="220">
          <cell r="D220">
            <v>0</v>
          </cell>
          <cell r="E220">
            <v>0</v>
          </cell>
          <cell r="F220">
            <v>0</v>
          </cell>
          <cell r="G220">
            <v>2.000000000000004</v>
          </cell>
          <cell r="H220">
            <v>-1.9999999999999971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</row>
        <row r="221">
          <cell r="D221">
            <v>474.00000000000006</v>
          </cell>
          <cell r="E221">
            <v>448</v>
          </cell>
          <cell r="F221">
            <v>426</v>
          </cell>
          <cell r="G221">
            <v>531</v>
          </cell>
          <cell r="H221">
            <v>218.99999999999997</v>
          </cell>
          <cell r="I221">
            <v>285.99999999999994</v>
          </cell>
          <cell r="J221">
            <v>148.00000000000006</v>
          </cell>
          <cell r="K221">
            <v>130.00000000000006</v>
          </cell>
          <cell r="L221">
            <v>110.99999999999997</v>
          </cell>
          <cell r="M221">
            <v>84.999999999999929</v>
          </cell>
          <cell r="N221">
            <v>36.000000000000071</v>
          </cell>
          <cell r="O221">
            <v>0</v>
          </cell>
        </row>
        <row r="222">
          <cell r="D222">
            <v>1714.9999999999998</v>
          </cell>
          <cell r="E222">
            <v>1646.9999999999993</v>
          </cell>
          <cell r="F222">
            <v>1606.0000000000007</v>
          </cell>
          <cell r="G222">
            <v>1719.9999999999995</v>
          </cell>
          <cell r="H222">
            <v>341.00000000000097</v>
          </cell>
          <cell r="I222">
            <v>442.99999999999989</v>
          </cell>
          <cell r="J222">
            <v>352.99999999999994</v>
          </cell>
          <cell r="K222">
            <v>304.00000000000091</v>
          </cell>
          <cell r="L222">
            <v>202.99999999999974</v>
          </cell>
          <cell r="M222">
            <v>116.99999999999987</v>
          </cell>
          <cell r="N222">
            <v>51.999999999999176</v>
          </cell>
          <cell r="O222">
            <v>0</v>
          </cell>
        </row>
        <row r="223">
          <cell r="D223">
            <v>1198.9999999999995</v>
          </cell>
          <cell r="E223">
            <v>1093.0000000000002</v>
          </cell>
          <cell r="F223">
            <v>1003.9999999999995</v>
          </cell>
          <cell r="G223">
            <v>1397.9999999999995</v>
          </cell>
          <cell r="H223">
            <v>330.00000000000045</v>
          </cell>
          <cell r="I223">
            <v>725.99999999999966</v>
          </cell>
          <cell r="J223">
            <v>621.99999999999966</v>
          </cell>
          <cell r="K223">
            <v>533.9999999999992</v>
          </cell>
          <cell r="L223">
            <v>296.99999999999966</v>
          </cell>
          <cell r="M223">
            <v>218.99999999999926</v>
          </cell>
          <cell r="N223">
            <v>66.999999999999616</v>
          </cell>
          <cell r="O223">
            <v>0</v>
          </cell>
        </row>
        <row r="224">
          <cell r="D224">
            <v>250</v>
          </cell>
          <cell r="E224">
            <v>242.99999999999989</v>
          </cell>
          <cell r="F224">
            <v>231.00000000000009</v>
          </cell>
          <cell r="G224">
            <v>251</v>
          </cell>
          <cell r="H224">
            <v>123.99999999999994</v>
          </cell>
          <cell r="I224">
            <v>155.99999999999994</v>
          </cell>
          <cell r="J224">
            <v>-4.000000000000048</v>
          </cell>
          <cell r="K224">
            <v>96.999999999999915</v>
          </cell>
          <cell r="L224">
            <v>40.999999999999886</v>
          </cell>
          <cell r="M224">
            <v>31.999999999999964</v>
          </cell>
          <cell r="N224">
            <v>-97.000000000000014</v>
          </cell>
          <cell r="O224">
            <v>0</v>
          </cell>
        </row>
        <row r="225">
          <cell r="D225">
            <v>79.999999999999986</v>
          </cell>
          <cell r="E225">
            <v>53.000000000000007</v>
          </cell>
          <cell r="F225">
            <v>52.000000000000007</v>
          </cell>
          <cell r="G225">
            <v>48.000000000000021</v>
          </cell>
          <cell r="H225">
            <v>33.000000000000007</v>
          </cell>
          <cell r="I225">
            <v>38.000000000000007</v>
          </cell>
          <cell r="J225">
            <v>13.999999999999996</v>
          </cell>
          <cell r="K225">
            <v>15.000000000000021</v>
          </cell>
          <cell r="L225">
            <v>10.000000000000021</v>
          </cell>
          <cell r="M225">
            <v>8.9999999999999876</v>
          </cell>
          <cell r="N225">
            <v>3.999999999999976</v>
          </cell>
          <cell r="O225">
            <v>0</v>
          </cell>
        </row>
        <row r="226">
          <cell r="D226">
            <v>16</v>
          </cell>
          <cell r="E226">
            <v>16</v>
          </cell>
          <cell r="F226">
            <v>16</v>
          </cell>
          <cell r="G226">
            <v>16</v>
          </cell>
          <cell r="H226">
            <v>16</v>
          </cell>
          <cell r="I226">
            <v>16</v>
          </cell>
          <cell r="J226">
            <v>16</v>
          </cell>
          <cell r="K226">
            <v>16</v>
          </cell>
          <cell r="L226">
            <v>3.9999999999999991</v>
          </cell>
          <cell r="M226">
            <v>0</v>
          </cell>
          <cell r="N226">
            <v>0</v>
          </cell>
          <cell r="O226">
            <v>0</v>
          </cell>
        </row>
        <row r="227">
          <cell r="D227">
            <v>-14.000000000000009</v>
          </cell>
          <cell r="E227">
            <v>-14.000000000000009</v>
          </cell>
          <cell r="F227">
            <v>-14.000000000000009</v>
          </cell>
          <cell r="G227">
            <v>-14.000000000000009</v>
          </cell>
          <cell r="H227">
            <v>-14.000000000000009</v>
          </cell>
          <cell r="I227">
            <v>-14.000000000000009</v>
          </cell>
          <cell r="J227">
            <v>-14.000000000000009</v>
          </cell>
          <cell r="K227">
            <v>-12.000000000000039</v>
          </cell>
          <cell r="L227">
            <v>-6.0000000000000053</v>
          </cell>
          <cell r="M227">
            <v>5.0000000000000462</v>
          </cell>
          <cell r="N227">
            <v>0</v>
          </cell>
          <cell r="O227">
            <v>0</v>
          </cell>
        </row>
        <row r="228"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</row>
        <row r="229"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</row>
        <row r="231"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</row>
        <row r="232">
          <cell r="D232">
            <v>19</v>
          </cell>
          <cell r="E232">
            <v>19</v>
          </cell>
          <cell r="F232">
            <v>19</v>
          </cell>
          <cell r="G232">
            <v>19</v>
          </cell>
          <cell r="H232">
            <v>19</v>
          </cell>
          <cell r="I232">
            <v>19</v>
          </cell>
          <cell r="J232">
            <v>19</v>
          </cell>
          <cell r="K232">
            <v>5.0000000000000009</v>
          </cell>
          <cell r="L232">
            <v>8</v>
          </cell>
          <cell r="M232">
            <v>1.0000000000000004</v>
          </cell>
          <cell r="N232">
            <v>0</v>
          </cell>
          <cell r="O232">
            <v>0</v>
          </cell>
        </row>
        <row r="233"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</row>
        <row r="234"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</row>
        <row r="236"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</row>
        <row r="237"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</row>
        <row r="238"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</row>
        <row r="249"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</row>
        <row r="250"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</row>
        <row r="252"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</row>
        <row r="253"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</row>
        <row r="254"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</row>
        <row r="255"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</row>
        <row r="256"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</row>
        <row r="257"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</row>
        <row r="259"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</row>
        <row r="260"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</row>
        <row r="261"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</row>
        <row r="262"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</row>
        <row r="263"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</row>
        <row r="265"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</row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</row>
        <row r="276"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</row>
        <row r="277"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</row>
        <row r="278"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</row>
        <row r="279"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</row>
        <row r="280"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</row>
        <row r="281"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</row>
        <row r="282"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</row>
        <row r="283"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</row>
        <row r="285"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</row>
        <row r="286"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</row>
        <row r="287"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</row>
        <row r="288"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</row>
        <row r="289"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</row>
        <row r="291"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</row>
        <row r="292"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</row>
        <row r="294"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</row>
        <row r="295"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</row>
        <row r="296"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</row>
        <row r="297"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</row>
        <row r="298"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</row>
        <row r="299"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</row>
        <row r="300"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</row>
        <row r="301"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</row>
        <row r="302"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</row>
        <row r="306"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</row>
        <row r="307"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</row>
        <row r="308"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</row>
        <row r="309"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</row>
        <row r="310"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</row>
        <row r="311"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</row>
        <row r="312"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</row>
        <row r="313"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</row>
        <row r="314"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</row>
        <row r="315"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</row>
        <row r="316"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7"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</row>
        <row r="318"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</row>
        <row r="319"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</row>
        <row r="321"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</row>
        <row r="322"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</row>
        <row r="323"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</row>
        <row r="324"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</row>
        <row r="325"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</row>
        <row r="326"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</row>
        <row r="327"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</row>
        <row r="330"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</row>
        <row r="331"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</row>
        <row r="332"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</row>
        <row r="334"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</row>
        <row r="336"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</row>
        <row r="338"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</row>
        <row r="340"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</row>
        <row r="341"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</row>
        <row r="342"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</row>
        <row r="343"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</row>
        <row r="344"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</row>
        <row r="345"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</row>
        <row r="346"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</row>
        <row r="347"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</row>
        <row r="348"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</row>
        <row r="349"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</row>
        <row r="350"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</row>
        <row r="351"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</row>
        <row r="352"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</row>
        <row r="353"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</row>
        <row r="354"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</row>
        <row r="355"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</row>
        <row r="357"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</row>
      </sheetData>
      <sheetData sheetId="6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D18">
            <v>7270.6</v>
          </cell>
          <cell r="E18">
            <v>8036.6</v>
          </cell>
          <cell r="F18">
            <v>6688.5</v>
          </cell>
          <cell r="G18">
            <v>6564</v>
          </cell>
          <cell r="H18">
            <v>8258.2999999999993</v>
          </cell>
          <cell r="I18">
            <v>9402.5</v>
          </cell>
          <cell r="J18">
            <v>9256</v>
          </cell>
          <cell r="K18">
            <v>8140.2</v>
          </cell>
          <cell r="L18">
            <v>8112.1</v>
          </cell>
          <cell r="M18">
            <v>5590</v>
          </cell>
          <cell r="N18">
            <v>5818.8</v>
          </cell>
          <cell r="O18">
            <v>7169.5</v>
          </cell>
        </row>
        <row r="19">
          <cell r="D19">
            <v>864.1</v>
          </cell>
          <cell r="E19">
            <v>801.3</v>
          </cell>
          <cell r="F19">
            <v>282.3</v>
          </cell>
          <cell r="G19">
            <v>278.3</v>
          </cell>
          <cell r="H19">
            <v>242.9</v>
          </cell>
          <cell r="I19">
            <v>140.5</v>
          </cell>
          <cell r="J19">
            <v>152.19999999999999</v>
          </cell>
          <cell r="K19">
            <v>133.80000000000001</v>
          </cell>
          <cell r="L19">
            <v>151.1</v>
          </cell>
          <cell r="M19">
            <v>154.30000000000001</v>
          </cell>
          <cell r="N19">
            <v>810.8</v>
          </cell>
          <cell r="O19">
            <v>1470.2</v>
          </cell>
        </row>
        <row r="20">
          <cell r="D20">
            <v>32900</v>
          </cell>
          <cell r="E20">
            <v>34301.699999999997</v>
          </cell>
          <cell r="F20">
            <v>32522.400000000001</v>
          </cell>
          <cell r="G20">
            <v>33736.9</v>
          </cell>
          <cell r="H20">
            <v>32180.5</v>
          </cell>
          <cell r="I20">
            <v>32141.7</v>
          </cell>
          <cell r="J20">
            <v>33120.5</v>
          </cell>
          <cell r="K20">
            <v>34457.1</v>
          </cell>
          <cell r="L20">
            <v>33708</v>
          </cell>
          <cell r="M20">
            <v>33208.199999999997</v>
          </cell>
          <cell r="N20">
            <v>33629.699999999997</v>
          </cell>
          <cell r="O20">
            <v>35139.599999999999</v>
          </cell>
        </row>
        <row r="21">
          <cell r="D21">
            <v>3983.4</v>
          </cell>
          <cell r="E21">
            <v>4008.5</v>
          </cell>
          <cell r="F21">
            <v>4011.6</v>
          </cell>
          <cell r="G21">
            <v>4500</v>
          </cell>
          <cell r="H21">
            <v>4506.8</v>
          </cell>
          <cell r="I21">
            <v>4596.7</v>
          </cell>
          <cell r="J21">
            <v>5017.7</v>
          </cell>
          <cell r="K21">
            <v>4988.7</v>
          </cell>
          <cell r="L21">
            <v>4804.8999999999996</v>
          </cell>
          <cell r="M21">
            <v>5066.5</v>
          </cell>
          <cell r="N21">
            <v>4647.7</v>
          </cell>
          <cell r="O21">
            <v>5633.7</v>
          </cell>
        </row>
        <row r="22">
          <cell r="D22">
            <v>20025.3</v>
          </cell>
          <cell r="E22">
            <v>11566.9</v>
          </cell>
          <cell r="F22">
            <v>2176.6999999999998</v>
          </cell>
          <cell r="G22">
            <v>503.5</v>
          </cell>
          <cell r="H22">
            <v>-2118.9</v>
          </cell>
          <cell r="I22">
            <v>465.7</v>
          </cell>
          <cell r="J22">
            <v>403.4</v>
          </cell>
          <cell r="K22">
            <v>545.5</v>
          </cell>
          <cell r="L22">
            <v>622.6</v>
          </cell>
          <cell r="M22">
            <v>1312.3</v>
          </cell>
          <cell r="N22">
            <v>19631.599999999999</v>
          </cell>
          <cell r="O22">
            <v>23678</v>
          </cell>
        </row>
        <row r="23">
          <cell r="D23">
            <v>436218.6</v>
          </cell>
          <cell r="E23">
            <v>410621.3</v>
          </cell>
          <cell r="F23">
            <v>421958</v>
          </cell>
          <cell r="G23">
            <v>431009.7</v>
          </cell>
          <cell r="H23">
            <v>425369.9</v>
          </cell>
          <cell r="I23">
            <v>416308.8</v>
          </cell>
          <cell r="J23">
            <v>411347.89999999997</v>
          </cell>
          <cell r="K23">
            <v>418188.4</v>
          </cell>
          <cell r="L23">
            <v>434498.2</v>
          </cell>
          <cell r="M23">
            <v>472234.1</v>
          </cell>
          <cell r="N23">
            <v>482030.89999999997</v>
          </cell>
          <cell r="O23">
            <v>483620.6</v>
          </cell>
        </row>
        <row r="24">
          <cell r="D24">
            <v>84077.700000000012</v>
          </cell>
          <cell r="E24">
            <v>80482.799999999988</v>
          </cell>
          <cell r="F24">
            <v>78039.5</v>
          </cell>
          <cell r="G24">
            <v>76735.900000000009</v>
          </cell>
          <cell r="H24">
            <v>72244.900000000009</v>
          </cell>
          <cell r="I24">
            <v>74394.2</v>
          </cell>
          <cell r="J24">
            <v>76497</v>
          </cell>
          <cell r="K24">
            <v>77932</v>
          </cell>
          <cell r="L24">
            <v>87030.7</v>
          </cell>
          <cell r="M24">
            <v>92320</v>
          </cell>
          <cell r="N24">
            <v>97285.4</v>
          </cell>
          <cell r="O24">
            <v>93523.7</v>
          </cell>
        </row>
        <row r="25">
          <cell r="D25">
            <v>20575.3</v>
          </cell>
          <cell r="E25">
            <v>20702</v>
          </cell>
          <cell r="F25">
            <v>16948</v>
          </cell>
          <cell r="G25">
            <v>17518.3</v>
          </cell>
          <cell r="H25">
            <v>20388.5</v>
          </cell>
          <cell r="I25">
            <v>25394</v>
          </cell>
          <cell r="J25">
            <v>25456.1</v>
          </cell>
          <cell r="K25">
            <v>23184.699999999997</v>
          </cell>
          <cell r="L25">
            <v>23409.5</v>
          </cell>
          <cell r="M25">
            <v>27886.100000000002</v>
          </cell>
          <cell r="N25">
            <v>27252.2</v>
          </cell>
          <cell r="O25">
            <v>24705.3</v>
          </cell>
        </row>
        <row r="26">
          <cell r="D26">
            <v>4205.2</v>
          </cell>
          <cell r="E26">
            <v>10056.9</v>
          </cell>
          <cell r="F26">
            <v>19589.899999999998</v>
          </cell>
          <cell r="G26">
            <v>20224.5</v>
          </cell>
          <cell r="H26">
            <v>13632.699999999999</v>
          </cell>
          <cell r="I26">
            <v>4246.5</v>
          </cell>
          <cell r="J26">
            <v>3864.2</v>
          </cell>
          <cell r="K26">
            <v>2167.9</v>
          </cell>
          <cell r="L26">
            <v>3915.9</v>
          </cell>
          <cell r="M26">
            <v>5227.3</v>
          </cell>
          <cell r="N26">
            <v>4285.3</v>
          </cell>
          <cell r="O26">
            <v>3885.6</v>
          </cell>
        </row>
        <row r="27">
          <cell r="D27">
            <v>54269.4</v>
          </cell>
          <cell r="E27">
            <v>56169.100000000006</v>
          </cell>
          <cell r="F27">
            <v>58288.1</v>
          </cell>
          <cell r="G27">
            <v>56797.5</v>
          </cell>
          <cell r="H27">
            <v>57119.5</v>
          </cell>
          <cell r="I27">
            <v>60643.1</v>
          </cell>
          <cell r="J27">
            <v>63033.3</v>
          </cell>
          <cell r="K27">
            <v>64388.5</v>
          </cell>
          <cell r="L27">
            <v>59910.3</v>
          </cell>
          <cell r="M27">
            <v>65575.299999999988</v>
          </cell>
          <cell r="N27">
            <v>60387.6</v>
          </cell>
          <cell r="O27">
            <v>61433.2</v>
          </cell>
        </row>
        <row r="28">
          <cell r="D28">
            <v>841817.2</v>
          </cell>
          <cell r="E28">
            <v>808893.60000000009</v>
          </cell>
          <cell r="F28">
            <v>819419.5</v>
          </cell>
          <cell r="G28">
            <v>790928.60000000009</v>
          </cell>
          <cell r="H28">
            <v>797900.60000000009</v>
          </cell>
          <cell r="I28">
            <v>839039.1</v>
          </cell>
          <cell r="J28">
            <v>796781.2</v>
          </cell>
          <cell r="K28">
            <v>858176.89999999991</v>
          </cell>
          <cell r="L28">
            <v>857734.8</v>
          </cell>
          <cell r="M28">
            <v>862817.3</v>
          </cell>
          <cell r="N28">
            <v>864473.79999999993</v>
          </cell>
          <cell r="O28">
            <v>813699.1</v>
          </cell>
        </row>
        <row r="29">
          <cell r="D29">
            <v>2853.2</v>
          </cell>
          <cell r="E29">
            <v>3158.2999999999997</v>
          </cell>
          <cell r="F29">
            <v>2971.2000000000003</v>
          </cell>
          <cell r="G29">
            <v>2808.4</v>
          </cell>
          <cell r="H29">
            <v>2925.5</v>
          </cell>
          <cell r="I29">
            <v>3309.7999999999997</v>
          </cell>
          <cell r="J29">
            <v>3216.1000000000004</v>
          </cell>
          <cell r="K29">
            <v>2868.8999999999996</v>
          </cell>
          <cell r="L29">
            <v>2707.1</v>
          </cell>
          <cell r="M29">
            <v>3495.5</v>
          </cell>
          <cell r="N29">
            <v>3402.3</v>
          </cell>
          <cell r="O29">
            <v>3323.2999999999997</v>
          </cell>
        </row>
        <row r="30">
          <cell r="D30">
            <v>7294.8</v>
          </cell>
          <cell r="E30">
            <v>7231.8</v>
          </cell>
          <cell r="F30">
            <v>4108</v>
          </cell>
          <cell r="G30">
            <v>3777.3999999999996</v>
          </cell>
          <cell r="H30">
            <v>5755.2</v>
          </cell>
          <cell r="I30">
            <v>5672.7</v>
          </cell>
          <cell r="J30">
            <v>5559.1</v>
          </cell>
          <cell r="K30">
            <v>4747.1000000000004</v>
          </cell>
          <cell r="L30">
            <v>7142.9</v>
          </cell>
          <cell r="M30">
            <v>7056.2</v>
          </cell>
          <cell r="N30">
            <v>5977.2</v>
          </cell>
          <cell r="O30">
            <v>6352.8</v>
          </cell>
        </row>
        <row r="31">
          <cell r="D31">
            <v>4590.7</v>
          </cell>
          <cell r="E31">
            <v>4490.8999999999996</v>
          </cell>
          <cell r="F31">
            <v>3081.6</v>
          </cell>
          <cell r="G31">
            <v>2887.7</v>
          </cell>
          <cell r="H31">
            <v>3734.5</v>
          </cell>
          <cell r="I31">
            <v>3851.6</v>
          </cell>
          <cell r="J31">
            <v>4022.4</v>
          </cell>
          <cell r="K31">
            <v>5080.3</v>
          </cell>
          <cell r="L31">
            <v>5763.4</v>
          </cell>
          <cell r="M31">
            <v>5678.3</v>
          </cell>
          <cell r="N31">
            <v>4994.5</v>
          </cell>
          <cell r="O31">
            <v>5589.5</v>
          </cell>
        </row>
        <row r="32">
          <cell r="D32">
            <v>1321.9</v>
          </cell>
          <cell r="E32">
            <v>1272.8</v>
          </cell>
          <cell r="F32">
            <v>1173.3</v>
          </cell>
          <cell r="G32">
            <v>1173.3</v>
          </cell>
          <cell r="H32">
            <v>1131.2</v>
          </cell>
          <cell r="I32">
            <v>1120.7</v>
          </cell>
          <cell r="J32">
            <v>1108.7</v>
          </cell>
          <cell r="K32">
            <v>1150.7</v>
          </cell>
          <cell r="L32">
            <v>1088.3</v>
          </cell>
          <cell r="M32">
            <v>1089.5</v>
          </cell>
          <cell r="N32">
            <v>1061.4000000000001</v>
          </cell>
          <cell r="O32">
            <v>1146.5999999999999</v>
          </cell>
        </row>
        <row r="33">
          <cell r="D33">
            <v>26182.6</v>
          </cell>
          <cell r="E33">
            <v>25849.200000000001</v>
          </cell>
          <cell r="F33">
            <v>25583.3</v>
          </cell>
          <cell r="G33">
            <v>26307.200000000001</v>
          </cell>
          <cell r="H33">
            <v>26487.1</v>
          </cell>
          <cell r="I33">
            <v>25638.799999999999</v>
          </cell>
          <cell r="J33">
            <v>24329.5</v>
          </cell>
          <cell r="K33">
            <v>25200.799999999999</v>
          </cell>
          <cell r="L33">
            <v>27174.5</v>
          </cell>
          <cell r="M33">
            <v>27720.799999999999</v>
          </cell>
          <cell r="N33">
            <v>26166.5</v>
          </cell>
          <cell r="O33">
            <v>25380.1</v>
          </cell>
        </row>
        <row r="34"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D37">
            <v>16.600000000000001</v>
          </cell>
          <cell r="E37">
            <v>16.8</v>
          </cell>
          <cell r="F37">
            <v>15.4</v>
          </cell>
          <cell r="G37">
            <v>15.7</v>
          </cell>
          <cell r="H37">
            <v>15.7</v>
          </cell>
          <cell r="I37">
            <v>16.2</v>
          </cell>
          <cell r="J37">
            <v>16.3</v>
          </cell>
          <cell r="K37">
            <v>15.7</v>
          </cell>
          <cell r="L37">
            <v>18.399999999999999</v>
          </cell>
          <cell r="M37">
            <v>17.899999999999999</v>
          </cell>
          <cell r="N37">
            <v>12.8</v>
          </cell>
          <cell r="O37">
            <v>10.4</v>
          </cell>
        </row>
        <row r="38">
          <cell r="D38">
            <v>425196.7</v>
          </cell>
          <cell r="E38">
            <v>419403.7</v>
          </cell>
          <cell r="F38">
            <v>451280.2</v>
          </cell>
          <cell r="G38">
            <v>452913.7</v>
          </cell>
          <cell r="H38">
            <v>456869.5</v>
          </cell>
          <cell r="I38">
            <v>442237</v>
          </cell>
          <cell r="J38">
            <v>418832.5</v>
          </cell>
          <cell r="K38">
            <v>401357.8</v>
          </cell>
          <cell r="L38">
            <v>424767.9</v>
          </cell>
          <cell r="M38">
            <v>444117.2</v>
          </cell>
          <cell r="N38">
            <v>450552.8</v>
          </cell>
          <cell r="O38">
            <v>453162.9</v>
          </cell>
        </row>
        <row r="39">
          <cell r="D39">
            <v>10601</v>
          </cell>
          <cell r="E39">
            <v>10092.4</v>
          </cell>
          <cell r="F39">
            <v>10755.8</v>
          </cell>
          <cell r="G39">
            <v>9698.2000000000007</v>
          </cell>
          <cell r="H39">
            <v>9844.6</v>
          </cell>
          <cell r="I39">
            <v>12191.1</v>
          </cell>
          <cell r="J39">
            <v>11615.8</v>
          </cell>
          <cell r="K39">
            <v>11248</v>
          </cell>
          <cell r="L39">
            <v>11226.9</v>
          </cell>
          <cell r="M39">
            <v>11112.2</v>
          </cell>
          <cell r="N39">
            <v>11377.1</v>
          </cell>
          <cell r="O39">
            <v>11950.6</v>
          </cell>
        </row>
        <row r="40">
          <cell r="D40">
            <v>1350912.7999999998</v>
          </cell>
          <cell r="E40">
            <v>1331213.8999999999</v>
          </cell>
          <cell r="F40">
            <v>1385922.5</v>
          </cell>
          <cell r="G40">
            <v>1408363.2000000002</v>
          </cell>
          <cell r="H40">
            <v>1409710.9</v>
          </cell>
          <cell r="I40">
            <v>1389187.2</v>
          </cell>
          <cell r="J40">
            <v>1357290.8</v>
          </cell>
          <cell r="K40">
            <v>1333064.6000000001</v>
          </cell>
          <cell r="L40">
            <v>1399064.8</v>
          </cell>
          <cell r="M40">
            <v>1458030.3</v>
          </cell>
          <cell r="N40">
            <v>1475468.8</v>
          </cell>
          <cell r="O40">
            <v>1482817.0999999999</v>
          </cell>
        </row>
        <row r="41">
          <cell r="D41">
            <v>184980.7</v>
          </cell>
          <cell r="E41">
            <v>185199.7</v>
          </cell>
          <cell r="F41">
            <v>179610.4</v>
          </cell>
          <cell r="G41">
            <v>177323.2</v>
          </cell>
          <cell r="H41">
            <v>172332.1</v>
          </cell>
          <cell r="I41">
            <v>183247.8</v>
          </cell>
          <cell r="J41">
            <v>182862.7</v>
          </cell>
          <cell r="K41">
            <v>191468.9</v>
          </cell>
          <cell r="L41">
            <v>197677.5</v>
          </cell>
          <cell r="M41">
            <v>204922.5</v>
          </cell>
          <cell r="N41">
            <v>203131.5</v>
          </cell>
          <cell r="O41">
            <v>208498.4</v>
          </cell>
        </row>
        <row r="42">
          <cell r="D42">
            <v>566162.80000000005</v>
          </cell>
          <cell r="E42">
            <v>633177</v>
          </cell>
          <cell r="F42">
            <v>651269.19999999995</v>
          </cell>
          <cell r="G42">
            <v>700057.5</v>
          </cell>
          <cell r="H42">
            <v>667949.1</v>
          </cell>
          <cell r="I42">
            <v>676681.89999999991</v>
          </cell>
          <cell r="J42">
            <v>712481.2</v>
          </cell>
          <cell r="K42">
            <v>780950.20000000007</v>
          </cell>
          <cell r="L42">
            <v>758862.3</v>
          </cell>
          <cell r="M42">
            <v>834608.1</v>
          </cell>
          <cell r="N42">
            <v>832594.6</v>
          </cell>
          <cell r="O42">
            <v>831653.4</v>
          </cell>
        </row>
        <row r="43">
          <cell r="D43">
            <v>755310.8</v>
          </cell>
          <cell r="E43">
            <v>731203</v>
          </cell>
          <cell r="F43">
            <v>718641.3</v>
          </cell>
          <cell r="G43">
            <v>691219.6</v>
          </cell>
          <cell r="H43">
            <v>699895.9</v>
          </cell>
          <cell r="I43">
            <v>1070068.5</v>
          </cell>
          <cell r="J43">
            <v>523392.5</v>
          </cell>
          <cell r="K43">
            <v>1086427.3</v>
          </cell>
          <cell r="L43">
            <v>706375.5</v>
          </cell>
          <cell r="M43">
            <v>840009</v>
          </cell>
          <cell r="N43">
            <v>745363.5</v>
          </cell>
          <cell r="O43">
            <v>739440.9</v>
          </cell>
        </row>
        <row r="44">
          <cell r="D44">
            <v>68561.100000000006</v>
          </cell>
          <cell r="E44">
            <v>72089</v>
          </cell>
          <cell r="F44">
            <v>68153.600000000006</v>
          </cell>
          <cell r="G44">
            <v>71277.399999999994</v>
          </cell>
          <cell r="H44">
            <v>41029.1</v>
          </cell>
          <cell r="I44">
            <v>100775.2</v>
          </cell>
          <cell r="J44">
            <v>71365.5</v>
          </cell>
          <cell r="K44">
            <v>72696.800000000003</v>
          </cell>
          <cell r="L44">
            <v>74454.600000000006</v>
          </cell>
          <cell r="M44">
            <v>68400.5</v>
          </cell>
          <cell r="N44">
            <v>70086.600000000006</v>
          </cell>
          <cell r="O44">
            <v>75047.7</v>
          </cell>
        </row>
        <row r="45">
          <cell r="D45">
            <v>1478.2</v>
          </cell>
          <cell r="E45">
            <v>1530.1</v>
          </cell>
          <cell r="F45">
            <v>1598.9</v>
          </cell>
          <cell r="G45">
            <v>2022.3</v>
          </cell>
          <cell r="H45">
            <v>1617.8</v>
          </cell>
          <cell r="I45">
            <v>3230.6</v>
          </cell>
          <cell r="J45">
            <v>1617.8</v>
          </cell>
          <cell r="K45">
            <v>1617.8</v>
          </cell>
          <cell r="L45">
            <v>1617.8</v>
          </cell>
          <cell r="M45">
            <v>1617.8</v>
          </cell>
          <cell r="N45">
            <v>1617.8</v>
          </cell>
          <cell r="O45">
            <v>1617.8</v>
          </cell>
        </row>
        <row r="46">
          <cell r="D46">
            <v>246058.6</v>
          </cell>
          <cell r="E46">
            <v>250122.6</v>
          </cell>
          <cell r="F46">
            <v>282339.20000000001</v>
          </cell>
          <cell r="G46">
            <v>257731.20000000001</v>
          </cell>
          <cell r="H46">
            <v>245328.2</v>
          </cell>
          <cell r="I46">
            <v>268926.2</v>
          </cell>
          <cell r="J46">
            <v>259123.20000000001</v>
          </cell>
          <cell r="K46">
            <v>247688.2</v>
          </cell>
          <cell r="L46">
            <v>272674.2</v>
          </cell>
          <cell r="M46">
            <v>259756.79999999999</v>
          </cell>
          <cell r="N46">
            <v>258963.20000000001</v>
          </cell>
          <cell r="O46">
            <v>196865.6</v>
          </cell>
        </row>
        <row r="47">
          <cell r="D47">
            <v>159131.29999999999</v>
          </cell>
          <cell r="E47">
            <v>268657.59999999998</v>
          </cell>
          <cell r="F47">
            <v>269192.90000000002</v>
          </cell>
          <cell r="G47">
            <v>266703.7</v>
          </cell>
          <cell r="H47">
            <v>238365.6</v>
          </cell>
          <cell r="I47">
            <v>286225.40000000002</v>
          </cell>
          <cell r="J47">
            <v>280235.90000000002</v>
          </cell>
          <cell r="K47">
            <v>271443.8</v>
          </cell>
          <cell r="L47">
            <v>265971.59999999998</v>
          </cell>
          <cell r="M47">
            <v>256648.7</v>
          </cell>
          <cell r="N47">
            <v>254979.7</v>
          </cell>
          <cell r="O47">
            <v>216262.9</v>
          </cell>
        </row>
        <row r="48">
          <cell r="D48">
            <v>179373</v>
          </cell>
          <cell r="E48">
            <v>148871.29999999999</v>
          </cell>
          <cell r="F48">
            <v>178115</v>
          </cell>
          <cell r="G48">
            <v>84612.7</v>
          </cell>
          <cell r="H48">
            <v>231790.2</v>
          </cell>
          <cell r="I48">
            <v>231573.9</v>
          </cell>
          <cell r="J48">
            <v>275023.7</v>
          </cell>
          <cell r="K48">
            <v>207197.5</v>
          </cell>
          <cell r="L48">
            <v>149781.4</v>
          </cell>
          <cell r="M48">
            <v>211016.9</v>
          </cell>
          <cell r="N48">
            <v>165753.29999999999</v>
          </cell>
          <cell r="O48">
            <v>76327.5</v>
          </cell>
        </row>
        <row r="49">
          <cell r="D49">
            <v>266855.5</v>
          </cell>
          <cell r="E49">
            <v>228804.2</v>
          </cell>
          <cell r="F49">
            <v>229077.4</v>
          </cell>
          <cell r="G49">
            <v>209135</v>
          </cell>
          <cell r="H49">
            <v>208863.3</v>
          </cell>
          <cell r="I49">
            <v>230395.5</v>
          </cell>
          <cell r="J49">
            <v>162336.79999999999</v>
          </cell>
          <cell r="K49">
            <v>292925.90000000002</v>
          </cell>
          <cell r="L49">
            <v>162399.6</v>
          </cell>
          <cell r="M49">
            <v>278794.59999999998</v>
          </cell>
          <cell r="N49">
            <v>222695.3</v>
          </cell>
          <cell r="O49">
            <v>230398.8</v>
          </cell>
        </row>
        <row r="50">
          <cell r="D50">
            <v>97593</v>
          </cell>
          <cell r="E50">
            <v>97958</v>
          </cell>
          <cell r="F50">
            <v>96125</v>
          </cell>
          <cell r="G50">
            <v>103696</v>
          </cell>
          <cell r="H50">
            <v>100015</v>
          </cell>
          <cell r="I50">
            <v>96116</v>
          </cell>
          <cell r="J50">
            <v>48405</v>
          </cell>
          <cell r="K50">
            <v>102736.4</v>
          </cell>
          <cell r="L50">
            <v>157380.5</v>
          </cell>
          <cell r="M50">
            <v>99755.8</v>
          </cell>
          <cell r="N50">
            <v>99650.9</v>
          </cell>
          <cell r="O50">
            <v>46793</v>
          </cell>
        </row>
        <row r="51">
          <cell r="D51">
            <v>42353.7</v>
          </cell>
          <cell r="E51">
            <v>61070.5</v>
          </cell>
          <cell r="F51">
            <v>60878.9</v>
          </cell>
          <cell r="G51">
            <v>152150.70000000001</v>
          </cell>
          <cell r="H51">
            <v>45107.6</v>
          </cell>
          <cell r="I51">
            <v>79072.3</v>
          </cell>
          <cell r="J51">
            <v>63184.7</v>
          </cell>
          <cell r="K51">
            <v>98968.4</v>
          </cell>
          <cell r="L51">
            <v>116081.5</v>
          </cell>
          <cell r="M51">
            <v>82003.5</v>
          </cell>
          <cell r="N51">
            <v>81135</v>
          </cell>
          <cell r="O51">
            <v>80799.899999999994</v>
          </cell>
        </row>
        <row r="52">
          <cell r="D52">
            <v>5</v>
          </cell>
          <cell r="E52">
            <v>54405</v>
          </cell>
          <cell r="F52">
            <v>109879</v>
          </cell>
          <cell r="G52">
            <v>55637</v>
          </cell>
          <cell r="H52">
            <v>54036</v>
          </cell>
          <cell r="I52">
            <v>53933</v>
          </cell>
          <cell r="J52">
            <v>53288</v>
          </cell>
          <cell r="K52">
            <v>53142</v>
          </cell>
          <cell r="L52">
            <v>57246</v>
          </cell>
          <cell r="M52">
            <v>55812</v>
          </cell>
          <cell r="N52">
            <v>5</v>
          </cell>
          <cell r="O52">
            <v>57586</v>
          </cell>
        </row>
        <row r="53">
          <cell r="D53">
            <v>8661.2000000000007</v>
          </cell>
          <cell r="E53">
            <v>8527.7000000000007</v>
          </cell>
          <cell r="F53">
            <v>8256</v>
          </cell>
          <cell r="G53">
            <v>7893.9</v>
          </cell>
          <cell r="H53">
            <v>8022</v>
          </cell>
          <cell r="I53">
            <v>8239.2000000000007</v>
          </cell>
          <cell r="J53">
            <v>8220.9</v>
          </cell>
          <cell r="K53">
            <v>9248.7999999999993</v>
          </cell>
          <cell r="L53">
            <v>11510.7</v>
          </cell>
          <cell r="M53">
            <v>12307</v>
          </cell>
          <cell r="N53">
            <v>12742.9</v>
          </cell>
          <cell r="O53">
            <v>13051.7</v>
          </cell>
        </row>
        <row r="54">
          <cell r="D54">
            <v>1003.7</v>
          </cell>
          <cell r="E54">
            <v>984.9</v>
          </cell>
          <cell r="F54">
            <v>989.3</v>
          </cell>
          <cell r="G54">
            <v>966.7</v>
          </cell>
          <cell r="H54">
            <v>949.8</v>
          </cell>
          <cell r="I54">
            <v>1003.7</v>
          </cell>
          <cell r="J54">
            <v>1019.6</v>
          </cell>
          <cell r="K54">
            <v>926.1</v>
          </cell>
          <cell r="L54">
            <v>989.1</v>
          </cell>
          <cell r="M54">
            <v>971.2</v>
          </cell>
          <cell r="N54">
            <v>945.3</v>
          </cell>
          <cell r="O54">
            <v>1183.0999999999999</v>
          </cell>
        </row>
        <row r="55">
          <cell r="D55">
            <v>226.6</v>
          </cell>
          <cell r="E55">
            <v>252.5</v>
          </cell>
          <cell r="F55">
            <v>296</v>
          </cell>
          <cell r="G55">
            <v>290.7</v>
          </cell>
          <cell r="H55">
            <v>278.3</v>
          </cell>
          <cell r="I55">
            <v>245.5</v>
          </cell>
          <cell r="J55">
            <v>265.8</v>
          </cell>
          <cell r="K55">
            <v>387.6</v>
          </cell>
          <cell r="L55">
            <v>342.7</v>
          </cell>
          <cell r="M55">
            <v>342.4</v>
          </cell>
          <cell r="N55">
            <v>344.5</v>
          </cell>
          <cell r="O55">
            <v>343</v>
          </cell>
        </row>
        <row r="56">
          <cell r="D56">
            <v>0</v>
          </cell>
          <cell r="E56">
            <v>3062.4</v>
          </cell>
          <cell r="F56">
            <v>1514.9</v>
          </cell>
          <cell r="G56">
            <v>1514.9</v>
          </cell>
          <cell r="H56">
            <v>1514.9</v>
          </cell>
          <cell r="I56">
            <v>2129.3000000000002</v>
          </cell>
          <cell r="J56">
            <v>1703.4</v>
          </cell>
          <cell r="K56">
            <v>1703.4</v>
          </cell>
          <cell r="L56">
            <v>1703.4</v>
          </cell>
          <cell r="M56">
            <v>1703.4</v>
          </cell>
          <cell r="N56">
            <v>1703.4</v>
          </cell>
          <cell r="O56">
            <v>1722.2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7"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</row>
        <row r="98"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</row>
        <row r="100"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</row>
        <row r="106"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</row>
        <row r="107"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</row>
        <row r="108"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</row>
        <row r="109"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</row>
        <row r="113"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</row>
        <row r="114"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</row>
        <row r="118"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</row>
        <row r="131"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</row>
        <row r="132"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</row>
        <row r="133"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</row>
        <row r="134"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</row>
        <row r="135"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</row>
        <row r="136"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</row>
        <row r="137"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</row>
        <row r="138">
          <cell r="D138">
            <v>-45.159006211180213</v>
          </cell>
          <cell r="E138">
            <v>-49.916770186335498</v>
          </cell>
          <cell r="F138">
            <v>-41.543478260869641</v>
          </cell>
          <cell r="G138">
            <v>-40.770186335403807</v>
          </cell>
          <cell r="H138">
            <v>-51.293788819875871</v>
          </cell>
          <cell r="I138">
            <v>0</v>
          </cell>
          <cell r="J138">
            <v>-114.27160493827211</v>
          </cell>
          <cell r="K138">
            <v>-50.560248447205062</v>
          </cell>
          <cell r="L138">
            <v>-245.82121212121191</v>
          </cell>
          <cell r="M138">
            <v>-69.012345679012654</v>
          </cell>
          <cell r="N138">
            <v>0</v>
          </cell>
          <cell r="O138">
            <v>0</v>
          </cell>
        </row>
        <row r="139">
          <cell r="D139">
            <v>-144.01666666666665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-473.00319488817956</v>
          </cell>
          <cell r="E140">
            <v>-275.73713826366662</v>
          </cell>
          <cell r="F140">
            <v>-261.43408360128717</v>
          </cell>
          <cell r="G140">
            <v>54.767694805195291</v>
          </cell>
          <cell r="H140">
            <v>-52.072006472493079</v>
          </cell>
          <cell r="I140">
            <v>0</v>
          </cell>
          <cell r="J140">
            <v>-53.59304207119861</v>
          </cell>
          <cell r="K140">
            <v>-495.38961661341921</v>
          </cell>
          <cell r="L140">
            <v>-217.12077294686088</v>
          </cell>
          <cell r="M140">
            <v>-107.29628432956436</v>
          </cell>
          <cell r="N140">
            <v>-54.416990291263353</v>
          </cell>
          <cell r="O140">
            <v>0</v>
          </cell>
        </row>
        <row r="141">
          <cell r="D141">
            <v>398.34000000000037</v>
          </cell>
          <cell r="E141">
            <v>400.85000000000036</v>
          </cell>
          <cell r="F141">
            <v>401.16000000000037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</row>
        <row r="142">
          <cell r="D142">
            <v>2670.0399999999995</v>
          </cell>
          <cell r="E142">
            <v>0</v>
          </cell>
          <cell r="F142">
            <v>0</v>
          </cell>
          <cell r="G142">
            <v>0</v>
          </cell>
          <cell r="H142">
            <v>223.04210526315788</v>
          </cell>
          <cell r="I142">
            <v>-49.021052631578947</v>
          </cell>
          <cell r="J142">
            <v>0</v>
          </cell>
          <cell r="K142">
            <v>0</v>
          </cell>
          <cell r="L142">
            <v>-34.588888888888903</v>
          </cell>
          <cell r="M142">
            <v>0</v>
          </cell>
          <cell r="N142">
            <v>0</v>
          </cell>
          <cell r="O142">
            <v>0</v>
          </cell>
        </row>
        <row r="143">
          <cell r="D143">
            <v>4647.3960595446397</v>
          </cell>
          <cell r="E143">
            <v>4768.7376159520772</v>
          </cell>
          <cell r="F143">
            <v>4308.834427425234</v>
          </cell>
          <cell r="G143">
            <v>1279.7014772973801</v>
          </cell>
          <cell r="H143">
            <v>-276.23415109316574</v>
          </cell>
          <cell r="I143">
            <v>-240.32835907055841</v>
          </cell>
          <cell r="J143">
            <v>89.119932115219882</v>
          </cell>
          <cell r="K143">
            <v>151.02506319972755</v>
          </cell>
          <cell r="L143">
            <v>-814.13614874604957</v>
          </cell>
          <cell r="M143">
            <v>-442.83656495709948</v>
          </cell>
          <cell r="N143">
            <v>-2217.1897082075602</v>
          </cell>
          <cell r="O143">
            <v>0</v>
          </cell>
        </row>
        <row r="144">
          <cell r="D144">
            <v>1136.1851351351424</v>
          </cell>
          <cell r="E144">
            <v>540.15302013423627</v>
          </cell>
          <cell r="F144">
            <v>1054.5878378378443</v>
          </cell>
          <cell r="G144">
            <v>1036.9716216216282</v>
          </cell>
          <cell r="H144">
            <v>976.28243243243867</v>
          </cell>
          <cell r="I144">
            <v>1005.3270270270332</v>
          </cell>
          <cell r="J144">
            <v>1033.7432432432497</v>
          </cell>
          <cell r="K144">
            <v>523.03355704698777</v>
          </cell>
          <cell r="L144">
            <v>0</v>
          </cell>
          <cell r="M144">
            <v>0</v>
          </cell>
          <cell r="N144">
            <v>-3741.7461538461512</v>
          </cell>
          <cell r="O144">
            <v>0</v>
          </cell>
        </row>
        <row r="145">
          <cell r="D145">
            <v>-842.93594040968253</v>
          </cell>
          <cell r="E145">
            <v>-848.12662942271788</v>
          </cell>
          <cell r="F145">
            <v>-844.2730627306272</v>
          </cell>
          <cell r="G145">
            <v>-591.61238273921117</v>
          </cell>
          <cell r="H145">
            <v>-725.43352059925041</v>
          </cell>
          <cell r="I145">
            <v>-903.53183520599191</v>
          </cell>
          <cell r="J145">
            <v>-813.44680451127704</v>
          </cell>
          <cell r="K145">
            <v>-698.59736346515956</v>
          </cell>
          <cell r="L145">
            <v>-358.08030592734167</v>
          </cell>
          <cell r="M145">
            <v>-268.13557692307597</v>
          </cell>
          <cell r="N145">
            <v>-365.45095785440617</v>
          </cell>
          <cell r="O145">
            <v>0</v>
          </cell>
        </row>
        <row r="146">
          <cell r="D146">
            <v>406.95483870967706</v>
          </cell>
          <cell r="E146">
            <v>304.75454545454517</v>
          </cell>
          <cell r="F146">
            <v>1224.3687499999999</v>
          </cell>
          <cell r="G146">
            <v>1264.03125</v>
          </cell>
          <cell r="H146">
            <v>1319.2935483870956</v>
          </cell>
          <cell r="I146">
            <v>265.40625</v>
          </cell>
          <cell r="J146">
            <v>241.51249999999999</v>
          </cell>
          <cell r="K146">
            <v>135.49375000000001</v>
          </cell>
          <cell r="L146">
            <v>-111.88285714285718</v>
          </cell>
          <cell r="M146">
            <v>158.40303030303016</v>
          </cell>
          <cell r="N146">
            <v>-122.4371428571429</v>
          </cell>
          <cell r="O146">
            <v>0</v>
          </cell>
        </row>
        <row r="147">
          <cell r="D147">
            <v>99.576880733941948</v>
          </cell>
          <cell r="E147">
            <v>103.06256880733635</v>
          </cell>
          <cell r="F147">
            <v>106.95064220183163</v>
          </cell>
          <cell r="G147">
            <v>104.21559633027208</v>
          </cell>
          <cell r="H147">
            <v>209.99816176470515</v>
          </cell>
          <cell r="I147">
            <v>222.95257352941096</v>
          </cell>
          <cell r="J147">
            <v>0</v>
          </cell>
          <cell r="K147">
            <v>-234.99452554744855</v>
          </cell>
          <cell r="L147">
            <v>-327.37868852459053</v>
          </cell>
          <cell r="M147">
            <v>-358.33497267759594</v>
          </cell>
          <cell r="N147">
            <v>110.80293577981317</v>
          </cell>
          <cell r="O147">
            <v>0</v>
          </cell>
        </row>
        <row r="148">
          <cell r="D148">
            <v>17465.087136929396</v>
          </cell>
          <cell r="E148">
            <v>1647.4411405294682</v>
          </cell>
          <cell r="F148">
            <v>-9872.524096385574</v>
          </cell>
          <cell r="G148">
            <v>-3202.1400809716906</v>
          </cell>
          <cell r="H148">
            <v>-15894.434262948194</v>
          </cell>
          <cell r="I148">
            <v>-6766.4443548387035</v>
          </cell>
          <cell r="J148">
            <v>0</v>
          </cell>
          <cell r="K148">
            <v>-23744.024901185727</v>
          </cell>
          <cell r="L148">
            <v>-18757.619880715662</v>
          </cell>
          <cell r="M148">
            <v>-6958.2040322580588</v>
          </cell>
          <cell r="N148">
            <v>-27227.521259842564</v>
          </cell>
          <cell r="O148">
            <v>0</v>
          </cell>
        </row>
        <row r="149">
          <cell r="D149">
            <v>-317.02222222222235</v>
          </cell>
          <cell r="E149">
            <v>-350.92222222222233</v>
          </cell>
          <cell r="F149">
            <v>-330.1333333333335</v>
          </cell>
          <cell r="G149">
            <v>-312.04444444444459</v>
          </cell>
          <cell r="H149">
            <v>-325.05555555555571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-972.63999999999976</v>
          </cell>
          <cell r="E150">
            <v>-964.23999999999978</v>
          </cell>
          <cell r="F150">
            <v>-547.73333333333323</v>
          </cell>
          <cell r="G150">
            <v>-503.65333333333319</v>
          </cell>
          <cell r="H150">
            <v>-767.35999999999979</v>
          </cell>
          <cell r="I150">
            <v>-756.35999999999979</v>
          </cell>
          <cell r="J150">
            <v>-741.21333333333325</v>
          </cell>
          <cell r="K150">
            <v>-632.9466666666666</v>
          </cell>
          <cell r="L150">
            <v>-510.20714285714263</v>
          </cell>
          <cell r="M150">
            <v>0</v>
          </cell>
          <cell r="N150">
            <v>0</v>
          </cell>
          <cell r="O150">
            <v>0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</row>
        <row r="153"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</row>
        <row r="154"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</row>
        <row r="155"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</row>
        <row r="156"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</row>
        <row r="157"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</row>
        <row r="158">
          <cell r="D158">
            <v>-5814.8432718358981</v>
          </cell>
          <cell r="E158">
            <v>-4182.0881766381772</v>
          </cell>
          <cell r="F158">
            <v>-4384.1988341969072</v>
          </cell>
          <cell r="G158">
            <v>-5876.6802465948022</v>
          </cell>
          <cell r="H158">
            <v>-6712.6076814022617</v>
          </cell>
          <cell r="I158">
            <v>-5738.1471176812393</v>
          </cell>
          <cell r="J158">
            <v>-1990.1563822170212</v>
          </cell>
          <cell r="K158">
            <v>-2166.9613868470801</v>
          </cell>
          <cell r="L158">
            <v>-3034.0564285714181</v>
          </cell>
          <cell r="M158">
            <v>-2081.5283426637056</v>
          </cell>
          <cell r="N158">
            <v>-2140.8809737681509</v>
          </cell>
          <cell r="O158">
            <v>0</v>
          </cell>
        </row>
        <row r="159">
          <cell r="D159">
            <v>683.93548387096712</v>
          </cell>
          <cell r="E159">
            <v>651.12258064516072</v>
          </cell>
          <cell r="F159">
            <v>336.11874999999998</v>
          </cell>
          <cell r="G159">
            <v>303.06875000000002</v>
          </cell>
          <cell r="H159">
            <v>307.64375000000001</v>
          </cell>
          <cell r="I159">
            <v>-358.56176470588247</v>
          </cell>
          <cell r="J159">
            <v>-341.64117647058828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</row>
        <row r="160">
          <cell r="D160">
            <v>42841.572827392869</v>
          </cell>
          <cell r="E160">
            <v>45421.382974986751</v>
          </cell>
          <cell r="F160">
            <v>43594.02888994549</v>
          </cell>
          <cell r="G160">
            <v>11505.278434633739</v>
          </cell>
          <cell r="H160">
            <v>-2458.1430529655313</v>
          </cell>
          <cell r="I160">
            <v>-4501.5134282880927</v>
          </cell>
          <cell r="J160">
            <v>9249.7345676600671</v>
          </cell>
          <cell r="K160">
            <v>8658.5887138916678</v>
          </cell>
          <cell r="L160">
            <v>8674.782355669473</v>
          </cell>
          <cell r="M160">
            <v>4862.2304439899408</v>
          </cell>
          <cell r="N160">
            <v>322.23293375382531</v>
          </cell>
          <cell r="O160">
            <v>0</v>
          </cell>
        </row>
        <row r="161">
          <cell r="D161">
            <v>5817.003144654087</v>
          </cell>
          <cell r="E161">
            <v>4038.6227414330019</v>
          </cell>
          <cell r="F161">
            <v>2780.3467492259983</v>
          </cell>
          <cell r="G161">
            <v>3866.8610591900119</v>
          </cell>
          <cell r="H161">
            <v>2127.5567901234663</v>
          </cell>
          <cell r="I161">
            <v>2262.3185185185284</v>
          </cell>
          <cell r="J161">
            <v>1121.8570552147175</v>
          </cell>
          <cell r="K161">
            <v>-581.97234042552668</v>
          </cell>
          <cell r="L161">
            <v>-1198.0454545454622</v>
          </cell>
          <cell r="M161">
            <v>-1241.9545454545535</v>
          </cell>
          <cell r="N161">
            <v>621.19724770640323</v>
          </cell>
          <cell r="O161">
            <v>0</v>
          </cell>
        </row>
        <row r="162">
          <cell r="D162">
            <v>0</v>
          </cell>
          <cell r="E162">
            <v>29680.171875</v>
          </cell>
          <cell r="F162">
            <v>30528.243749999998</v>
          </cell>
          <cell r="G162">
            <v>44448.095238095237</v>
          </cell>
          <cell r="H162">
            <v>20552.279999999926</v>
          </cell>
          <cell r="I162">
            <v>0</v>
          </cell>
          <cell r="J162">
            <v>21922.498461538384</v>
          </cell>
          <cell r="K162">
            <v>-33469.294285714255</v>
          </cell>
          <cell r="L162">
            <v>23349.609230769151</v>
          </cell>
          <cell r="M162">
            <v>-98835.16973684213</v>
          </cell>
          <cell r="N162">
            <v>-88810.090666666685</v>
          </cell>
          <cell r="O162">
            <v>0</v>
          </cell>
        </row>
        <row r="163">
          <cell r="D163">
            <v>-32839.599999999977</v>
          </cell>
          <cell r="E163">
            <v>-31791.434782608674</v>
          </cell>
          <cell r="F163">
            <v>-31245.27391304346</v>
          </cell>
          <cell r="G163">
            <v>-30053.026086956499</v>
          </cell>
          <cell r="H163">
            <v>-30430.256521739113</v>
          </cell>
          <cell r="I163">
            <v>-46524.717391304315</v>
          </cell>
          <cell r="J163">
            <v>-22756.195652173898</v>
          </cell>
          <cell r="K163">
            <v>-47235.969565217361</v>
          </cell>
          <cell r="L163">
            <v>-30711.978260869546</v>
          </cell>
          <cell r="M163">
            <v>-36522.130434782586</v>
          </cell>
          <cell r="N163">
            <v>0</v>
          </cell>
          <cell r="O163">
            <v>0</v>
          </cell>
        </row>
        <row r="164"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</row>
        <row r="165"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</row>
        <row r="166"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</row>
        <row r="167">
          <cell r="D167">
            <v>0</v>
          </cell>
          <cell r="E167">
            <v>0</v>
          </cell>
          <cell r="F167">
            <v>38456.128571428555</v>
          </cell>
          <cell r="G167">
            <v>-29633.744444444459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</row>
        <row r="168"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</row>
        <row r="169"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</row>
        <row r="170"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</row>
        <row r="171">
          <cell r="D171">
            <v>0</v>
          </cell>
          <cell r="E171">
            <v>0</v>
          </cell>
          <cell r="F171">
            <v>30439.45</v>
          </cell>
          <cell r="G171">
            <v>-38037.675000000003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</row>
        <row r="172"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</row>
        <row r="173">
          <cell r="D173">
            <v>4330.6000000000004</v>
          </cell>
          <cell r="E173">
            <v>4263.8500000000004</v>
          </cell>
          <cell r="F173">
            <v>4128</v>
          </cell>
          <cell r="G173">
            <v>3946.95</v>
          </cell>
          <cell r="H173">
            <v>4011</v>
          </cell>
          <cell r="I173">
            <v>4119.6000000000004</v>
          </cell>
          <cell r="J173">
            <v>4215.8461538461534</v>
          </cell>
          <cell r="K173">
            <v>3059.7533834586461</v>
          </cell>
          <cell r="L173">
            <v>1303.0981132075469</v>
          </cell>
          <cell r="M173">
            <v>1057.0429447852755</v>
          </cell>
          <cell r="N173">
            <v>524.70764705882448</v>
          </cell>
          <cell r="O173">
            <v>0</v>
          </cell>
        </row>
        <row r="174"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D176">
            <v>0</v>
          </cell>
          <cell r="E176">
            <v>-1531.2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</row>
        <row r="182"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</row>
        <row r="184"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</row>
        <row r="185"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</row>
        <row r="186"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</row>
        <row r="187"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</row>
        <row r="188"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</row>
        <row r="189"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</row>
        <row r="190"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</row>
        <row r="191"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</row>
        <row r="192"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</row>
        <row r="193"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</row>
        <row r="194"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</row>
        <row r="195"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</row>
        <row r="196"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</row>
        <row r="197"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</row>
        <row r="198"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</row>
        <row r="199"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</row>
        <row r="200"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</row>
        <row r="201"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</row>
        <row r="202"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</row>
        <row r="203"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</row>
        <row r="204"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</row>
        <row r="205"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</row>
        <row r="206"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</row>
        <row r="207"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</row>
        <row r="208"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</row>
        <row r="209"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</row>
        <row r="210"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</row>
        <row r="211"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</row>
        <row r="219"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</row>
        <row r="220"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</row>
        <row r="221"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</row>
        <row r="222"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</row>
        <row r="223"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</row>
        <row r="224"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</row>
        <row r="225"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</row>
        <row r="226"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</row>
        <row r="227"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</row>
        <row r="228"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</row>
        <row r="229"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</row>
        <row r="231"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</row>
        <row r="232"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</row>
        <row r="233"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</row>
        <row r="234"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</row>
        <row r="236"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</row>
        <row r="237"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</row>
        <row r="238"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</row>
        <row r="249"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</row>
        <row r="250"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</row>
        <row r="252"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</row>
        <row r="253"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</row>
        <row r="254"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</row>
        <row r="255"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</row>
        <row r="256"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</row>
        <row r="257"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</row>
        <row r="258">
          <cell r="D258">
            <v>3.8132604060948281</v>
          </cell>
          <cell r="E258">
            <v>4.3222791097425297</v>
          </cell>
          <cell r="F258">
            <v>3.7788673171386007</v>
          </cell>
          <cell r="G258">
            <v>3.5715220397288459</v>
          </cell>
          <cell r="H258">
            <v>4.8466335079302194</v>
          </cell>
          <cell r="I258">
            <v>6.6915456475583861</v>
          </cell>
          <cell r="J258">
            <v>3.6806933469283711</v>
          </cell>
          <cell r="K258">
            <v>2.4739912600770966</v>
          </cell>
          <cell r="L258">
            <v>2.489666650927806</v>
          </cell>
          <cell r="M258">
            <v>0.9024767451509963</v>
          </cell>
          <cell r="N258">
            <v>1.4141331733653271</v>
          </cell>
          <cell r="O258">
            <v>2.5914073248023941</v>
          </cell>
        </row>
        <row r="259"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</row>
        <row r="260">
          <cell r="D260">
            <v>391.34477614130196</v>
          </cell>
          <cell r="E260">
            <v>520.1519726459444</v>
          </cell>
          <cell r="F260">
            <v>-333.71101818085339</v>
          </cell>
          <cell r="G260">
            <v>-391.14603093830721</v>
          </cell>
          <cell r="H260">
            <v>-40.42008074540604</v>
          </cell>
          <cell r="I260">
            <v>-1714.0944263587553</v>
          </cell>
          <cell r="J260">
            <v>-724.16524924605176</v>
          </cell>
          <cell r="K260">
            <v>927.39392448795718</v>
          </cell>
          <cell r="L260">
            <v>339.33729173335462</v>
          </cell>
          <cell r="M260">
            <v>-1481.0907527702716</v>
          </cell>
          <cell r="N260">
            <v>-1144.6757702531861</v>
          </cell>
          <cell r="O260">
            <v>-1167.9769212649708</v>
          </cell>
        </row>
        <row r="261">
          <cell r="D261">
            <v>0.14533920869240316</v>
          </cell>
          <cell r="E261">
            <v>0.14817002672166654</v>
          </cell>
          <cell r="F261">
            <v>0.17552627385971589</v>
          </cell>
          <cell r="G261">
            <v>0.19440013497971637</v>
          </cell>
          <cell r="H261">
            <v>9.655532599596009E-2</v>
          </cell>
          <cell r="I261">
            <v>0.20670947498996678</v>
          </cell>
          <cell r="J261">
            <v>0.15107557965593188</v>
          </cell>
          <cell r="K261">
            <v>0.15866337939089045</v>
          </cell>
          <cell r="L261">
            <v>0.20201932298934369</v>
          </cell>
          <cell r="M261">
            <v>0.15002539445744881</v>
          </cell>
          <cell r="N261">
            <v>0.13037494198843921</v>
          </cell>
          <cell r="O261">
            <v>0.15240476463608613</v>
          </cell>
        </row>
        <row r="262"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</row>
        <row r="263">
          <cell r="D263">
            <v>-1248.507844472103</v>
          </cell>
          <cell r="E263">
            <v>3660.4883694631972</v>
          </cell>
          <cell r="F263">
            <v>-4513.1622623923004</v>
          </cell>
          <cell r="G263">
            <v>6186.8984747746108</v>
          </cell>
          <cell r="H263">
            <v>2496.7363399973042</v>
          </cell>
          <cell r="I263">
            <v>4719.2303882473216</v>
          </cell>
          <cell r="J263">
            <v>-951.60637566343826</v>
          </cell>
          <cell r="K263">
            <v>-1172.2820024977448</v>
          </cell>
          <cell r="L263">
            <v>13121.480610083499</v>
          </cell>
          <cell r="M263">
            <v>-27125.901634232621</v>
          </cell>
          <cell r="N263">
            <v>-38337.602021296058</v>
          </cell>
          <cell r="O263">
            <v>-41719.266302145101</v>
          </cell>
        </row>
        <row r="264">
          <cell r="D264">
            <v>193.77143551181993</v>
          </cell>
          <cell r="E264">
            <v>187.92532856586152</v>
          </cell>
          <cell r="F264">
            <v>174.96073834158656</v>
          </cell>
          <cell r="G264">
            <v>166.90682657258455</v>
          </cell>
          <cell r="H264">
            <v>207.43861287868748</v>
          </cell>
          <cell r="I264">
            <v>175.29520663567865</v>
          </cell>
          <cell r="J264">
            <v>212.35610272480241</v>
          </cell>
          <cell r="K264">
            <v>179.9367370255853</v>
          </cell>
          <cell r="L264">
            <v>188.86636529265635</v>
          </cell>
          <cell r="M264">
            <v>126.55907108464261</v>
          </cell>
          <cell r="N264">
            <v>173.9229358888588</v>
          </cell>
          <cell r="O264">
            <v>163.92370332007067</v>
          </cell>
        </row>
        <row r="265">
          <cell r="D265">
            <v>-4.399974545678293</v>
          </cell>
          <cell r="E265">
            <v>62.401844188802151</v>
          </cell>
          <cell r="F265">
            <v>-13.540379128295882</v>
          </cell>
          <cell r="G265">
            <v>56.897410842996692</v>
          </cell>
          <cell r="H265">
            <v>51.451077117551158</v>
          </cell>
          <cell r="I265">
            <v>139.41958708303483</v>
          </cell>
          <cell r="J265">
            <v>-6.2740898268209611</v>
          </cell>
          <cell r="K265">
            <v>-29.944042014981925</v>
          </cell>
          <cell r="L265">
            <v>277.3934200072257</v>
          </cell>
          <cell r="M265">
            <v>-527.60233494886222</v>
          </cell>
          <cell r="N265">
            <v>-841.91610709683141</v>
          </cell>
          <cell r="O265">
            <v>-899.6799087513773</v>
          </cell>
        </row>
        <row r="266">
          <cell r="D266">
            <v>29.150748834929551</v>
          </cell>
          <cell r="E266">
            <v>61.69577965229626</v>
          </cell>
          <cell r="F266">
            <v>31.659656028992764</v>
          </cell>
          <cell r="G266">
            <v>42.131810633395638</v>
          </cell>
          <cell r="H266">
            <v>69.631257878107618</v>
          </cell>
          <cell r="I266">
            <v>39.29600163958861</v>
          </cell>
          <cell r="J266">
            <v>33.385029626289928</v>
          </cell>
          <cell r="K266">
            <v>25.219310879680926</v>
          </cell>
          <cell r="L266">
            <v>41.450439460251125</v>
          </cell>
          <cell r="M266">
            <v>38.136998510616039</v>
          </cell>
          <cell r="N266">
            <v>30.980944576608632</v>
          </cell>
          <cell r="O266">
            <v>30.431263106809084</v>
          </cell>
        </row>
        <row r="267">
          <cell r="D267">
            <v>90.99150921794768</v>
          </cell>
          <cell r="E267">
            <v>142.73134866209224</v>
          </cell>
          <cell r="F267">
            <v>-346.37120936956029</v>
          </cell>
          <cell r="G267">
            <v>-411.55358741998919</v>
          </cell>
          <cell r="H267">
            <v>-171.36662749852064</v>
          </cell>
          <cell r="I267">
            <v>-1571.2006265241419</v>
          </cell>
          <cell r="J267">
            <v>-806.79431879216497</v>
          </cell>
          <cell r="K267">
            <v>764.01774974853083</v>
          </cell>
          <cell r="L267">
            <v>113.0799685005102</v>
          </cell>
          <cell r="M267">
            <v>-1584.4857351141957</v>
          </cell>
          <cell r="N267">
            <v>-1163.5986249337855</v>
          </cell>
          <cell r="O267">
            <v>-1070.996892189818</v>
          </cell>
        </row>
        <row r="268">
          <cell r="D268">
            <v>1682.9912939557616</v>
          </cell>
          <cell r="E268">
            <v>2770.0393831595957</v>
          </cell>
          <cell r="F268">
            <v>-4201.0213928339444</v>
          </cell>
          <cell r="G268">
            <v>-3959.091109643462</v>
          </cell>
          <cell r="H268">
            <v>-812.67218492546249</v>
          </cell>
          <cell r="I268">
            <v>-15003.978867525797</v>
          </cell>
          <cell r="J268">
            <v>-6655.9467158817943</v>
          </cell>
          <cell r="K268">
            <v>5838.5288874230728</v>
          </cell>
          <cell r="L268">
            <v>2796.7845496757554</v>
          </cell>
          <cell r="M268">
            <v>-18479.114148616027</v>
          </cell>
          <cell r="N268">
            <v>-17067.198400752211</v>
          </cell>
          <cell r="O268">
            <v>-15439.028241840084</v>
          </cell>
        </row>
        <row r="269"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D270">
            <v>81.744629966854092</v>
          </cell>
          <cell r="E270">
            <v>104.1506772105047</v>
          </cell>
          <cell r="F270">
            <v>-36.511595877945723</v>
          </cell>
          <cell r="G270">
            <v>-36.181261000205048</v>
          </cell>
          <cell r="H270">
            <v>-6.522187217791819</v>
          </cell>
          <cell r="I270">
            <v>-257.76243614353041</v>
          </cell>
          <cell r="J270">
            <v>-88.426060579513646</v>
          </cell>
          <cell r="K270">
            <v>105.45385704118509</v>
          </cell>
          <cell r="L270">
            <v>61.655442619949859</v>
          </cell>
          <cell r="M270">
            <v>-283.87704105137175</v>
          </cell>
          <cell r="N270">
            <v>-186.38771850956522</v>
          </cell>
          <cell r="O270">
            <v>-197.02590697238617</v>
          </cell>
        </row>
        <row r="271"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D273">
            <v>-20.213976843493985</v>
          </cell>
          <cell r="E273">
            <v>-19.853016486651029</v>
          </cell>
          <cell r="F273">
            <v>-18.990676133960946</v>
          </cell>
          <cell r="G273">
            <v>-2.0040512335790286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</row>
        <row r="276"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</row>
        <row r="277"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</row>
        <row r="278">
          <cell r="D278">
            <v>4800.7663566815118</v>
          </cell>
          <cell r="E278">
            <v>5923.4567364315562</v>
          </cell>
          <cell r="F278">
            <v>-4362.9949029173185</v>
          </cell>
          <cell r="G278">
            <v>-5157.4805369896085</v>
          </cell>
          <cell r="H278">
            <v>-561.18312056737011</v>
          </cell>
          <cell r="I278">
            <v>-22306.502482289623</v>
          </cell>
          <cell r="J278">
            <v>-8701.9351013678843</v>
          </cell>
          <cell r="K278">
            <v>10233.161724181986</v>
          </cell>
          <cell r="L278">
            <v>3828.6598352106062</v>
          </cell>
          <cell r="M278">
            <v>-18940.780771507296</v>
          </cell>
          <cell r="N278">
            <v>-14799.646531635835</v>
          </cell>
          <cell r="O278">
            <v>-14362.052868052297</v>
          </cell>
        </row>
        <row r="279">
          <cell r="D279">
            <v>124.7285427172088</v>
          </cell>
          <cell r="E279">
            <v>150.45523723910102</v>
          </cell>
          <cell r="F279">
            <v>-101.81930071578699</v>
          </cell>
          <cell r="G279">
            <v>-110.14524840356357</v>
          </cell>
          <cell r="H279">
            <v>-8.7853091335543834</v>
          </cell>
          <cell r="I279">
            <v>-610.37663954791208</v>
          </cell>
          <cell r="J279">
            <v>-232.01841247297784</v>
          </cell>
          <cell r="K279">
            <v>288.3310036651007</v>
          </cell>
          <cell r="L279">
            <v>103.4473416399793</v>
          </cell>
          <cell r="M279">
            <v>-468.14482933234262</v>
          </cell>
          <cell r="N279">
            <v>-363.75492885541655</v>
          </cell>
          <cell r="O279">
            <v>-374.9673033711</v>
          </cell>
        </row>
        <row r="280">
          <cell r="D280">
            <v>15080.291379554672</v>
          </cell>
          <cell r="E280">
            <v>18557.592426126368</v>
          </cell>
          <cell r="F280">
            <v>-13072.1629992363</v>
          </cell>
          <cell r="G280">
            <v>-15659.55560841779</v>
          </cell>
          <cell r="H280">
            <v>-1619.8192966748427</v>
          </cell>
          <cell r="I280">
            <v>-69044.819261014287</v>
          </cell>
          <cell r="J280">
            <v>-27397.025864227264</v>
          </cell>
          <cell r="K280">
            <v>33470.652956974736</v>
          </cell>
          <cell r="L280">
            <v>12481.477806223549</v>
          </cell>
          <cell r="M280">
            <v>-61205.483744195219</v>
          </cell>
          <cell r="N280">
            <v>-47750.901799760861</v>
          </cell>
          <cell r="O280">
            <v>-46259.843294448372</v>
          </cell>
        </row>
        <row r="281">
          <cell r="D281">
            <v>2200.9418225173235</v>
          </cell>
          <cell r="E281">
            <v>2716.1968531892066</v>
          </cell>
          <cell r="F281">
            <v>-1318.4458722999525</v>
          </cell>
          <cell r="G281">
            <v>-1636.2905192362416</v>
          </cell>
          <cell r="H281">
            <v>73.518163834575503</v>
          </cell>
          <cell r="I281">
            <v>-8290.9141101351943</v>
          </cell>
          <cell r="J281">
            <v>-3203.0669913776364</v>
          </cell>
          <cell r="K281">
            <v>4796.3929822926675</v>
          </cell>
          <cell r="L281">
            <v>1902.5769519585092</v>
          </cell>
          <cell r="M281">
            <v>-7944.5985315862436</v>
          </cell>
          <cell r="N281">
            <v>-6019.8029965953983</v>
          </cell>
          <cell r="O281">
            <v>-5893.4034310787383</v>
          </cell>
        </row>
        <row r="282">
          <cell r="D282">
            <v>-40.535694804824594</v>
          </cell>
          <cell r="E282">
            <v>-23.449568824305608</v>
          </cell>
          <cell r="F282">
            <v>-18.490715265474602</v>
          </cell>
          <cell r="G282">
            <v>-25.444465485186576</v>
          </cell>
          <cell r="H282">
            <v>-17.997498176015181</v>
          </cell>
          <cell r="I282">
            <v>-39.354120227079029</v>
          </cell>
          <cell r="J282">
            <v>-37.781567961826248</v>
          </cell>
          <cell r="K282">
            <v>-45.676144724217266</v>
          </cell>
          <cell r="L282">
            <v>-43.464122485763809</v>
          </cell>
          <cell r="M282">
            <v>-41.829291500820986</v>
          </cell>
          <cell r="N282">
            <v>-55.063788637977126</v>
          </cell>
          <cell r="O282">
            <v>-55.947228932450933</v>
          </cell>
        </row>
        <row r="283"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</row>
        <row r="284">
          <cell r="D284">
            <v>-202.03557435688913</v>
          </cell>
          <cell r="E284">
            <v>-205.67109594917366</v>
          </cell>
          <cell r="F284">
            <v>-192.28923428675949</v>
          </cell>
          <cell r="G284">
            <v>-210.36704443786218</v>
          </cell>
          <cell r="H284">
            <v>-98.777606580299945</v>
          </cell>
          <cell r="I284">
            <v>-267.96496024062395</v>
          </cell>
          <cell r="J284">
            <v>-232.9339753304437</v>
          </cell>
          <cell r="K284">
            <v>-219.7438319045138</v>
          </cell>
          <cell r="L284">
            <v>-227.5510623140427</v>
          </cell>
          <cell r="M284">
            <v>-237.25651719134865</v>
          </cell>
          <cell r="N284">
            <v>-242.8304631628387</v>
          </cell>
          <cell r="O284">
            <v>-228.28338909241464</v>
          </cell>
        </row>
        <row r="285"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</row>
        <row r="286"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</row>
        <row r="287"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</row>
        <row r="288"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</row>
        <row r="289"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</row>
        <row r="291"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</row>
        <row r="292"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</row>
        <row r="294"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</row>
        <row r="295"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</row>
        <row r="296"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</row>
        <row r="297"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</row>
        <row r="298"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</row>
        <row r="299"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</row>
        <row r="300"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</row>
        <row r="301"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</row>
        <row r="302"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</row>
        <row r="306"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</row>
        <row r="307"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</row>
        <row r="308"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</row>
        <row r="309"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</row>
        <row r="310"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</row>
        <row r="311"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</row>
        <row r="312"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</row>
        <row r="313"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</row>
        <row r="314"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</row>
        <row r="315"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</row>
        <row r="316"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7"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</row>
        <row r="318"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</row>
        <row r="319"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</row>
        <row r="321"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</row>
        <row r="322"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</row>
        <row r="323"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</row>
        <row r="324"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</row>
        <row r="325"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</row>
        <row r="326"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</row>
        <row r="327"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</row>
        <row r="330"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</row>
        <row r="331"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</row>
        <row r="332"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</row>
        <row r="334"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</row>
        <row r="336"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</row>
        <row r="338"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</row>
        <row r="340"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</row>
        <row r="341"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</row>
        <row r="342"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</row>
        <row r="343"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</row>
        <row r="344"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</row>
        <row r="345"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</row>
        <row r="346"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</row>
        <row r="347"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</row>
        <row r="348"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</row>
        <row r="349"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</row>
        <row r="350"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</row>
        <row r="351"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</row>
        <row r="352"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</row>
        <row r="353"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</row>
        <row r="354"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</row>
        <row r="355"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</row>
        <row r="357"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</row>
        <row r="369"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</row>
        <row r="370"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</row>
        <row r="371"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</row>
        <row r="372"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</row>
        <row r="373"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</row>
        <row r="374"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</row>
        <row r="375"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</row>
        <row r="376"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</row>
        <row r="377"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</row>
        <row r="378"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</row>
        <row r="379"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</row>
        <row r="380"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</row>
        <row r="381"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</row>
        <row r="382"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</row>
        <row r="383"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</row>
        <row r="384"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</row>
        <row r="385"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</row>
        <row r="386"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</row>
        <row r="387"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</row>
        <row r="388"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</row>
        <row r="389"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</row>
        <row r="390"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</row>
        <row r="391"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</row>
        <row r="392"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</row>
        <row r="393"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</row>
        <row r="394"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</row>
        <row r="395"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</row>
        <row r="396"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</row>
        <row r="397"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</row>
        <row r="398"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</row>
        <row r="399"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</row>
        <row r="400"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</row>
        <row r="401"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</row>
        <row r="402"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</row>
        <row r="403"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</row>
        <row r="404"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</row>
        <row r="405"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</row>
        <row r="406"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</row>
        <row r="407"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</row>
        <row r="408"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</row>
        <row r="409"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</row>
        <row r="410"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</row>
        <row r="411"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</row>
        <row r="412"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</row>
        <row r="413"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</row>
        <row r="414"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</row>
        <row r="415"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</row>
        <row r="416"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</row>
        <row r="417"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</row>
        <row r="418"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</row>
        <row r="419"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</row>
        <row r="420"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</row>
        <row r="421"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</row>
        <row r="422"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</row>
        <row r="423"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</row>
        <row r="424"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</row>
        <row r="425"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</row>
        <row r="426"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</row>
        <row r="427"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</row>
        <row r="428"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</row>
        <row r="429"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</row>
        <row r="430"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</row>
        <row r="431"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</row>
        <row r="432"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</row>
        <row r="433"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</row>
        <row r="434"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</row>
        <row r="435"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</row>
        <row r="436"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</row>
        <row r="437"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</row>
        <row r="438"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</row>
        <row r="439"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</row>
        <row r="440"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</row>
        <row r="441"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</row>
        <row r="442"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</row>
        <row r="443"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</row>
        <row r="444"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</row>
        <row r="445"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</row>
        <row r="446"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</row>
        <row r="447"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</row>
        <row r="448"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</row>
        <row r="449"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</row>
        <row r="450"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</row>
        <row r="451"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</row>
        <row r="452"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</row>
        <row r="453"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</row>
        <row r="454"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</row>
        <row r="455"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</row>
        <row r="456"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</row>
        <row r="457"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</row>
        <row r="458"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</row>
        <row r="459"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</row>
        <row r="460"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</row>
        <row r="461"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</row>
        <row r="462"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</row>
        <row r="463"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</row>
        <row r="464"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</row>
        <row r="465"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</row>
        <row r="467"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</row>
        <row r="469"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</row>
        <row r="470"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</row>
        <row r="471"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</row>
        <row r="472"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</row>
        <row r="473"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</row>
        <row r="474"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</row>
        <row r="475"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</row>
        <row r="476"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</row>
        <row r="477"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</row>
        <row r="478"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</row>
      </sheetData>
      <sheetData sheetId="7" refreshError="1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D18">
            <v>7270.6</v>
          </cell>
          <cell r="E18">
            <v>8036.6</v>
          </cell>
          <cell r="F18">
            <v>6688.5</v>
          </cell>
          <cell r="G18">
            <v>6564</v>
          </cell>
          <cell r="H18">
            <v>8258.2999999999993</v>
          </cell>
          <cell r="I18">
            <v>9402.5</v>
          </cell>
          <cell r="J18">
            <v>9256</v>
          </cell>
          <cell r="K18">
            <v>8140.2</v>
          </cell>
          <cell r="L18">
            <v>8112.1</v>
          </cell>
          <cell r="M18">
            <v>5590</v>
          </cell>
          <cell r="N18">
            <v>5818.8</v>
          </cell>
          <cell r="O18">
            <v>7169.5</v>
          </cell>
        </row>
        <row r="19">
          <cell r="D19">
            <v>864.1</v>
          </cell>
          <cell r="E19">
            <v>801.3</v>
          </cell>
          <cell r="F19">
            <v>282.3</v>
          </cell>
          <cell r="G19">
            <v>278.3</v>
          </cell>
          <cell r="H19">
            <v>242.9</v>
          </cell>
          <cell r="I19">
            <v>140.5</v>
          </cell>
          <cell r="J19">
            <v>152.19999999999999</v>
          </cell>
          <cell r="K19">
            <v>133.80000000000001</v>
          </cell>
          <cell r="L19">
            <v>151.1</v>
          </cell>
          <cell r="M19">
            <v>154.30000000000001</v>
          </cell>
          <cell r="N19">
            <v>810.8</v>
          </cell>
          <cell r="O19">
            <v>1470.2</v>
          </cell>
        </row>
        <row r="20">
          <cell r="D20">
            <v>32885.699999999997</v>
          </cell>
          <cell r="E20">
            <v>34288.9</v>
          </cell>
          <cell r="F20">
            <v>32511.599999999999</v>
          </cell>
          <cell r="G20">
            <v>33725.599999999999</v>
          </cell>
          <cell r="H20">
            <v>32169.3</v>
          </cell>
          <cell r="I20">
            <v>32130.6</v>
          </cell>
          <cell r="J20">
            <v>33108.699999999997</v>
          </cell>
          <cell r="K20">
            <v>34465.9</v>
          </cell>
          <cell r="L20">
            <v>33697.599999999999</v>
          </cell>
          <cell r="M20">
            <v>33195.9</v>
          </cell>
          <cell r="N20">
            <v>33617.800000000003</v>
          </cell>
          <cell r="O20">
            <v>35127.4</v>
          </cell>
        </row>
        <row r="21">
          <cell r="D21">
            <v>2735.2</v>
          </cell>
          <cell r="E21">
            <v>2735.2</v>
          </cell>
          <cell r="F21">
            <v>2735.2</v>
          </cell>
          <cell r="G21">
            <v>2896.7</v>
          </cell>
          <cell r="H21">
            <v>2896.7</v>
          </cell>
          <cell r="I21">
            <v>2896.7</v>
          </cell>
          <cell r="J21">
            <v>2896.7</v>
          </cell>
          <cell r="K21">
            <v>2896.7</v>
          </cell>
          <cell r="L21">
            <v>2896.7</v>
          </cell>
          <cell r="M21">
            <v>2896.7</v>
          </cell>
          <cell r="N21">
            <v>2813.6</v>
          </cell>
          <cell r="O21">
            <v>2979.8</v>
          </cell>
        </row>
        <row r="22">
          <cell r="D22">
            <v>1679.6</v>
          </cell>
          <cell r="E22">
            <v>2415.3000000000002</v>
          </cell>
          <cell r="F22">
            <v>1687.3</v>
          </cell>
          <cell r="G22">
            <v>2035.4</v>
          </cell>
          <cell r="H22">
            <v>2007.8</v>
          </cell>
          <cell r="I22">
            <v>2063</v>
          </cell>
          <cell r="J22">
            <v>1407.1</v>
          </cell>
          <cell r="K22">
            <v>2702.7</v>
          </cell>
          <cell r="L22">
            <v>1370.9</v>
          </cell>
          <cell r="M22">
            <v>2702.7</v>
          </cell>
          <cell r="N22">
            <v>2035.4</v>
          </cell>
          <cell r="O22">
            <v>2035.4</v>
          </cell>
        </row>
        <row r="23">
          <cell r="D23">
            <v>435834.89999999997</v>
          </cell>
          <cell r="E23">
            <v>410463.4</v>
          </cell>
          <cell r="F23">
            <v>422032.7</v>
          </cell>
          <cell r="G23">
            <v>431179.9</v>
          </cell>
          <cell r="H23">
            <v>425524.30000000005</v>
          </cell>
          <cell r="I23">
            <v>416271.9</v>
          </cell>
          <cell r="J23">
            <v>411192.39999999997</v>
          </cell>
          <cell r="K23">
            <v>417854.6</v>
          </cell>
          <cell r="L23">
            <v>433967.6</v>
          </cell>
          <cell r="M23">
            <v>471531.8</v>
          </cell>
          <cell r="N23">
            <v>481301.1</v>
          </cell>
          <cell r="O23">
            <v>482922.7</v>
          </cell>
        </row>
        <row r="24">
          <cell r="D24">
            <v>56968.4</v>
          </cell>
          <cell r="E24">
            <v>58799.3</v>
          </cell>
          <cell r="F24">
            <v>56876.9</v>
          </cell>
          <cell r="G24">
            <v>56220.4</v>
          </cell>
          <cell r="H24">
            <v>56250</v>
          </cell>
          <cell r="I24">
            <v>56272</v>
          </cell>
          <cell r="J24">
            <v>56257.299999999996</v>
          </cell>
          <cell r="K24">
            <v>55937.200000000004</v>
          </cell>
          <cell r="L24">
            <v>57955.5</v>
          </cell>
          <cell r="M24">
            <v>58471.6</v>
          </cell>
          <cell r="N24">
            <v>59338.3</v>
          </cell>
          <cell r="O24">
            <v>58443.600000000006</v>
          </cell>
        </row>
        <row r="25">
          <cell r="D25">
            <v>20575.3</v>
          </cell>
          <cell r="E25">
            <v>20533.599999999999</v>
          </cell>
          <cell r="F25">
            <v>16777.8</v>
          </cell>
          <cell r="G25">
            <v>17518.3</v>
          </cell>
          <cell r="H25">
            <v>20216.5</v>
          </cell>
          <cell r="I25">
            <v>25224.1</v>
          </cell>
          <cell r="J25">
            <v>25285.7</v>
          </cell>
          <cell r="K25">
            <v>23014.699999999997</v>
          </cell>
          <cell r="L25">
            <v>23238</v>
          </cell>
          <cell r="M25">
            <v>27716.7</v>
          </cell>
          <cell r="N25">
            <v>27083.800000000003</v>
          </cell>
          <cell r="O25">
            <v>24535.699999999997</v>
          </cell>
        </row>
        <row r="26">
          <cell r="D26">
            <v>1747.8</v>
          </cell>
          <cell r="E26">
            <v>1750.8</v>
          </cell>
          <cell r="F26">
            <v>1749.3</v>
          </cell>
          <cell r="G26">
            <v>2336.6</v>
          </cell>
          <cell r="H26">
            <v>2336.4</v>
          </cell>
          <cell r="I26">
            <v>2336.4</v>
          </cell>
          <cell r="J26">
            <v>2336.4</v>
          </cell>
          <cell r="K26">
            <v>2336.4</v>
          </cell>
          <cell r="L26">
            <v>2643.7999999999997</v>
          </cell>
          <cell r="M26">
            <v>2640.7</v>
          </cell>
          <cell r="N26">
            <v>2642.7</v>
          </cell>
          <cell r="O26">
            <v>2641.7</v>
          </cell>
        </row>
        <row r="27">
          <cell r="D27">
            <v>49292.7</v>
          </cell>
          <cell r="E27">
            <v>50291.3</v>
          </cell>
          <cell r="F27">
            <v>51819.3</v>
          </cell>
          <cell r="G27">
            <v>49901.8</v>
          </cell>
          <cell r="H27">
            <v>49640.7</v>
          </cell>
          <cell r="I27">
            <v>53328.2</v>
          </cell>
          <cell r="J27">
            <v>56508.3</v>
          </cell>
          <cell r="K27">
            <v>55482.400000000001</v>
          </cell>
          <cell r="L27">
            <v>54129.799999999996</v>
          </cell>
          <cell r="M27">
            <v>60142.6</v>
          </cell>
          <cell r="N27">
            <v>54467.9</v>
          </cell>
          <cell r="O27">
            <v>55795.899999999994</v>
          </cell>
        </row>
        <row r="28">
          <cell r="D28">
            <v>508311.9</v>
          </cell>
          <cell r="E28">
            <v>510263.39999999997</v>
          </cell>
          <cell r="F28">
            <v>505024.1</v>
          </cell>
          <cell r="G28">
            <v>544428.5</v>
          </cell>
          <cell r="H28">
            <v>536134.9</v>
          </cell>
          <cell r="I28">
            <v>532596.30000000005</v>
          </cell>
          <cell r="J28">
            <v>529647.60000000009</v>
          </cell>
          <cell r="K28">
            <v>551859.6</v>
          </cell>
          <cell r="L28">
            <v>536505.30000000005</v>
          </cell>
          <cell r="M28">
            <v>529402.60000000009</v>
          </cell>
          <cell r="N28">
            <v>530030.4</v>
          </cell>
          <cell r="O28">
            <v>516048</v>
          </cell>
        </row>
        <row r="29">
          <cell r="D29">
            <v>1906.2</v>
          </cell>
          <cell r="E29">
            <v>1887.3</v>
          </cell>
          <cell r="F29">
            <v>1861</v>
          </cell>
          <cell r="G29">
            <v>2160.6000000000004</v>
          </cell>
          <cell r="H29">
            <v>2524.8000000000002</v>
          </cell>
          <cell r="I29">
            <v>2232.5</v>
          </cell>
          <cell r="J29">
            <v>2045.2</v>
          </cell>
          <cell r="K29">
            <v>1924.6000000000001</v>
          </cell>
          <cell r="L29">
            <v>1658.6000000000001</v>
          </cell>
          <cell r="M29">
            <v>2358.2000000000003</v>
          </cell>
          <cell r="N29">
            <v>2316.4</v>
          </cell>
          <cell r="O29">
            <v>2198</v>
          </cell>
        </row>
        <row r="30">
          <cell r="D30">
            <v>4486.8</v>
          </cell>
          <cell r="E30">
            <v>4555.6000000000004</v>
          </cell>
          <cell r="F30">
            <v>4556.6000000000004</v>
          </cell>
          <cell r="G30">
            <v>5525.5</v>
          </cell>
          <cell r="H30">
            <v>5525.5</v>
          </cell>
          <cell r="I30">
            <v>5525.5</v>
          </cell>
          <cell r="J30">
            <v>5525.5</v>
          </cell>
          <cell r="K30">
            <v>5525.5</v>
          </cell>
          <cell r="L30">
            <v>5445.3</v>
          </cell>
          <cell r="M30">
            <v>5220.2000000000007</v>
          </cell>
          <cell r="N30">
            <v>5220.2000000000007</v>
          </cell>
          <cell r="O30">
            <v>5220.2000000000007</v>
          </cell>
        </row>
        <row r="31">
          <cell r="D31">
            <v>2197.6</v>
          </cell>
          <cell r="E31">
            <v>2197.6</v>
          </cell>
          <cell r="F31">
            <v>2197.6</v>
          </cell>
          <cell r="G31">
            <v>2075.8000000000002</v>
          </cell>
          <cell r="H31">
            <v>2075.8000000000002</v>
          </cell>
          <cell r="I31">
            <v>2075.8000000000002</v>
          </cell>
          <cell r="J31">
            <v>2075.8000000000002</v>
          </cell>
          <cell r="K31">
            <v>2075.8000000000002</v>
          </cell>
          <cell r="L31">
            <v>2075.8000000000002</v>
          </cell>
          <cell r="M31">
            <v>2075.8000000000002</v>
          </cell>
          <cell r="N31">
            <v>2075.8000000000002</v>
          </cell>
          <cell r="O31">
            <v>2075.8000000000002</v>
          </cell>
        </row>
        <row r="32">
          <cell r="D32">
            <v>995.6</v>
          </cell>
          <cell r="E32">
            <v>938.6</v>
          </cell>
          <cell r="F32">
            <v>1045.2</v>
          </cell>
          <cell r="G32">
            <v>951.6</v>
          </cell>
          <cell r="H32">
            <v>972.8</v>
          </cell>
          <cell r="I32">
            <v>956.8</v>
          </cell>
          <cell r="J32">
            <v>870</v>
          </cell>
          <cell r="K32">
            <v>903.2</v>
          </cell>
          <cell r="L32">
            <v>760.2</v>
          </cell>
          <cell r="M32">
            <v>985.2</v>
          </cell>
          <cell r="N32">
            <v>977.6</v>
          </cell>
          <cell r="O32">
            <v>1092.2</v>
          </cell>
        </row>
        <row r="33">
          <cell r="D33">
            <v>17282.5</v>
          </cell>
          <cell r="E33">
            <v>17282.5</v>
          </cell>
          <cell r="F33">
            <v>17282.5</v>
          </cell>
          <cell r="G33">
            <v>17875.7</v>
          </cell>
          <cell r="H33">
            <v>17964.900000000001</v>
          </cell>
          <cell r="I33">
            <v>17920.3</v>
          </cell>
          <cell r="J33">
            <v>17817.599999999999</v>
          </cell>
          <cell r="K33">
            <v>17920.3</v>
          </cell>
          <cell r="L33">
            <v>18023</v>
          </cell>
          <cell r="M33">
            <v>17920.3</v>
          </cell>
          <cell r="N33">
            <v>17920.3</v>
          </cell>
          <cell r="O33">
            <v>17817.599999999999</v>
          </cell>
        </row>
        <row r="34"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D37">
            <v>35.299999999999997</v>
          </cell>
          <cell r="E37">
            <v>35.299999999999997</v>
          </cell>
          <cell r="F37">
            <v>35.299999999999997</v>
          </cell>
          <cell r="G37">
            <v>35.299999999999997</v>
          </cell>
          <cell r="H37">
            <v>35.299999999999997</v>
          </cell>
          <cell r="I37">
            <v>35.299999999999997</v>
          </cell>
          <cell r="J37">
            <v>35.299999999999997</v>
          </cell>
          <cell r="K37">
            <v>35.299999999999997</v>
          </cell>
          <cell r="L37">
            <v>35.299999999999997</v>
          </cell>
          <cell r="M37">
            <v>35.299999999999997</v>
          </cell>
          <cell r="N37">
            <v>35.299999999999997</v>
          </cell>
          <cell r="O37">
            <v>35.299999999999997</v>
          </cell>
        </row>
        <row r="38">
          <cell r="D38">
            <v>425184.9</v>
          </cell>
          <cell r="E38">
            <v>419397.5</v>
          </cell>
          <cell r="F38">
            <v>451233.3</v>
          </cell>
          <cell r="G38">
            <v>452875.3</v>
          </cell>
          <cell r="H38">
            <v>456821</v>
          </cell>
          <cell r="I38">
            <v>442189.3</v>
          </cell>
          <cell r="J38">
            <v>418776</v>
          </cell>
          <cell r="K38">
            <v>401333.5</v>
          </cell>
          <cell r="L38">
            <v>424759.3</v>
          </cell>
          <cell r="M38">
            <v>444105.9</v>
          </cell>
          <cell r="N38">
            <v>450540.1</v>
          </cell>
          <cell r="O38">
            <v>453146.8</v>
          </cell>
        </row>
        <row r="39">
          <cell r="D39">
            <v>6804.4</v>
          </cell>
          <cell r="E39">
            <v>6804.4</v>
          </cell>
          <cell r="F39">
            <v>7114.2</v>
          </cell>
          <cell r="G39">
            <v>6672.5</v>
          </cell>
          <cell r="H39">
            <v>6672.5</v>
          </cell>
          <cell r="I39">
            <v>7432.3</v>
          </cell>
          <cell r="J39">
            <v>7158.2</v>
          </cell>
          <cell r="K39">
            <v>7052.4</v>
          </cell>
          <cell r="L39">
            <v>7052.4</v>
          </cell>
          <cell r="M39">
            <v>7052.4</v>
          </cell>
          <cell r="N39">
            <v>7052.4</v>
          </cell>
          <cell r="O39">
            <v>7052.4</v>
          </cell>
        </row>
        <row r="40">
          <cell r="D40">
            <v>1350134.9</v>
          </cell>
          <cell r="E40">
            <v>1330503.3999999999</v>
          </cell>
          <cell r="F40">
            <v>1385392.3</v>
          </cell>
          <cell r="G40">
            <v>1407568.8</v>
          </cell>
          <cell r="H40">
            <v>1407958.5</v>
          </cell>
          <cell r="I40">
            <v>1387278.8</v>
          </cell>
          <cell r="J40">
            <v>1356699.6</v>
          </cell>
          <cell r="K40">
            <v>1332157.6000000001</v>
          </cell>
          <cell r="L40">
            <v>1398080.4</v>
          </cell>
          <cell r="M40">
            <v>1457229.0999999999</v>
          </cell>
          <cell r="N40">
            <v>1474399.2</v>
          </cell>
          <cell r="O40">
            <v>1481929.2999999998</v>
          </cell>
        </row>
        <row r="41">
          <cell r="D41">
            <v>123097.2</v>
          </cell>
          <cell r="E41">
            <v>125187.9</v>
          </cell>
          <cell r="F41">
            <v>124868.3</v>
          </cell>
          <cell r="G41">
            <v>117959.6</v>
          </cell>
          <cell r="H41">
            <v>117124.8</v>
          </cell>
          <cell r="I41">
            <v>117965.4</v>
          </cell>
          <cell r="J41">
            <v>117865.5</v>
          </cell>
          <cell r="K41">
            <v>120073.8</v>
          </cell>
          <cell r="L41">
            <v>119649.8</v>
          </cell>
          <cell r="M41">
            <v>118999.3</v>
          </cell>
          <cell r="N41">
            <v>118157</v>
          </cell>
          <cell r="O41">
            <v>118409.5</v>
          </cell>
        </row>
        <row r="42">
          <cell r="D42">
            <v>140214.39999999999</v>
          </cell>
          <cell r="E42">
            <v>98206.6</v>
          </cell>
          <cell r="F42">
            <v>101395.2</v>
          </cell>
          <cell r="G42">
            <v>66588.7</v>
          </cell>
          <cell r="H42">
            <v>54820.299999999996</v>
          </cell>
          <cell r="I42">
            <v>56726.5</v>
          </cell>
          <cell r="J42">
            <v>56109.7</v>
          </cell>
          <cell r="K42">
            <v>56299.9</v>
          </cell>
          <cell r="L42">
            <v>55794.9</v>
          </cell>
          <cell r="M42">
            <v>89181.3</v>
          </cell>
          <cell r="N42">
            <v>86895.599999999991</v>
          </cell>
          <cell r="O42">
            <v>63075.7</v>
          </cell>
        </row>
        <row r="43">
          <cell r="D43">
            <v>199965.2</v>
          </cell>
          <cell r="E43">
            <v>199965.2</v>
          </cell>
          <cell r="F43">
            <v>199965.2</v>
          </cell>
          <cell r="G43">
            <v>290991.40000000002</v>
          </cell>
          <cell r="H43">
            <v>359541.7</v>
          </cell>
          <cell r="I43">
            <v>428263.2</v>
          </cell>
          <cell r="J43">
            <v>363082.4</v>
          </cell>
          <cell r="K43">
            <v>428263.2</v>
          </cell>
          <cell r="L43">
            <v>314909.09999999998</v>
          </cell>
          <cell r="M43">
            <v>431803.9</v>
          </cell>
          <cell r="N43">
            <v>331592.09999999998</v>
          </cell>
          <cell r="O43">
            <v>359221.7</v>
          </cell>
        </row>
        <row r="44">
          <cell r="D44">
            <v>5864.4</v>
          </cell>
          <cell r="E44">
            <v>5864.4</v>
          </cell>
          <cell r="F44">
            <v>5864.4</v>
          </cell>
          <cell r="G44">
            <v>29277.3</v>
          </cell>
          <cell r="H44">
            <v>12649.9</v>
          </cell>
          <cell r="I44">
            <v>45904.7</v>
          </cell>
          <cell r="J44">
            <v>29277.3</v>
          </cell>
          <cell r="K44">
            <v>29277.3</v>
          </cell>
          <cell r="L44">
            <v>29277.3</v>
          </cell>
          <cell r="M44">
            <v>29277.3</v>
          </cell>
          <cell r="N44">
            <v>29277.3</v>
          </cell>
          <cell r="O44">
            <v>29277.3</v>
          </cell>
        </row>
        <row r="45">
          <cell r="D45">
            <v>1362</v>
          </cell>
          <cell r="E45">
            <v>1362</v>
          </cell>
          <cell r="F45">
            <v>1362</v>
          </cell>
          <cell r="G45">
            <v>1362</v>
          </cell>
          <cell r="H45">
            <v>685.2</v>
          </cell>
          <cell r="I45">
            <v>1370.4</v>
          </cell>
          <cell r="J45">
            <v>685.2</v>
          </cell>
          <cell r="K45">
            <v>685.2</v>
          </cell>
          <cell r="L45">
            <v>685.2</v>
          </cell>
          <cell r="M45">
            <v>685.2</v>
          </cell>
          <cell r="N45">
            <v>685.2</v>
          </cell>
          <cell r="O45">
            <v>685.2</v>
          </cell>
        </row>
        <row r="46">
          <cell r="D46">
            <v>993</v>
          </cell>
          <cell r="E46">
            <v>993</v>
          </cell>
          <cell r="F46">
            <v>996</v>
          </cell>
          <cell r="G46">
            <v>5597</v>
          </cell>
          <cell r="H46">
            <v>330</v>
          </cell>
          <cell r="I46">
            <v>10862</v>
          </cell>
          <cell r="J46">
            <v>5596</v>
          </cell>
          <cell r="K46">
            <v>330</v>
          </cell>
          <cell r="L46">
            <v>10862</v>
          </cell>
          <cell r="M46">
            <v>5596</v>
          </cell>
          <cell r="N46">
            <v>5596</v>
          </cell>
          <cell r="O46">
            <v>5596</v>
          </cell>
        </row>
        <row r="47">
          <cell r="D47">
            <v>98892.1</v>
          </cell>
          <cell r="E47">
            <v>106981.9</v>
          </cell>
          <cell r="F47">
            <v>185131</v>
          </cell>
          <cell r="G47">
            <v>128951.9</v>
          </cell>
          <cell r="H47">
            <v>115581.5</v>
          </cell>
          <cell r="I47">
            <v>127803.7</v>
          </cell>
          <cell r="J47">
            <v>149790.1</v>
          </cell>
          <cell r="K47">
            <v>115581.5</v>
          </cell>
          <cell r="L47">
            <v>115581.5</v>
          </cell>
          <cell r="M47">
            <v>115581.5</v>
          </cell>
          <cell r="N47">
            <v>115581.5</v>
          </cell>
          <cell r="O47">
            <v>69150.7</v>
          </cell>
        </row>
        <row r="48">
          <cell r="D48">
            <v>129344</v>
          </cell>
          <cell r="E48">
            <v>107984.5</v>
          </cell>
          <cell r="F48">
            <v>129344</v>
          </cell>
          <cell r="G48">
            <v>60897.3</v>
          </cell>
          <cell r="H48">
            <v>138406.1</v>
          </cell>
          <cell r="I48">
            <v>164441.29999999999</v>
          </cell>
          <cell r="J48">
            <v>185204</v>
          </cell>
          <cell r="K48">
            <v>164441.29999999999</v>
          </cell>
          <cell r="L48">
            <v>112370.9</v>
          </cell>
          <cell r="M48">
            <v>164441.29999999999</v>
          </cell>
          <cell r="N48">
            <v>112370.9</v>
          </cell>
          <cell r="O48">
            <v>65573</v>
          </cell>
        </row>
        <row r="49">
          <cell r="D49">
            <v>18015</v>
          </cell>
          <cell r="E49">
            <v>18015</v>
          </cell>
          <cell r="F49">
            <v>18015</v>
          </cell>
          <cell r="G49">
            <v>13029.1</v>
          </cell>
          <cell r="H49">
            <v>13029.1</v>
          </cell>
          <cell r="I49">
            <v>13030.1</v>
          </cell>
          <cell r="J49">
            <v>10909.1</v>
          </cell>
          <cell r="K49">
            <v>15149.1</v>
          </cell>
          <cell r="L49">
            <v>10909.1</v>
          </cell>
          <cell r="M49">
            <v>15149.1</v>
          </cell>
          <cell r="N49">
            <v>13029.1</v>
          </cell>
          <cell r="O49">
            <v>13029.1</v>
          </cell>
        </row>
        <row r="50">
          <cell r="D50">
            <v>65569.7</v>
          </cell>
          <cell r="E50">
            <v>65569.7</v>
          </cell>
          <cell r="F50">
            <v>65569.7</v>
          </cell>
          <cell r="G50">
            <v>82793.600000000006</v>
          </cell>
          <cell r="H50">
            <v>82793.600000000006</v>
          </cell>
          <cell r="I50">
            <v>82793.600000000006</v>
          </cell>
          <cell r="J50">
            <v>49763</v>
          </cell>
          <cell r="K50">
            <v>82793.600000000006</v>
          </cell>
          <cell r="L50">
            <v>115824.2</v>
          </cell>
          <cell r="M50">
            <v>82793.600000000006</v>
          </cell>
          <cell r="N50">
            <v>82793.600000000006</v>
          </cell>
          <cell r="O50">
            <v>49763</v>
          </cell>
        </row>
        <row r="51">
          <cell r="D51">
            <v>26055.5</v>
          </cell>
          <cell r="E51">
            <v>35312.400000000001</v>
          </cell>
          <cell r="F51">
            <v>46192</v>
          </cell>
          <cell r="G51">
            <v>109555.6</v>
          </cell>
          <cell r="H51">
            <v>18009.599999999999</v>
          </cell>
          <cell r="I51">
            <v>50768.800000000003</v>
          </cell>
          <cell r="J51">
            <v>32760.2</v>
          </cell>
          <cell r="K51">
            <v>68777.399999999994</v>
          </cell>
          <cell r="L51">
            <v>83528</v>
          </cell>
          <cell r="M51">
            <v>50768.800000000003</v>
          </cell>
          <cell r="N51">
            <v>50768.800000000003</v>
          </cell>
          <cell r="O51">
            <v>50768.800000000003</v>
          </cell>
        </row>
        <row r="52">
          <cell r="D52">
            <v>0</v>
          </cell>
          <cell r="E52">
            <v>50386.400000000001</v>
          </cell>
          <cell r="F52">
            <v>100772.8</v>
          </cell>
          <cell r="G52">
            <v>52800.9</v>
          </cell>
          <cell r="H52">
            <v>52800.9</v>
          </cell>
          <cell r="I52">
            <v>52800.9</v>
          </cell>
          <cell r="J52">
            <v>52800.9</v>
          </cell>
          <cell r="K52">
            <v>52800.9</v>
          </cell>
          <cell r="L52">
            <v>52800.9</v>
          </cell>
          <cell r="M52">
            <v>52800.9</v>
          </cell>
          <cell r="N52">
            <v>0</v>
          </cell>
          <cell r="O52">
            <v>52800.9</v>
          </cell>
        </row>
        <row r="53">
          <cell r="D53">
            <v>8661.2000000000007</v>
          </cell>
          <cell r="E53">
            <v>8527.7000000000007</v>
          </cell>
          <cell r="F53">
            <v>8256</v>
          </cell>
          <cell r="G53">
            <v>7893.9</v>
          </cell>
          <cell r="H53">
            <v>8022</v>
          </cell>
          <cell r="I53">
            <v>8239.2000000000007</v>
          </cell>
          <cell r="J53">
            <v>8220.9</v>
          </cell>
          <cell r="K53">
            <v>9248.7999999999993</v>
          </cell>
          <cell r="L53">
            <v>11510.7</v>
          </cell>
          <cell r="M53">
            <v>12307</v>
          </cell>
          <cell r="N53">
            <v>12742.9</v>
          </cell>
          <cell r="O53">
            <v>13051.7</v>
          </cell>
        </row>
        <row r="54">
          <cell r="D54">
            <v>773.9</v>
          </cell>
          <cell r="E54">
            <v>773.9</v>
          </cell>
          <cell r="F54">
            <v>773.9</v>
          </cell>
          <cell r="G54">
            <v>838.9</v>
          </cell>
          <cell r="H54">
            <v>838.9</v>
          </cell>
          <cell r="I54">
            <v>838.9</v>
          </cell>
          <cell r="J54">
            <v>838.9</v>
          </cell>
          <cell r="K54">
            <v>838.9</v>
          </cell>
          <cell r="L54">
            <v>838.9</v>
          </cell>
          <cell r="M54">
            <v>838.9</v>
          </cell>
          <cell r="N54">
            <v>838.9</v>
          </cell>
          <cell r="O54">
            <v>838.9</v>
          </cell>
        </row>
        <row r="55">
          <cell r="D55">
            <v>210.9</v>
          </cell>
          <cell r="E55">
            <v>205.2</v>
          </cell>
          <cell r="F55">
            <v>279.3</v>
          </cell>
          <cell r="G55">
            <v>290.7</v>
          </cell>
          <cell r="H55">
            <v>266.7</v>
          </cell>
          <cell r="I55">
            <v>182.4</v>
          </cell>
          <cell r="J55">
            <v>265.8</v>
          </cell>
          <cell r="K55">
            <v>387.6</v>
          </cell>
          <cell r="L55">
            <v>281.10000000000002</v>
          </cell>
          <cell r="M55">
            <v>297.60000000000002</v>
          </cell>
          <cell r="N55">
            <v>291.3</v>
          </cell>
          <cell r="O55">
            <v>288.60000000000002</v>
          </cell>
        </row>
        <row r="56">
          <cell r="D56">
            <v>0</v>
          </cell>
          <cell r="E56">
            <v>2292</v>
          </cell>
          <cell r="F56">
            <v>1213.5</v>
          </cell>
          <cell r="G56">
            <v>796.2</v>
          </cell>
          <cell r="H56">
            <v>796.2</v>
          </cell>
          <cell r="I56">
            <v>796.2</v>
          </cell>
          <cell r="J56">
            <v>796.2</v>
          </cell>
          <cell r="K56">
            <v>796.2</v>
          </cell>
          <cell r="L56">
            <v>796.2</v>
          </cell>
          <cell r="M56">
            <v>796.2</v>
          </cell>
          <cell r="N56">
            <v>796.2</v>
          </cell>
          <cell r="O56">
            <v>796.2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7"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</row>
        <row r="98"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</row>
        <row r="100"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</row>
        <row r="106"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</row>
        <row r="107"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</row>
        <row r="108"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</row>
        <row r="109"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</row>
        <row r="113"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</row>
        <row r="114"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</row>
        <row r="118"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</row>
        <row r="131"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</row>
        <row r="132"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</row>
        <row r="133"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</row>
        <row r="134"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</row>
        <row r="135"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</row>
        <row r="136"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</row>
        <row r="137"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</row>
        <row r="138">
          <cell r="D138">
            <v>-45.159006211180213</v>
          </cell>
          <cell r="E138">
            <v>-49.916770186335498</v>
          </cell>
          <cell r="F138">
            <v>-41.543478260869641</v>
          </cell>
          <cell r="G138">
            <v>-40.770186335403807</v>
          </cell>
          <cell r="H138">
            <v>-51.293788819875871</v>
          </cell>
          <cell r="I138">
            <v>0</v>
          </cell>
          <cell r="J138">
            <v>-114.27160493827211</v>
          </cell>
          <cell r="K138">
            <v>-50.560248447205062</v>
          </cell>
          <cell r="L138">
            <v>-245.82121212121191</v>
          </cell>
          <cell r="M138">
            <v>-69.012345679012654</v>
          </cell>
          <cell r="N138">
            <v>0</v>
          </cell>
          <cell r="O138">
            <v>0</v>
          </cell>
        </row>
        <row r="139">
          <cell r="D139">
            <v>-144.01666666666665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-472.79760383386645</v>
          </cell>
          <cell r="E140">
            <v>-275.63424437299142</v>
          </cell>
          <cell r="F140">
            <v>-261.34726688102995</v>
          </cell>
          <cell r="G140">
            <v>54.749350649351136</v>
          </cell>
          <cell r="H140">
            <v>-52.053883495146799</v>
          </cell>
          <cell r="I140">
            <v>0</v>
          </cell>
          <cell r="J140">
            <v>-53.573948220065922</v>
          </cell>
          <cell r="K140">
            <v>-495.51613418530422</v>
          </cell>
          <cell r="L140">
            <v>-217.05378421900255</v>
          </cell>
          <cell r="M140">
            <v>-107.25654281098602</v>
          </cell>
          <cell r="N140">
            <v>-54.397734627832939</v>
          </cell>
          <cell r="O140">
            <v>0</v>
          </cell>
        </row>
        <row r="141">
          <cell r="D141">
            <v>273.52000000000021</v>
          </cell>
          <cell r="E141">
            <v>273.52000000000021</v>
          </cell>
          <cell r="F141">
            <v>273.52000000000021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</row>
        <row r="142">
          <cell r="D142">
            <v>223.9466666666666</v>
          </cell>
          <cell r="E142">
            <v>0</v>
          </cell>
          <cell r="F142">
            <v>0</v>
          </cell>
          <cell r="G142">
            <v>0</v>
          </cell>
          <cell r="H142">
            <v>-211.34736842105261</v>
          </cell>
          <cell r="I142">
            <v>-217.15789473684208</v>
          </cell>
          <cell r="J142">
            <v>0</v>
          </cell>
          <cell r="K142">
            <v>0</v>
          </cell>
          <cell r="L142">
            <v>-76.161111111111154</v>
          </cell>
          <cell r="M142">
            <v>0</v>
          </cell>
          <cell r="N142">
            <v>0</v>
          </cell>
          <cell r="O142">
            <v>0</v>
          </cell>
        </row>
        <row r="143">
          <cell r="D143">
            <v>4643.3081873905239</v>
          </cell>
          <cell r="E143">
            <v>4766.9038492440213</v>
          </cell>
          <cell r="F143">
            <v>4309.5972283005085</v>
          </cell>
          <cell r="G143">
            <v>1280.2068143963736</v>
          </cell>
          <cell r="H143">
            <v>-276.33441806769497</v>
          </cell>
          <cell r="I143">
            <v>-240.30705729541049</v>
          </cell>
          <cell r="J143">
            <v>89.086242507362599</v>
          </cell>
          <cell r="K143">
            <v>150.90451426509409</v>
          </cell>
          <cell r="L143">
            <v>-813.1419429230458</v>
          </cell>
          <cell r="M143">
            <v>-442.17798456324533</v>
          </cell>
          <cell r="N143">
            <v>-2213.8328589909443</v>
          </cell>
          <cell r="O143">
            <v>0</v>
          </cell>
        </row>
        <row r="144">
          <cell r="D144">
            <v>769.84324324324803</v>
          </cell>
          <cell r="E144">
            <v>394.62617449665026</v>
          </cell>
          <cell r="F144">
            <v>768.60675675676157</v>
          </cell>
          <cell r="G144">
            <v>759.7351351351399</v>
          </cell>
          <cell r="H144">
            <v>760.13513513513988</v>
          </cell>
          <cell r="I144">
            <v>760.43243243243717</v>
          </cell>
          <cell r="J144">
            <v>760.23378378378845</v>
          </cell>
          <cell r="K144">
            <v>375.41744966443525</v>
          </cell>
          <cell r="L144">
            <v>0</v>
          </cell>
          <cell r="M144">
            <v>0</v>
          </cell>
          <cell r="N144">
            <v>-2282.2423076923064</v>
          </cell>
          <cell r="O144">
            <v>0</v>
          </cell>
        </row>
        <row r="145">
          <cell r="D145">
            <v>-842.93594040968253</v>
          </cell>
          <cell r="E145">
            <v>-841.22756052141438</v>
          </cell>
          <cell r="F145">
            <v>-835.79446494464923</v>
          </cell>
          <cell r="G145">
            <v>-591.61238273921117</v>
          </cell>
          <cell r="H145">
            <v>-719.3136704119845</v>
          </cell>
          <cell r="I145">
            <v>-897.48670411984949</v>
          </cell>
          <cell r="J145">
            <v>-808.00169172932226</v>
          </cell>
          <cell r="K145">
            <v>-693.47495291902021</v>
          </cell>
          <cell r="L145">
            <v>-355.45697896749465</v>
          </cell>
          <cell r="M145">
            <v>-266.50673076922982</v>
          </cell>
          <cell r="N145">
            <v>-363.19272030651348</v>
          </cell>
          <cell r="O145">
            <v>0</v>
          </cell>
        </row>
        <row r="146">
          <cell r="D146">
            <v>169.14193548387081</v>
          </cell>
          <cell r="E146">
            <v>53.054545454545405</v>
          </cell>
          <cell r="F146">
            <v>109.33125</v>
          </cell>
          <cell r="G146">
            <v>146.03749999999999</v>
          </cell>
          <cell r="H146">
            <v>226.10322580645143</v>
          </cell>
          <cell r="I146">
            <v>146.02500000000001</v>
          </cell>
          <cell r="J146">
            <v>146.02500000000001</v>
          </cell>
          <cell r="K146">
            <v>146.02500000000001</v>
          </cell>
          <cell r="L146">
            <v>-75.537142857142868</v>
          </cell>
          <cell r="M146">
            <v>80.021212121212045</v>
          </cell>
          <cell r="N146">
            <v>-75.505714285714305</v>
          </cell>
          <cell r="O146">
            <v>0</v>
          </cell>
        </row>
        <row r="147">
          <cell r="D147">
            <v>90.445321100914697</v>
          </cell>
          <cell r="E147">
            <v>92.277614678896299</v>
          </cell>
          <cell r="F147">
            <v>95.081284403666857</v>
          </cell>
          <cell r="G147">
            <v>91.562935779813756</v>
          </cell>
          <cell r="H147">
            <v>182.50257352941111</v>
          </cell>
          <cell r="I147">
            <v>196.0595588235287</v>
          </cell>
          <cell r="J147">
            <v>0</v>
          </cell>
          <cell r="K147">
            <v>-202.49051094890794</v>
          </cell>
          <cell r="L147">
            <v>-295.79125683060141</v>
          </cell>
          <cell r="M147">
            <v>-328.64808743169436</v>
          </cell>
          <cell r="N147">
            <v>99.941100917428173</v>
          </cell>
          <cell r="O147">
            <v>0</v>
          </cell>
        </row>
        <row r="148">
          <cell r="D148">
            <v>10545.89004149374</v>
          </cell>
          <cell r="E148">
            <v>1039.2329938899802</v>
          </cell>
          <cell r="F148">
            <v>-6084.6277108433924</v>
          </cell>
          <cell r="G148">
            <v>-2204.1639676113568</v>
          </cell>
          <cell r="H148">
            <v>-10679.978087649393</v>
          </cell>
          <cell r="I148">
            <v>-4295.1314516128996</v>
          </cell>
          <cell r="J148">
            <v>0</v>
          </cell>
          <cell r="K148">
            <v>-15268.842687747008</v>
          </cell>
          <cell r="L148">
            <v>-11732.720278329993</v>
          </cell>
          <cell r="M148">
            <v>-4269.3758064516096</v>
          </cell>
          <cell r="N148">
            <v>-16693.870866141762</v>
          </cell>
          <cell r="O148">
            <v>0</v>
          </cell>
        </row>
        <row r="149">
          <cell r="D149">
            <v>-211.8000000000001</v>
          </cell>
          <cell r="E149">
            <v>-209.70000000000007</v>
          </cell>
          <cell r="F149">
            <v>-206.77777777777786</v>
          </cell>
          <cell r="G149">
            <v>-240.0666666666668</v>
          </cell>
          <cell r="H149">
            <v>-280.53333333333347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-598.2399999999999</v>
          </cell>
          <cell r="E150">
            <v>-607.4133333333333</v>
          </cell>
          <cell r="F150">
            <v>-607.54666666666662</v>
          </cell>
          <cell r="G150">
            <v>-736.73333333333312</v>
          </cell>
          <cell r="H150">
            <v>-736.73333333333312</v>
          </cell>
          <cell r="I150">
            <v>-736.73333333333312</v>
          </cell>
          <cell r="J150">
            <v>-736.73333333333312</v>
          </cell>
          <cell r="K150">
            <v>-736.73333333333312</v>
          </cell>
          <cell r="L150">
            <v>-388.94999999999982</v>
          </cell>
          <cell r="M150">
            <v>0</v>
          </cell>
          <cell r="N150">
            <v>0</v>
          </cell>
          <cell r="O150">
            <v>0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</row>
        <row r="153"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</row>
        <row r="154"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</row>
        <row r="155"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</row>
        <row r="156"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</row>
        <row r="157"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</row>
        <row r="158">
          <cell r="D158">
            <v>-5814.681899109798</v>
          </cell>
          <cell r="E158">
            <v>-4182.0263532763538</v>
          </cell>
          <cell r="F158">
            <v>-4383.7431994818808</v>
          </cell>
          <cell r="G158">
            <v>-5876.181995997681</v>
          </cell>
          <cell r="H158">
            <v>-6711.8950895734179</v>
          </cell>
          <cell r="I158">
            <v>-5737.5281970176275</v>
          </cell>
          <cell r="J158">
            <v>-1989.8879125170929</v>
          </cell>
          <cell r="K158">
            <v>-2166.8301892929271</v>
          </cell>
          <cell r="L158">
            <v>-3033.994999999989</v>
          </cell>
          <cell r="M158">
            <v>-2081.4753808097803</v>
          </cell>
          <cell r="N158">
            <v>-2140.8206274816184</v>
          </cell>
          <cell r="O158">
            <v>0</v>
          </cell>
        </row>
        <row r="159">
          <cell r="D159">
            <v>438.99354838709638</v>
          </cell>
          <cell r="E159">
            <v>438.99354838709638</v>
          </cell>
          <cell r="F159">
            <v>222.31874999999999</v>
          </cell>
          <cell r="G159">
            <v>208.515625</v>
          </cell>
          <cell r="H159">
            <v>208.515625</v>
          </cell>
          <cell r="I159">
            <v>-218.59705882352947</v>
          </cell>
          <cell r="J159">
            <v>-210.53529411764711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</row>
        <row r="160">
          <cell r="D160">
            <v>42816.903241389664</v>
          </cell>
          <cell r="E160">
            <v>45397.140520334106</v>
          </cell>
          <cell r="F160">
            <v>43577.351511435903</v>
          </cell>
          <cell r="G160">
            <v>11498.788778280554</v>
          </cell>
          <cell r="H160">
            <v>-2455.0873555980666</v>
          </cell>
          <cell r="I160">
            <v>-4495.3294609822142</v>
          </cell>
          <cell r="J160">
            <v>9245.7056277480006</v>
          </cell>
          <cell r="K160">
            <v>8652.6975215492275</v>
          </cell>
          <cell r="L160">
            <v>8668.6786671548853</v>
          </cell>
          <cell r="M160">
            <v>4859.5586071757634</v>
          </cell>
          <cell r="N160">
            <v>321.99933996590983</v>
          </cell>
          <cell r="O160">
            <v>0</v>
          </cell>
        </row>
        <row r="161">
          <cell r="D161">
            <v>3870.9811320754707</v>
          </cell>
          <cell r="E161">
            <v>2729.9542056074629</v>
          </cell>
          <cell r="F161">
            <v>1932.9458204334312</v>
          </cell>
          <cell r="G161">
            <v>2572.327725856685</v>
          </cell>
          <cell r="H161">
            <v>1445.9851851851915</v>
          </cell>
          <cell r="I161">
            <v>1456.3629629629693</v>
          </cell>
          <cell r="J161">
            <v>723.10122699386091</v>
          </cell>
          <cell r="K161">
            <v>-364.96595744680525</v>
          </cell>
          <cell r="L161">
            <v>-725.15030303030767</v>
          </cell>
          <cell r="M161">
            <v>-721.20787878788349</v>
          </cell>
          <cell r="N161">
            <v>361.33639143729795</v>
          </cell>
          <cell r="O161">
            <v>0</v>
          </cell>
        </row>
        <row r="162">
          <cell r="D162">
            <v>0</v>
          </cell>
          <cell r="E162">
            <v>4603.4343750000007</v>
          </cell>
          <cell r="F162">
            <v>4752.8999999999996</v>
          </cell>
          <cell r="G162">
            <v>4227.8539682539677</v>
          </cell>
          <cell r="H162">
            <v>1686.7784615384553</v>
          </cell>
          <cell r="I162">
            <v>0</v>
          </cell>
          <cell r="J162">
            <v>1726.4523076923015</v>
          </cell>
          <cell r="K162">
            <v>-2412.8528571428551</v>
          </cell>
          <cell r="L162">
            <v>1716.7661538461477</v>
          </cell>
          <cell r="M162">
            <v>-10560.943421052634</v>
          </cell>
          <cell r="N162">
            <v>-9268.8640000000014</v>
          </cell>
          <cell r="O162">
            <v>0</v>
          </cell>
        </row>
        <row r="163">
          <cell r="D163">
            <v>-8694.1391304347781</v>
          </cell>
          <cell r="E163">
            <v>-8694.1391304347781</v>
          </cell>
          <cell r="F163">
            <v>-8694.1391304347781</v>
          </cell>
          <cell r="G163">
            <v>-12651.799999999992</v>
          </cell>
          <cell r="H163">
            <v>-15632.247826086947</v>
          </cell>
          <cell r="I163">
            <v>-18620.139130434771</v>
          </cell>
          <cell r="J163">
            <v>-15786.191304347816</v>
          </cell>
          <cell r="K163">
            <v>-18620.139130434771</v>
          </cell>
          <cell r="L163">
            <v>-13691.69999999999</v>
          </cell>
          <cell r="M163">
            <v>-18774.08260869564</v>
          </cell>
          <cell r="N163">
            <v>0</v>
          </cell>
          <cell r="O163">
            <v>0</v>
          </cell>
        </row>
        <row r="164"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</row>
        <row r="165"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</row>
        <row r="166"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</row>
        <row r="167">
          <cell r="D167">
            <v>0</v>
          </cell>
          <cell r="E167">
            <v>0</v>
          </cell>
          <cell r="F167">
            <v>26447.285714285703</v>
          </cell>
          <cell r="G167">
            <v>-14327.988888888895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</row>
        <row r="168"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</row>
        <row r="169"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</row>
        <row r="170"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</row>
        <row r="171">
          <cell r="D171">
            <v>0</v>
          </cell>
          <cell r="E171">
            <v>0</v>
          </cell>
          <cell r="F171">
            <v>23096</v>
          </cell>
          <cell r="G171">
            <v>-27388.9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</row>
        <row r="172"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</row>
        <row r="173">
          <cell r="D173">
            <v>4330.6000000000004</v>
          </cell>
          <cell r="E173">
            <v>4263.8500000000004</v>
          </cell>
          <cell r="F173">
            <v>4128</v>
          </cell>
          <cell r="G173">
            <v>3946.95</v>
          </cell>
          <cell r="H173">
            <v>4011</v>
          </cell>
          <cell r="I173">
            <v>4119.6000000000004</v>
          </cell>
          <cell r="J173">
            <v>4215.8461538461534</v>
          </cell>
          <cell r="K173">
            <v>3059.7533834586461</v>
          </cell>
          <cell r="L173">
            <v>1303.0981132075469</v>
          </cell>
          <cell r="M173">
            <v>1057.0429447852755</v>
          </cell>
          <cell r="N173">
            <v>524.70764705882448</v>
          </cell>
          <cell r="O173">
            <v>0</v>
          </cell>
        </row>
        <row r="174"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D176">
            <v>0</v>
          </cell>
          <cell r="E176">
            <v>-1146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</row>
        <row r="182"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</row>
        <row r="184"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</row>
        <row r="185"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</row>
        <row r="186"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</row>
        <row r="187"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</row>
        <row r="188"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</row>
        <row r="189"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</row>
        <row r="190"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</row>
        <row r="191"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</row>
        <row r="192"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</row>
        <row r="193"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</row>
        <row r="194"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</row>
        <row r="195"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</row>
        <row r="196"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</row>
        <row r="197"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</row>
        <row r="198"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</row>
        <row r="199"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</row>
        <row r="200"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</row>
        <row r="201"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</row>
        <row r="202"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</row>
        <row r="203"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</row>
        <row r="204"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</row>
        <row r="205"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</row>
        <row r="206"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</row>
        <row r="207"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</row>
        <row r="208"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</row>
        <row r="209"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</row>
        <row r="210"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</row>
        <row r="211"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</row>
        <row r="219"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</row>
        <row r="220"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</row>
        <row r="221"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</row>
        <row r="222"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</row>
        <row r="223"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</row>
        <row r="224"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</row>
        <row r="225"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</row>
        <row r="226"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</row>
        <row r="227"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</row>
        <row r="228"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</row>
        <row r="229"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</row>
        <row r="231"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</row>
        <row r="232"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</row>
        <row r="233"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</row>
        <row r="234"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</row>
        <row r="236"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</row>
        <row r="237"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</row>
        <row r="238"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</row>
        <row r="249"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</row>
        <row r="250"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</row>
        <row r="252"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</row>
        <row r="253"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</row>
        <row r="254"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</row>
        <row r="255"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</row>
        <row r="256"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</row>
        <row r="257"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</row>
        <row r="258">
          <cell r="D258">
            <v>3.8132604060948281</v>
          </cell>
          <cell r="E258">
            <v>4.3222791097425297</v>
          </cell>
          <cell r="F258">
            <v>3.7788673171386007</v>
          </cell>
          <cell r="G258">
            <v>3.5715220397288459</v>
          </cell>
          <cell r="H258">
            <v>4.8466335079302194</v>
          </cell>
          <cell r="I258">
            <v>6.6915456475583861</v>
          </cell>
          <cell r="J258">
            <v>3.6806933469283711</v>
          </cell>
          <cell r="K258">
            <v>2.4739912600770966</v>
          </cell>
          <cell r="L258">
            <v>2.489666650927806</v>
          </cell>
          <cell r="M258">
            <v>0.9024767451509963</v>
          </cell>
          <cell r="N258">
            <v>1.4141331733653271</v>
          </cell>
          <cell r="O258">
            <v>2.5914073248023941</v>
          </cell>
        </row>
        <row r="259"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</row>
        <row r="260">
          <cell r="D260">
            <v>391.17467795592745</v>
          </cell>
          <cell r="E260">
            <v>519.95787307508158</v>
          </cell>
          <cell r="F260">
            <v>-333.60019982192682</v>
          </cell>
          <cell r="G260">
            <v>-391.01501860019664</v>
          </cell>
          <cell r="H260">
            <v>-40.406013067640046</v>
          </cell>
          <cell r="I260">
            <v>-1713.5024711064636</v>
          </cell>
          <cell r="J260">
            <v>-723.90724740607027</v>
          </cell>
          <cell r="K260">
            <v>927.63077165546395</v>
          </cell>
          <cell r="L260">
            <v>339.23259528639761</v>
          </cell>
          <cell r="M260">
            <v>-1480.5421709061818</v>
          </cell>
          <cell r="N260">
            <v>-1144.2707222846936</v>
          </cell>
          <cell r="O260">
            <v>-1167.5714152706103</v>
          </cell>
        </row>
        <row r="261">
          <cell r="D261">
            <v>9.9797108905824439E-2</v>
          </cell>
          <cell r="E261">
            <v>0.10110381865762812</v>
          </cell>
          <cell r="F261">
            <v>0.11967780044398615</v>
          </cell>
          <cell r="G261">
            <v>0.12513752688794319</v>
          </cell>
          <cell r="H261">
            <v>6.2059956690445013E-2</v>
          </cell>
          <cell r="I261">
            <v>0.13026200017478556</v>
          </cell>
          <cell r="J261">
            <v>8.7215383859006693E-2</v>
          </cell>
          <cell r="K261">
            <v>9.2128252065987598E-2</v>
          </cell>
          <cell r="L261">
            <v>0.12179012526862826</v>
          </cell>
          <cell r="M261">
            <v>8.5774905778129268E-2</v>
          </cell>
          <cell r="N261">
            <v>7.8925691584799493E-2</v>
          </cell>
          <cell r="O261">
            <v>8.061056102785194E-2</v>
          </cell>
        </row>
        <row r="262"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</row>
        <row r="263">
          <cell r="D263">
            <v>-1247.4096509060239</v>
          </cell>
          <cell r="E263">
            <v>3659.0807680710186</v>
          </cell>
          <cell r="F263">
            <v>-4513.9612357996084</v>
          </cell>
          <cell r="G263">
            <v>6189.3415987238095</v>
          </cell>
          <cell r="H263">
            <v>2497.6426008561371</v>
          </cell>
          <cell r="I263">
            <v>4718.812093939523</v>
          </cell>
          <cell r="J263">
            <v>-951.24664417723</v>
          </cell>
          <cell r="K263">
            <v>-1171.346281343275</v>
          </cell>
          <cell r="L263">
            <v>13105.456935850303</v>
          </cell>
          <cell r="M263">
            <v>-27085.560369767136</v>
          </cell>
          <cell r="N263">
            <v>-38279.558476877755</v>
          </cell>
          <cell r="O263">
            <v>-41659.062340708668</v>
          </cell>
        </row>
        <row r="264">
          <cell r="D264">
            <v>131.29341843094616</v>
          </cell>
          <cell r="E264">
            <v>137.2948974432135</v>
          </cell>
          <cell r="F264">
            <v>127.5152252203126</v>
          </cell>
          <cell r="G264">
            <v>122.28394470699283</v>
          </cell>
          <cell r="H264">
            <v>161.51205101572802</v>
          </cell>
          <cell r="I264">
            <v>132.59382946255099</v>
          </cell>
          <cell r="J264">
            <v>156.17058156293746</v>
          </cell>
          <cell r="K264">
            <v>129.1530725035617</v>
          </cell>
          <cell r="L264">
            <v>125.76992525302619</v>
          </cell>
          <cell r="M264">
            <v>80.157185667599535</v>
          </cell>
          <cell r="N264">
            <v>106.08263261140799</v>
          </cell>
          <cell r="O264">
            <v>102.43704373711566</v>
          </cell>
        </row>
        <row r="265">
          <cell r="D265">
            <v>-4.399974545678293</v>
          </cell>
          <cell r="E265">
            <v>61.8942376502361</v>
          </cell>
          <cell r="F265">
            <v>-13.404400102591612</v>
          </cell>
          <cell r="G265">
            <v>56.897410842996692</v>
          </cell>
          <cell r="H265">
            <v>51.017029234469092</v>
          </cell>
          <cell r="I265">
            <v>138.48679241321486</v>
          </cell>
          <cell r="J265">
            <v>-6.232091841800071</v>
          </cell>
          <cell r="K265">
            <v>-29.724479668152036</v>
          </cell>
          <cell r="L265">
            <v>275.36121207748607</v>
          </cell>
          <cell r="M265">
            <v>-524.39730321117429</v>
          </cell>
          <cell r="N265">
            <v>-836.71364005068085</v>
          </cell>
          <cell r="O265">
            <v>-893.50367480464377</v>
          </cell>
        </row>
        <row r="266">
          <cell r="D266">
            <v>12.115875300506485</v>
          </cell>
          <cell r="E266">
            <v>10.740583183211555</v>
          </cell>
          <cell r="F266">
            <v>2.827081112793687</v>
          </cell>
          <cell r="G266">
            <v>4.8676203973394774</v>
          </cell>
          <cell r="H266">
            <v>11.933547346190458</v>
          </cell>
          <cell r="I266">
            <v>21.620435236249815</v>
          </cell>
          <cell r="J266">
            <v>20.185493302330052</v>
          </cell>
          <cell r="K266">
            <v>27.179481497894972</v>
          </cell>
          <cell r="L266">
            <v>27.985053715623973</v>
          </cell>
          <cell r="M266">
            <v>19.265848902298274</v>
          </cell>
          <cell r="N266">
            <v>19.105626731524893</v>
          </cell>
          <cell r="O266">
            <v>20.689280355481149</v>
          </cell>
        </row>
        <row r="267">
          <cell r="D267">
            <v>82.647259163129306</v>
          </cell>
          <cell r="E267">
            <v>127.79526599090744</v>
          </cell>
          <cell r="F267">
            <v>-307.93101181345861</v>
          </cell>
          <cell r="G267">
            <v>-361.58747847554588</v>
          </cell>
          <cell r="H267">
            <v>-148.92916334466886</v>
          </cell>
          <cell r="I267">
            <v>-1381.6790574921918</v>
          </cell>
          <cell r="J267">
            <v>-723.27762317066208</v>
          </cell>
          <cell r="K267">
            <v>658.3402066929325</v>
          </cell>
          <cell r="L267">
            <v>102.16934448565466</v>
          </cell>
          <cell r="M267">
            <v>-1453.2162532642481</v>
          </cell>
          <cell r="N267">
            <v>-1049.5329097866274</v>
          </cell>
          <cell r="O267">
            <v>-972.71891252504929</v>
          </cell>
        </row>
        <row r="268">
          <cell r="D268">
            <v>1016.2354752482033</v>
          </cell>
          <cell r="E268">
            <v>1747.3864470987503</v>
          </cell>
          <cell r="F268">
            <v>-2589.1708068903768</v>
          </cell>
          <cell r="G268">
            <v>-2725.2043157707603</v>
          </cell>
          <cell r="H268">
            <v>-546.06039975129022</v>
          </cell>
          <cell r="I268">
            <v>-9524.0658392706973</v>
          </cell>
          <cell r="J268">
            <v>-4424.4344668205968</v>
          </cell>
          <cell r="K268">
            <v>3754.5268538476653</v>
          </cell>
          <cell r="L268">
            <v>1749.363245911389</v>
          </cell>
          <cell r="M268">
            <v>-11338.311222983259</v>
          </cell>
          <cell r="N268">
            <v>-10464.324072320129</v>
          </cell>
          <cell r="O268">
            <v>-9791.4322949909765</v>
          </cell>
        </row>
        <row r="269"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D270">
            <v>50.278527956253896</v>
          </cell>
          <cell r="E270">
            <v>65.608676277023037</v>
          </cell>
          <cell r="F270">
            <v>-40.498719030537359</v>
          </cell>
          <cell r="G270">
            <v>-52.925175426651407</v>
          </cell>
          <cell r="H270">
            <v>-6.2618754295087387</v>
          </cell>
          <cell r="I270">
            <v>-251.07379923335927</v>
          </cell>
          <cell r="J270">
            <v>-87.891600750499663</v>
          </cell>
          <cell r="K270">
            <v>122.74552612775551</v>
          </cell>
          <cell r="L270">
            <v>47.002251424269275</v>
          </cell>
          <cell r="M270">
            <v>-210.01316993514516</v>
          </cell>
          <cell r="N270">
            <v>-162.78210000729982</v>
          </cell>
          <cell r="O270">
            <v>-161.89942066132264</v>
          </cell>
        </row>
        <row r="271"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D273">
            <v>-13.342756441212286</v>
          </cell>
          <cell r="E273">
            <v>-13.273515521971527</v>
          </cell>
          <cell r="F273">
            <v>-12.82892982082765</v>
          </cell>
          <cell r="G273">
            <v>-1.3617495832353363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</row>
        <row r="276"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</row>
        <row r="277"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</row>
        <row r="278">
          <cell r="D278">
            <v>4800.6331264776818</v>
          </cell>
          <cell r="E278">
            <v>5923.3691706047266</v>
          </cell>
          <cell r="F278">
            <v>-4362.541471853986</v>
          </cell>
          <cell r="G278">
            <v>-5157.0432632824532</v>
          </cell>
          <cell r="H278">
            <v>-561.12354692249448</v>
          </cell>
          <cell r="I278">
            <v>-22304.096486933275</v>
          </cell>
          <cell r="J278">
            <v>-8700.7612207993334</v>
          </cell>
          <cell r="K278">
            <v>10232.542162708663</v>
          </cell>
          <cell r="L278">
            <v>3828.5823188196946</v>
          </cell>
          <cell r="M278">
            <v>-18940.298847315396</v>
          </cell>
          <cell r="N278">
            <v>-14799.229365188414</v>
          </cell>
          <cell r="O278">
            <v>-14361.542612135107</v>
          </cell>
        </row>
        <row r="279">
          <cell r="D279">
            <v>80.058758236484806</v>
          </cell>
          <cell r="E279">
            <v>101.43847016267082</v>
          </cell>
          <cell r="F279">
            <v>-67.346256824434434</v>
          </cell>
          <cell r="G279">
            <v>-75.781502750281277</v>
          </cell>
          <cell r="H279">
            <v>-5.9545309300166203</v>
          </cell>
          <cell r="I279">
            <v>-372.11591227304729</v>
          </cell>
          <cell r="J279">
            <v>-142.98061262797827</v>
          </cell>
          <cell r="K279">
            <v>180.78107843596692</v>
          </cell>
          <cell r="L279">
            <v>64.982500261139762</v>
          </cell>
          <cell r="M279">
            <v>-297.10989672462813</v>
          </cell>
          <cell r="N279">
            <v>-225.48323037153048</v>
          </cell>
          <cell r="O279">
            <v>-221.27921696771253</v>
          </cell>
        </row>
        <row r="280">
          <cell r="D280">
            <v>15071.607652030472</v>
          </cell>
          <cell r="E280">
            <v>18547.687804924051</v>
          </cell>
          <cell r="F280">
            <v>-13067.162098520572</v>
          </cell>
          <cell r="G280">
            <v>-15650.722694454027</v>
          </cell>
          <cell r="H280">
            <v>-1617.8057126587917</v>
          </cell>
          <cell r="I280">
            <v>-68949.968737573159</v>
          </cell>
          <cell r="J280">
            <v>-27385.09244384975</v>
          </cell>
          <cell r="K280">
            <v>33447.879955402292</v>
          </cell>
          <cell r="L280">
            <v>12472.695677795724</v>
          </cell>
          <cell r="M280">
            <v>-61171.850812440738</v>
          </cell>
          <cell r="N280">
            <v>-47716.286113841219</v>
          </cell>
          <cell r="O280">
            <v>-46232.146359420571</v>
          </cell>
        </row>
        <row r="281">
          <cell r="D281">
            <v>1464.6380715111331</v>
          </cell>
          <cell r="E281">
            <v>1836.0449829960039</v>
          </cell>
          <cell r="F281">
            <v>-916.60669268657136</v>
          </cell>
          <cell r="G281">
            <v>-1088.4992777758316</v>
          </cell>
          <cell r="H281">
            <v>49.966316405892393</v>
          </cell>
          <cell r="I281">
            <v>-5337.2591614619232</v>
          </cell>
          <cell r="J281">
            <v>-2064.5604186759838</v>
          </cell>
          <cell r="K281">
            <v>3007.9095439374923</v>
          </cell>
          <cell r="L281">
            <v>1151.5875695840207</v>
          </cell>
          <cell r="M281">
            <v>-4613.459547096053</v>
          </cell>
          <cell r="N281">
            <v>-3501.5832732428134</v>
          </cell>
          <cell r="O281">
            <v>-3346.9559170349407</v>
          </cell>
        </row>
        <row r="282">
          <cell r="D282">
            <v>-10.038964279605791</v>
          </cell>
          <cell r="E282">
            <v>-3.637059504216122</v>
          </cell>
          <cell r="F282">
            <v>-2.8787938574184841</v>
          </cell>
          <cell r="G282">
            <v>-2.4202495921455642</v>
          </cell>
          <cell r="H282">
            <v>-1.4771009486480406</v>
          </cell>
          <cell r="I282">
            <v>-3.2990708057381153</v>
          </cell>
          <cell r="J282">
            <v>-2.9753942193389555</v>
          </cell>
          <cell r="K282">
            <v>-3.2928634634563889</v>
          </cell>
          <cell r="L282">
            <v>-3.1956737970524336</v>
          </cell>
          <cell r="M282">
            <v>-4.4696314283580127</v>
          </cell>
          <cell r="N282">
            <v>-5.7468556149297685</v>
          </cell>
          <cell r="O282">
            <v>-4.2432467996578804</v>
          </cell>
        </row>
        <row r="283"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</row>
        <row r="284">
          <cell r="D284">
            <v>-17.281190387239125</v>
          </cell>
          <cell r="E284">
            <v>-16.73122910685866</v>
          </cell>
          <cell r="F284">
            <v>-16.545875574456407</v>
          </cell>
          <cell r="G284">
            <v>-86.408582104855427</v>
          </cell>
          <cell r="H284">
            <v>-30.454649150971779</v>
          </cell>
          <cell r="I284">
            <v>-122.06228427587114</v>
          </cell>
          <cell r="J284">
            <v>-95.559869628069563</v>
          </cell>
          <cell r="K284">
            <v>-88.49778930871814</v>
          </cell>
          <cell r="L284">
            <v>-89.47843003235424</v>
          </cell>
          <cell r="M284">
            <v>-101.5523312076121</v>
          </cell>
          <cell r="N284">
            <v>-101.4376545467661</v>
          </cell>
          <cell r="O284">
            <v>-89.056976662513989</v>
          </cell>
        </row>
        <row r="285"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</row>
        <row r="286"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</row>
        <row r="287"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</row>
        <row r="288"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</row>
        <row r="289"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</row>
        <row r="291"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</row>
        <row r="292"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</row>
        <row r="294"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</row>
        <row r="295"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</row>
        <row r="296"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</row>
        <row r="297"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</row>
        <row r="298"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</row>
        <row r="299"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</row>
        <row r="300"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</row>
        <row r="301"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</row>
        <row r="302"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</row>
        <row r="306"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</row>
        <row r="307"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</row>
        <row r="308"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</row>
        <row r="309"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</row>
        <row r="310"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</row>
        <row r="311"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</row>
        <row r="312"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</row>
        <row r="313"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</row>
        <row r="314"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</row>
        <row r="315"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</row>
        <row r="316"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7"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</row>
        <row r="318"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</row>
        <row r="319"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</row>
        <row r="321"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</row>
        <row r="322"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</row>
        <row r="323"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</row>
        <row r="324"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</row>
        <row r="325"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</row>
        <row r="326"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</row>
        <row r="327"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</row>
        <row r="330"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</row>
        <row r="331"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</row>
        <row r="332"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</row>
        <row r="334"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</row>
        <row r="336"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</row>
        <row r="338"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</row>
        <row r="340"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</row>
        <row r="341"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</row>
        <row r="342"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</row>
        <row r="343"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</row>
        <row r="344"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</row>
        <row r="345"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</row>
        <row r="346"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</row>
        <row r="347"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</row>
        <row r="348"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</row>
        <row r="349"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</row>
        <row r="350"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</row>
        <row r="351"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</row>
        <row r="352"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</row>
        <row r="353"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</row>
        <row r="354"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</row>
        <row r="355"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</row>
        <row r="357"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</row>
        <row r="369"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</row>
        <row r="370"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</row>
        <row r="371"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</row>
        <row r="372"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</row>
        <row r="373"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</row>
        <row r="374"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</row>
        <row r="375"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</row>
        <row r="376"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</row>
        <row r="377"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</row>
        <row r="378"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</row>
        <row r="379"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</row>
        <row r="380"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</row>
        <row r="381"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</row>
        <row r="382"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</row>
        <row r="383"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</row>
        <row r="384"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</row>
        <row r="385"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</row>
        <row r="386"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</row>
        <row r="387"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</row>
        <row r="388"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</row>
        <row r="389"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</row>
        <row r="390"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</row>
        <row r="391"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</row>
        <row r="392"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</row>
        <row r="393"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</row>
        <row r="394"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</row>
        <row r="395"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</row>
        <row r="396"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</row>
        <row r="397"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</row>
        <row r="398"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</row>
        <row r="399"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</row>
        <row r="400"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</row>
        <row r="401"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</row>
        <row r="402"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</row>
        <row r="403"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</row>
        <row r="404"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</row>
        <row r="405"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</row>
        <row r="406"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</row>
        <row r="407"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</row>
        <row r="408"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</row>
        <row r="409"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</row>
        <row r="410"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</row>
        <row r="411"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</row>
        <row r="412"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</row>
        <row r="413"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</row>
        <row r="414"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</row>
        <row r="415"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</row>
        <row r="416"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</row>
        <row r="417"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</row>
        <row r="418"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</row>
        <row r="419"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</row>
        <row r="420"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</row>
        <row r="421"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</row>
        <row r="422"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</row>
        <row r="423"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</row>
        <row r="424"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</row>
        <row r="425"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</row>
        <row r="426"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</row>
        <row r="427"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</row>
        <row r="428"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</row>
        <row r="429"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</row>
        <row r="430"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</row>
        <row r="431"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</row>
        <row r="432"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</row>
        <row r="433"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</row>
        <row r="434"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</row>
        <row r="435"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</row>
        <row r="436"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</row>
        <row r="437"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</row>
        <row r="438"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</row>
        <row r="439"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</row>
        <row r="440"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</row>
        <row r="441"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</row>
        <row r="442"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</row>
        <row r="443"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</row>
        <row r="444"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</row>
        <row r="445"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</row>
        <row r="446"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</row>
        <row r="447"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</row>
        <row r="448"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</row>
        <row r="449"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</row>
        <row r="450"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</row>
        <row r="451"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</row>
        <row r="452"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</row>
        <row r="453"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</row>
        <row r="454"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</row>
        <row r="455"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</row>
        <row r="456"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</row>
        <row r="457"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</row>
        <row r="458"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</row>
        <row r="459"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</row>
        <row r="460"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</row>
        <row r="461"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</row>
        <row r="462"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</row>
        <row r="463"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</row>
        <row r="464"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</row>
        <row r="465"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</row>
        <row r="467"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</row>
        <row r="469"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</row>
        <row r="470"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</row>
        <row r="471"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</row>
        <row r="472"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</row>
        <row r="473"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</row>
        <row r="474"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</row>
        <row r="475"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</row>
        <row r="476"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</row>
        <row r="477"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</row>
        <row r="478"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</row>
      </sheetData>
      <sheetData sheetId="8">
        <row r="9">
          <cell r="D9">
            <v>1026095798</v>
          </cell>
          <cell r="E9">
            <v>792115393</v>
          </cell>
          <cell r="F9">
            <v>922130472</v>
          </cell>
          <cell r="G9">
            <v>989049651</v>
          </cell>
          <cell r="H9">
            <v>870737815</v>
          </cell>
          <cell r="I9">
            <v>798839085</v>
          </cell>
          <cell r="J9">
            <v>787132235</v>
          </cell>
          <cell r="K9">
            <v>859486039</v>
          </cell>
          <cell r="L9">
            <v>1161051665</v>
          </cell>
          <cell r="M9">
            <v>1516770993</v>
          </cell>
          <cell r="N9">
            <v>1532349238</v>
          </cell>
          <cell r="O9">
            <v>1485865654</v>
          </cell>
        </row>
        <row r="10">
          <cell r="D10">
            <v>4734808</v>
          </cell>
          <cell r="E10">
            <v>3686378</v>
          </cell>
          <cell r="F10">
            <v>3981899</v>
          </cell>
          <cell r="G10">
            <v>4176182</v>
          </cell>
          <cell r="H10">
            <v>3414653</v>
          </cell>
          <cell r="I10">
            <v>3611763</v>
          </cell>
          <cell r="J10">
            <v>3571307</v>
          </cell>
          <cell r="K10">
            <v>3870086</v>
          </cell>
          <cell r="L10">
            <v>5275168</v>
          </cell>
          <cell r="M10">
            <v>6526219</v>
          </cell>
          <cell r="N10">
            <v>6231126</v>
          </cell>
          <cell r="O10">
            <v>6349680</v>
          </cell>
        </row>
        <row r="11">
          <cell r="D11">
            <v>0</v>
          </cell>
          <cell r="E11">
            <v>-2664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D12">
            <v>86535</v>
          </cell>
          <cell r="E12">
            <v>91137</v>
          </cell>
          <cell r="F12">
            <v>107576</v>
          </cell>
          <cell r="G12">
            <v>105917</v>
          </cell>
          <cell r="H12">
            <v>89844</v>
          </cell>
          <cell r="I12">
            <v>80686</v>
          </cell>
          <cell r="J12">
            <v>75744</v>
          </cell>
          <cell r="K12">
            <v>68349</v>
          </cell>
          <cell r="L12">
            <v>64120</v>
          </cell>
          <cell r="M12">
            <v>60570</v>
          </cell>
          <cell r="N12">
            <v>60060</v>
          </cell>
          <cell r="O12">
            <v>66571</v>
          </cell>
        </row>
        <row r="13">
          <cell r="D13">
            <v>949059</v>
          </cell>
          <cell r="E13">
            <v>852836</v>
          </cell>
          <cell r="F13">
            <v>845409</v>
          </cell>
          <cell r="G13">
            <v>882097</v>
          </cell>
          <cell r="H13">
            <v>843517</v>
          </cell>
          <cell r="I13">
            <v>955962</v>
          </cell>
          <cell r="J13">
            <v>1015955</v>
          </cell>
          <cell r="K13">
            <v>697250</v>
          </cell>
          <cell r="L13">
            <v>226710</v>
          </cell>
          <cell r="M13">
            <v>189515</v>
          </cell>
          <cell r="N13">
            <v>156215</v>
          </cell>
          <cell r="O13">
            <v>265930</v>
          </cell>
        </row>
        <row r="14">
          <cell r="D14">
            <v>13809</v>
          </cell>
          <cell r="E14">
            <v>14420</v>
          </cell>
          <cell r="F14">
            <v>16979</v>
          </cell>
          <cell r="G14">
            <v>19152</v>
          </cell>
          <cell r="H14">
            <v>15564</v>
          </cell>
          <cell r="I14">
            <v>17124</v>
          </cell>
          <cell r="J14">
            <v>14519</v>
          </cell>
          <cell r="K14">
            <v>13285</v>
          </cell>
          <cell r="L14">
            <v>14699</v>
          </cell>
          <cell r="M14">
            <v>19416</v>
          </cell>
          <cell r="N14">
            <v>20211</v>
          </cell>
          <cell r="O14">
            <v>18137</v>
          </cell>
        </row>
        <row r="15">
          <cell r="D15">
            <v>618006</v>
          </cell>
          <cell r="E15">
            <v>605555</v>
          </cell>
          <cell r="F15">
            <v>664551</v>
          </cell>
          <cell r="G15">
            <v>671106</v>
          </cell>
          <cell r="H15">
            <v>603389</v>
          </cell>
          <cell r="I15">
            <v>599766</v>
          </cell>
          <cell r="J15">
            <v>611286</v>
          </cell>
          <cell r="K15">
            <v>584314</v>
          </cell>
          <cell r="L15">
            <v>602771</v>
          </cell>
          <cell r="M15">
            <v>612293</v>
          </cell>
          <cell r="N15">
            <v>590476</v>
          </cell>
          <cell r="O15">
            <v>599902</v>
          </cell>
        </row>
        <row r="16">
          <cell r="D16">
            <v>169353</v>
          </cell>
          <cell r="E16">
            <v>170673</v>
          </cell>
          <cell r="F16">
            <v>187854</v>
          </cell>
          <cell r="G16">
            <v>192676</v>
          </cell>
          <cell r="H16">
            <v>164770</v>
          </cell>
          <cell r="I16">
            <v>164788</v>
          </cell>
          <cell r="J16">
            <v>168251</v>
          </cell>
          <cell r="K16">
            <v>176120</v>
          </cell>
          <cell r="L16">
            <v>182408</v>
          </cell>
          <cell r="M16">
            <v>174810</v>
          </cell>
          <cell r="N16">
            <v>174324</v>
          </cell>
          <cell r="O16">
            <v>168904</v>
          </cell>
        </row>
        <row r="17">
          <cell r="D17">
            <v>50300507</v>
          </cell>
          <cell r="E17">
            <v>43840699</v>
          </cell>
          <cell r="F17">
            <v>46849456</v>
          </cell>
          <cell r="G17">
            <v>47395068</v>
          </cell>
          <cell r="H17">
            <v>43018310</v>
          </cell>
          <cell r="I17">
            <v>42162071</v>
          </cell>
          <cell r="J17">
            <v>41817009</v>
          </cell>
          <cell r="K17">
            <v>44474940</v>
          </cell>
          <cell r="L17">
            <v>52198284</v>
          </cell>
          <cell r="M17">
            <v>61858210</v>
          </cell>
          <cell r="N17">
            <v>64209987</v>
          </cell>
          <cell r="O17">
            <v>63428114</v>
          </cell>
        </row>
        <row r="18">
          <cell r="D18">
            <v>587252</v>
          </cell>
          <cell r="E18">
            <v>568959</v>
          </cell>
          <cell r="F18">
            <v>492053</v>
          </cell>
          <cell r="G18">
            <v>444765</v>
          </cell>
          <cell r="H18">
            <v>477099</v>
          </cell>
          <cell r="I18">
            <v>588750</v>
          </cell>
          <cell r="J18">
            <v>588450</v>
          </cell>
          <cell r="K18">
            <v>582385</v>
          </cell>
          <cell r="L18">
            <v>635370</v>
          </cell>
          <cell r="M18">
            <v>662765</v>
          </cell>
          <cell r="N18">
            <v>650130</v>
          </cell>
          <cell r="O18">
            <v>713794</v>
          </cell>
        </row>
        <row r="19">
          <cell r="D19">
            <v>237161</v>
          </cell>
          <cell r="E19">
            <v>101537</v>
          </cell>
          <cell r="F19">
            <v>130016</v>
          </cell>
          <cell r="G19">
            <v>62161</v>
          </cell>
          <cell r="H19">
            <v>53455</v>
          </cell>
          <cell r="I19">
            <v>48555</v>
          </cell>
          <cell r="J19">
            <v>53167</v>
          </cell>
          <cell r="K19">
            <v>48888</v>
          </cell>
          <cell r="L19">
            <v>53545</v>
          </cell>
          <cell r="M19">
            <v>59326</v>
          </cell>
          <cell r="N19">
            <v>237516</v>
          </cell>
          <cell r="O19">
            <v>488408</v>
          </cell>
        </row>
        <row r="20">
          <cell r="D20">
            <v>11023544</v>
          </cell>
          <cell r="E20">
            <v>10667979</v>
          </cell>
          <cell r="F20">
            <v>10857087</v>
          </cell>
          <cell r="G20">
            <v>11450283</v>
          </cell>
          <cell r="H20">
            <v>10025555</v>
          </cell>
          <cell r="I20">
            <v>10513998</v>
          </cell>
          <cell r="J20">
            <v>10442956</v>
          </cell>
          <cell r="K20">
            <v>10181696</v>
          </cell>
          <cell r="L20">
            <v>11159341</v>
          </cell>
          <cell r="M20">
            <v>12109172</v>
          </cell>
          <cell r="N20">
            <v>12323553</v>
          </cell>
          <cell r="O20">
            <v>12277333</v>
          </cell>
        </row>
        <row r="21">
          <cell r="D21">
            <v>2165201</v>
          </cell>
          <cell r="E21">
            <v>2137217</v>
          </cell>
          <cell r="F21">
            <v>2422598</v>
          </cell>
          <cell r="G21">
            <v>2453702</v>
          </cell>
          <cell r="H21">
            <v>2473819</v>
          </cell>
          <cell r="I21">
            <v>2357174</v>
          </cell>
          <cell r="J21">
            <v>2623841</v>
          </cell>
          <cell r="K21">
            <v>2483921</v>
          </cell>
          <cell r="L21">
            <v>2521142</v>
          </cell>
          <cell r="M21">
            <v>2667905</v>
          </cell>
          <cell r="N21">
            <v>2816249</v>
          </cell>
          <cell r="O21">
            <v>2920265</v>
          </cell>
        </row>
        <row r="22">
          <cell r="D22">
            <v>3746129</v>
          </cell>
          <cell r="E22">
            <v>-106032</v>
          </cell>
          <cell r="F22">
            <v>337360</v>
          </cell>
          <cell r="G22">
            <v>57280</v>
          </cell>
          <cell r="H22">
            <v>43920</v>
          </cell>
          <cell r="I22">
            <v>63520</v>
          </cell>
          <cell r="J22">
            <v>173020</v>
          </cell>
          <cell r="K22">
            <v>-55980</v>
          </cell>
          <cell r="L22">
            <v>149061</v>
          </cell>
          <cell r="M22">
            <v>-30341</v>
          </cell>
          <cell r="N22">
            <v>3505760</v>
          </cell>
          <cell r="O22">
            <v>8092720</v>
          </cell>
        </row>
        <row r="23">
          <cell r="D23">
            <v>119234623</v>
          </cell>
          <cell r="E23">
            <v>97865635</v>
          </cell>
          <cell r="F23">
            <v>105865292</v>
          </cell>
          <cell r="G23">
            <v>107924851</v>
          </cell>
          <cell r="H23">
            <v>101514586</v>
          </cell>
          <cell r="I23">
            <v>95131517</v>
          </cell>
          <cell r="J23">
            <v>97346703</v>
          </cell>
          <cell r="K23">
            <v>103041219</v>
          </cell>
          <cell r="L23">
            <v>118967834</v>
          </cell>
          <cell r="M23">
            <v>144544500</v>
          </cell>
          <cell r="N23">
            <v>153186560</v>
          </cell>
          <cell r="O23">
            <v>152185442</v>
          </cell>
        </row>
        <row r="24">
          <cell r="D24">
            <v>30241193</v>
          </cell>
          <cell r="E24">
            <v>27768177</v>
          </cell>
          <cell r="F24">
            <v>27984554</v>
          </cell>
          <cell r="G24">
            <v>27170018</v>
          </cell>
          <cell r="H24">
            <v>24103155</v>
          </cell>
          <cell r="I24">
            <v>24284238</v>
          </cell>
          <cell r="J24">
            <v>26361618</v>
          </cell>
          <cell r="K24">
            <v>25944022</v>
          </cell>
          <cell r="L24">
            <v>30121487</v>
          </cell>
          <cell r="M24">
            <v>33402053</v>
          </cell>
          <cell r="N24">
            <v>34562807</v>
          </cell>
          <cell r="O24">
            <v>35666801</v>
          </cell>
        </row>
        <row r="25">
          <cell r="D25">
            <v>4447228</v>
          </cell>
          <cell r="E25">
            <v>3892829</v>
          </cell>
          <cell r="F25">
            <v>2007192</v>
          </cell>
          <cell r="G25">
            <v>2555303</v>
          </cell>
          <cell r="H25">
            <v>3097856</v>
          </cell>
          <cell r="I25">
            <v>5502241</v>
          </cell>
          <cell r="J25">
            <v>5329011</v>
          </cell>
          <cell r="K25">
            <v>4248023</v>
          </cell>
          <cell r="L25">
            <v>3946386</v>
          </cell>
          <cell r="M25">
            <v>8293019</v>
          </cell>
          <cell r="N25">
            <v>8900418</v>
          </cell>
          <cell r="O25">
            <v>7141632</v>
          </cell>
        </row>
        <row r="26">
          <cell r="D26">
            <v>514132</v>
          </cell>
          <cell r="E26">
            <v>783253</v>
          </cell>
          <cell r="F26">
            <v>2278913</v>
          </cell>
          <cell r="G26">
            <v>2300300</v>
          </cell>
          <cell r="H26">
            <v>1263787</v>
          </cell>
          <cell r="I26">
            <v>1288128</v>
          </cell>
          <cell r="J26">
            <v>873886</v>
          </cell>
          <cell r="K26">
            <v>397144</v>
          </cell>
          <cell r="L26">
            <v>582419</v>
          </cell>
          <cell r="M26">
            <v>1825587</v>
          </cell>
          <cell r="N26">
            <v>1164797</v>
          </cell>
          <cell r="O26">
            <v>898388</v>
          </cell>
        </row>
        <row r="27">
          <cell r="D27">
            <v>18489265</v>
          </cell>
          <cell r="E27">
            <v>18166037</v>
          </cell>
          <cell r="F27">
            <v>20096504</v>
          </cell>
          <cell r="G27">
            <v>18519859</v>
          </cell>
          <cell r="H27">
            <v>18293414</v>
          </cell>
          <cell r="I27">
            <v>19878482</v>
          </cell>
          <cell r="J27">
            <v>21545077</v>
          </cell>
          <cell r="K27">
            <v>24006859</v>
          </cell>
          <cell r="L27">
            <v>22720221</v>
          </cell>
          <cell r="M27">
            <v>23370003</v>
          </cell>
          <cell r="N27">
            <v>23242959</v>
          </cell>
          <cell r="O27">
            <v>23960369</v>
          </cell>
        </row>
        <row r="28">
          <cell r="D28">
            <v>342334922</v>
          </cell>
          <cell r="E28">
            <v>329657351</v>
          </cell>
          <cell r="F28">
            <v>342512956</v>
          </cell>
          <cell r="G28">
            <v>352996007</v>
          </cell>
          <cell r="H28">
            <v>325023181</v>
          </cell>
          <cell r="I28">
            <v>322637512</v>
          </cell>
          <cell r="J28">
            <v>340724298</v>
          </cell>
          <cell r="K28">
            <v>341606218</v>
          </cell>
          <cell r="L28">
            <v>361943452</v>
          </cell>
          <cell r="M28">
            <v>360899000</v>
          </cell>
          <cell r="N28">
            <v>371794941</v>
          </cell>
          <cell r="O28">
            <v>371044795</v>
          </cell>
        </row>
        <row r="29">
          <cell r="D29">
            <v>908160</v>
          </cell>
          <cell r="E29">
            <v>1058760</v>
          </cell>
          <cell r="F29">
            <v>1024320</v>
          </cell>
          <cell r="G29">
            <v>668820</v>
          </cell>
          <cell r="H29">
            <v>803820</v>
          </cell>
          <cell r="I29">
            <v>1110720</v>
          </cell>
          <cell r="J29">
            <v>1037520</v>
          </cell>
          <cell r="K29">
            <v>904980</v>
          </cell>
          <cell r="L29">
            <v>716820</v>
          </cell>
          <cell r="M29">
            <v>1100400</v>
          </cell>
          <cell r="N29">
            <v>1295700</v>
          </cell>
          <cell r="O29">
            <v>1256100</v>
          </cell>
        </row>
        <row r="30">
          <cell r="D30">
            <v>1835033</v>
          </cell>
          <cell r="E30">
            <v>1182533</v>
          </cell>
          <cell r="F30">
            <v>791833</v>
          </cell>
          <cell r="G30">
            <v>783033</v>
          </cell>
          <cell r="H30">
            <v>879733</v>
          </cell>
          <cell r="I30">
            <v>1420433</v>
          </cell>
          <cell r="J30">
            <v>970433</v>
          </cell>
          <cell r="K30">
            <v>847533</v>
          </cell>
          <cell r="L30">
            <v>1457733</v>
          </cell>
          <cell r="M30">
            <v>2656133</v>
          </cell>
          <cell r="N30">
            <v>2180233</v>
          </cell>
          <cell r="O30">
            <v>2815733</v>
          </cell>
        </row>
        <row r="31">
          <cell r="D31">
            <v>1816800</v>
          </cell>
          <cell r="E31">
            <v>1574400</v>
          </cell>
          <cell r="F31">
            <v>914400</v>
          </cell>
          <cell r="G31">
            <v>1296000</v>
          </cell>
          <cell r="H31">
            <v>1572000</v>
          </cell>
          <cell r="I31">
            <v>1963200</v>
          </cell>
          <cell r="J31">
            <v>1932000</v>
          </cell>
          <cell r="K31">
            <v>1732800</v>
          </cell>
          <cell r="L31">
            <v>2193600</v>
          </cell>
          <cell r="M31">
            <v>2090400</v>
          </cell>
          <cell r="N31">
            <v>1461600</v>
          </cell>
          <cell r="O31">
            <v>1944000</v>
          </cell>
        </row>
        <row r="32">
          <cell r="D32">
            <v>358800</v>
          </cell>
          <cell r="E32">
            <v>303800</v>
          </cell>
          <cell r="F32">
            <v>399200</v>
          </cell>
          <cell r="G32">
            <v>386800</v>
          </cell>
          <cell r="H32">
            <v>360600</v>
          </cell>
          <cell r="I32">
            <v>308200</v>
          </cell>
          <cell r="J32">
            <v>385200</v>
          </cell>
          <cell r="K32">
            <v>287400</v>
          </cell>
          <cell r="L32">
            <v>381600</v>
          </cell>
          <cell r="M32">
            <v>430800</v>
          </cell>
          <cell r="N32">
            <v>505800</v>
          </cell>
          <cell r="O32">
            <v>542800</v>
          </cell>
        </row>
        <row r="33">
          <cell r="D33">
            <v>10320728</v>
          </cell>
          <cell r="E33">
            <v>10023018</v>
          </cell>
          <cell r="F33">
            <v>10092852</v>
          </cell>
          <cell r="G33">
            <v>10816656</v>
          </cell>
          <cell r="H33">
            <v>9024608</v>
          </cell>
          <cell r="I33">
            <v>9507200</v>
          </cell>
          <cell r="J33">
            <v>9386601</v>
          </cell>
          <cell r="K33">
            <v>8970428</v>
          </cell>
          <cell r="L33">
            <v>9961171</v>
          </cell>
          <cell r="M33">
            <v>11084400</v>
          </cell>
          <cell r="N33">
            <v>11762600</v>
          </cell>
          <cell r="O33">
            <v>11357870</v>
          </cell>
        </row>
        <row r="34">
          <cell r="D34">
            <v>2450666</v>
          </cell>
          <cell r="E34">
            <v>2456325</v>
          </cell>
          <cell r="F34">
            <v>2436247</v>
          </cell>
          <cell r="G34">
            <v>2451908</v>
          </cell>
          <cell r="H34">
            <v>2445613</v>
          </cell>
          <cell r="I34">
            <v>2444813</v>
          </cell>
          <cell r="J34">
            <v>2452035</v>
          </cell>
          <cell r="K34">
            <v>2453346</v>
          </cell>
          <cell r="L34">
            <v>2459432</v>
          </cell>
          <cell r="M34">
            <v>2463987</v>
          </cell>
          <cell r="N34">
            <v>2466741</v>
          </cell>
          <cell r="O34">
            <v>2476142</v>
          </cell>
        </row>
        <row r="35">
          <cell r="D35">
            <v>2378969</v>
          </cell>
          <cell r="E35">
            <v>2398051</v>
          </cell>
          <cell r="F35">
            <v>2358919</v>
          </cell>
          <cell r="G35">
            <v>2382042</v>
          </cell>
          <cell r="H35">
            <v>2373992</v>
          </cell>
          <cell r="I35">
            <v>2377991</v>
          </cell>
          <cell r="J35">
            <v>2377946</v>
          </cell>
          <cell r="K35">
            <v>2378062</v>
          </cell>
          <cell r="L35">
            <v>2375382</v>
          </cell>
          <cell r="M35">
            <v>2375569</v>
          </cell>
          <cell r="N35">
            <v>2375977</v>
          </cell>
          <cell r="O35">
            <v>2374694</v>
          </cell>
        </row>
        <row r="36">
          <cell r="D36">
            <v>62581</v>
          </cell>
          <cell r="E36">
            <v>61619</v>
          </cell>
          <cell r="F36">
            <v>61592</v>
          </cell>
          <cell r="G36">
            <v>61592</v>
          </cell>
          <cell r="H36">
            <v>60651</v>
          </cell>
          <cell r="I36">
            <v>60561</v>
          </cell>
          <cell r="J36">
            <v>59900</v>
          </cell>
          <cell r="K36">
            <v>59866</v>
          </cell>
          <cell r="L36">
            <v>59867</v>
          </cell>
          <cell r="M36">
            <v>59866</v>
          </cell>
          <cell r="N36">
            <v>59866</v>
          </cell>
          <cell r="O36">
            <v>59974</v>
          </cell>
        </row>
        <row r="37">
          <cell r="D37">
            <v>6400</v>
          </cell>
          <cell r="E37">
            <v>5760</v>
          </cell>
          <cell r="F37">
            <v>5920</v>
          </cell>
          <cell r="G37">
            <v>5600</v>
          </cell>
          <cell r="H37">
            <v>4800</v>
          </cell>
          <cell r="I37">
            <v>5440</v>
          </cell>
          <cell r="J37">
            <v>6080</v>
          </cell>
          <cell r="K37">
            <v>5920</v>
          </cell>
          <cell r="L37">
            <v>7040</v>
          </cell>
          <cell r="M37">
            <v>8640</v>
          </cell>
          <cell r="N37">
            <v>4960</v>
          </cell>
          <cell r="O37">
            <v>6560</v>
          </cell>
        </row>
        <row r="38">
          <cell r="D38">
            <v>107133959</v>
          </cell>
          <cell r="E38">
            <v>89244689</v>
          </cell>
          <cell r="F38">
            <v>87984763</v>
          </cell>
          <cell r="G38">
            <v>86907091</v>
          </cell>
          <cell r="H38">
            <v>80021027</v>
          </cell>
          <cell r="I38">
            <v>85673774</v>
          </cell>
          <cell r="J38">
            <v>85781625</v>
          </cell>
          <cell r="K38">
            <v>92718867</v>
          </cell>
          <cell r="L38">
            <v>112322416</v>
          </cell>
          <cell r="M38">
            <v>131651387</v>
          </cell>
          <cell r="N38">
            <v>134122622</v>
          </cell>
          <cell r="O38">
            <v>135546080</v>
          </cell>
        </row>
        <row r="39">
          <cell r="D39">
            <v>3321504</v>
          </cell>
          <cell r="E39">
            <v>2954207</v>
          </cell>
          <cell r="F39">
            <v>2855807</v>
          </cell>
          <cell r="G39">
            <v>2786561</v>
          </cell>
          <cell r="H39">
            <v>2567303</v>
          </cell>
          <cell r="I39">
            <v>3050983</v>
          </cell>
          <cell r="J39">
            <v>3108384</v>
          </cell>
          <cell r="K39">
            <v>3330557</v>
          </cell>
          <cell r="L39">
            <v>3486127</v>
          </cell>
          <cell r="M39">
            <v>3624334</v>
          </cell>
          <cell r="N39">
            <v>3853423</v>
          </cell>
          <cell r="O39">
            <v>4252833</v>
          </cell>
        </row>
        <row r="40">
          <cell r="D40">
            <v>431650234</v>
          </cell>
          <cell r="E40">
            <v>376371208</v>
          </cell>
          <cell r="F40">
            <v>374207794</v>
          </cell>
          <cell r="G40">
            <v>374285557</v>
          </cell>
          <cell r="H40">
            <v>337926222</v>
          </cell>
          <cell r="I40">
            <v>364798972</v>
          </cell>
          <cell r="J40">
            <v>378443802</v>
          </cell>
          <cell r="K40">
            <v>399019254</v>
          </cell>
          <cell r="L40">
            <v>464846631</v>
          </cell>
          <cell r="M40">
            <v>527589078</v>
          </cell>
          <cell r="N40">
            <v>527701624</v>
          </cell>
          <cell r="O40">
            <v>534448852</v>
          </cell>
        </row>
        <row r="41">
          <cell r="D41">
            <v>71753842</v>
          </cell>
          <cell r="E41">
            <v>65239936</v>
          </cell>
          <cell r="F41">
            <v>67272284</v>
          </cell>
          <cell r="G41">
            <v>63753376</v>
          </cell>
          <cell r="H41">
            <v>59360471</v>
          </cell>
          <cell r="I41">
            <v>63586490</v>
          </cell>
          <cell r="J41">
            <v>67613459</v>
          </cell>
          <cell r="K41">
            <v>69320447</v>
          </cell>
          <cell r="L41">
            <v>77258660</v>
          </cell>
          <cell r="M41">
            <v>81845178</v>
          </cell>
          <cell r="N41">
            <v>82660152</v>
          </cell>
          <cell r="O41">
            <v>85785975</v>
          </cell>
        </row>
        <row r="42">
          <cell r="D42">
            <v>135759420</v>
          </cell>
          <cell r="E42">
            <v>212556972</v>
          </cell>
          <cell r="F42">
            <v>197803480</v>
          </cell>
          <cell r="G42">
            <v>221205759</v>
          </cell>
          <cell r="H42">
            <v>205756921</v>
          </cell>
          <cell r="I42">
            <v>207986971</v>
          </cell>
          <cell r="J42">
            <v>205928317</v>
          </cell>
          <cell r="K42">
            <v>255642578</v>
          </cell>
          <cell r="L42">
            <v>267759052</v>
          </cell>
          <cell r="M42">
            <v>317487665</v>
          </cell>
          <cell r="N42">
            <v>261645944</v>
          </cell>
          <cell r="O42">
            <v>245093484</v>
          </cell>
        </row>
        <row r="43">
          <cell r="D43">
            <v>233393355</v>
          </cell>
          <cell r="E43">
            <v>372426104</v>
          </cell>
          <cell r="F43">
            <v>260118602</v>
          </cell>
          <cell r="G43">
            <v>331605841</v>
          </cell>
          <cell r="H43">
            <v>307337098</v>
          </cell>
          <cell r="I43">
            <v>332502000</v>
          </cell>
          <cell r="J43">
            <v>311145000</v>
          </cell>
          <cell r="K43">
            <v>335335000</v>
          </cell>
          <cell r="L43">
            <v>354558000</v>
          </cell>
          <cell r="M43">
            <v>289778000</v>
          </cell>
          <cell r="N43">
            <v>342599081</v>
          </cell>
          <cell r="O43">
            <v>331376919</v>
          </cell>
        </row>
        <row r="44">
          <cell r="D44">
            <v>29068860</v>
          </cell>
          <cell r="E44">
            <v>31517520</v>
          </cell>
          <cell r="F44">
            <v>32802750</v>
          </cell>
          <cell r="G44">
            <v>32916750</v>
          </cell>
          <cell r="H44">
            <v>25582542</v>
          </cell>
          <cell r="I44">
            <v>33128538</v>
          </cell>
          <cell r="J44">
            <v>34338680</v>
          </cell>
          <cell r="K44">
            <v>30283740</v>
          </cell>
          <cell r="L44">
            <v>34601350</v>
          </cell>
          <cell r="M44">
            <v>29637000</v>
          </cell>
          <cell r="N44">
            <v>31468630</v>
          </cell>
          <cell r="O44">
            <v>35166170</v>
          </cell>
        </row>
        <row r="45">
          <cell r="D45">
            <v>964618</v>
          </cell>
          <cell r="E45">
            <v>1075775</v>
          </cell>
          <cell r="F45">
            <v>1006397</v>
          </cell>
          <cell r="G45">
            <v>969232</v>
          </cell>
          <cell r="H45">
            <v>694887</v>
          </cell>
          <cell r="I45">
            <v>721829</v>
          </cell>
          <cell r="J45">
            <v>746000</v>
          </cell>
          <cell r="K45">
            <v>795000</v>
          </cell>
          <cell r="L45">
            <v>876000</v>
          </cell>
          <cell r="M45">
            <v>790000</v>
          </cell>
          <cell r="N45">
            <v>845000</v>
          </cell>
          <cell r="O45">
            <v>831000</v>
          </cell>
        </row>
        <row r="46">
          <cell r="D46">
            <v>9619200</v>
          </cell>
          <cell r="E46">
            <v>5477645</v>
          </cell>
          <cell r="F46">
            <v>8742155</v>
          </cell>
          <cell r="G46">
            <v>14239200</v>
          </cell>
          <cell r="H46">
            <v>8659000</v>
          </cell>
          <cell r="I46">
            <v>5640000</v>
          </cell>
          <cell r="J46">
            <v>26539000</v>
          </cell>
          <cell r="K46">
            <v>3140000</v>
          </cell>
          <cell r="L46">
            <v>7294000</v>
          </cell>
          <cell r="M46">
            <v>5037000</v>
          </cell>
          <cell r="N46">
            <v>3655000</v>
          </cell>
          <cell r="O46">
            <v>15095000</v>
          </cell>
        </row>
        <row r="47">
          <cell r="D47">
            <v>86042941</v>
          </cell>
          <cell r="E47">
            <v>80363836</v>
          </cell>
          <cell r="F47">
            <v>83051924</v>
          </cell>
          <cell r="G47">
            <v>72298199</v>
          </cell>
          <cell r="H47">
            <v>77204600</v>
          </cell>
          <cell r="I47">
            <v>97130800</v>
          </cell>
          <cell r="J47">
            <v>73810400</v>
          </cell>
          <cell r="K47">
            <v>93772100</v>
          </cell>
          <cell r="L47">
            <v>95749300</v>
          </cell>
          <cell r="M47">
            <v>81838800</v>
          </cell>
          <cell r="N47">
            <v>83670100</v>
          </cell>
          <cell r="O47">
            <v>90584358</v>
          </cell>
        </row>
        <row r="48">
          <cell r="D48">
            <v>97555000</v>
          </cell>
          <cell r="E48">
            <v>102700567</v>
          </cell>
          <cell r="F48">
            <v>104107774</v>
          </cell>
          <cell r="G48">
            <v>98847724</v>
          </cell>
          <cell r="H48">
            <v>141313584</v>
          </cell>
          <cell r="I48">
            <v>98689351</v>
          </cell>
          <cell r="J48">
            <v>89811000</v>
          </cell>
          <cell r="K48">
            <v>92110000</v>
          </cell>
          <cell r="L48">
            <v>107417591</v>
          </cell>
          <cell r="M48">
            <v>110953409</v>
          </cell>
          <cell r="N48">
            <v>113168401</v>
          </cell>
          <cell r="O48">
            <v>102345959</v>
          </cell>
        </row>
        <row r="49">
          <cell r="D49">
            <v>36048100</v>
          </cell>
          <cell r="E49">
            <v>27848200</v>
          </cell>
          <cell r="F49">
            <v>39656000</v>
          </cell>
          <cell r="G49">
            <v>34793500</v>
          </cell>
          <cell r="H49">
            <v>20351600</v>
          </cell>
          <cell r="I49">
            <v>47423100</v>
          </cell>
          <cell r="J49">
            <v>39299500</v>
          </cell>
          <cell r="K49">
            <v>16453500</v>
          </cell>
          <cell r="L49">
            <v>15265169</v>
          </cell>
          <cell r="M49">
            <v>5112831</v>
          </cell>
          <cell r="N49">
            <v>13036600</v>
          </cell>
          <cell r="O49">
            <v>27327800</v>
          </cell>
        </row>
        <row r="50">
          <cell r="D50">
            <v>56055000</v>
          </cell>
          <cell r="E50">
            <v>59559000</v>
          </cell>
          <cell r="F50">
            <v>62817000</v>
          </cell>
          <cell r="G50">
            <v>67719000</v>
          </cell>
          <cell r="H50">
            <v>61587000</v>
          </cell>
          <cell r="I50">
            <v>65799000</v>
          </cell>
          <cell r="J50">
            <v>64634000</v>
          </cell>
          <cell r="K50">
            <v>70964000</v>
          </cell>
          <cell r="L50">
            <v>69099000</v>
          </cell>
          <cell r="M50">
            <v>63100000</v>
          </cell>
          <cell r="N50">
            <v>66054000</v>
          </cell>
          <cell r="O50">
            <v>63174000</v>
          </cell>
        </row>
        <row r="51">
          <cell r="D51">
            <v>27248478</v>
          </cell>
          <cell r="E51">
            <v>23070329</v>
          </cell>
          <cell r="F51">
            <v>4782946</v>
          </cell>
          <cell r="G51">
            <v>71954447</v>
          </cell>
          <cell r="H51">
            <v>25466963</v>
          </cell>
          <cell r="I51">
            <v>29688237</v>
          </cell>
          <cell r="J51">
            <v>29624796</v>
          </cell>
          <cell r="K51">
            <v>30926804</v>
          </cell>
          <cell r="L51">
            <v>26080000</v>
          </cell>
          <cell r="M51">
            <v>30275200</v>
          </cell>
          <cell r="N51">
            <v>31518800</v>
          </cell>
          <cell r="O51">
            <v>26228200</v>
          </cell>
        </row>
        <row r="52">
          <cell r="D52">
            <v>36341000</v>
          </cell>
          <cell r="E52">
            <v>36798000</v>
          </cell>
          <cell r="F52">
            <v>37941000</v>
          </cell>
          <cell r="G52">
            <v>36412000</v>
          </cell>
          <cell r="H52">
            <v>26656000</v>
          </cell>
          <cell r="I52">
            <v>40724000</v>
          </cell>
          <cell r="J52">
            <v>33029000</v>
          </cell>
          <cell r="K52">
            <v>37818000</v>
          </cell>
          <cell r="L52">
            <v>40363000</v>
          </cell>
          <cell r="M52">
            <v>35591000</v>
          </cell>
          <cell r="N52">
            <v>40560000</v>
          </cell>
          <cell r="O52">
            <v>39450000</v>
          </cell>
        </row>
        <row r="53">
          <cell r="D53">
            <v>2941539</v>
          </cell>
          <cell r="E53">
            <v>2602918</v>
          </cell>
          <cell r="F53">
            <v>2504893</v>
          </cell>
          <cell r="G53">
            <v>2430168</v>
          </cell>
          <cell r="H53">
            <v>2225303</v>
          </cell>
          <cell r="I53">
            <v>2442422</v>
          </cell>
          <cell r="J53">
            <v>2541560</v>
          </cell>
          <cell r="K53">
            <v>2987881</v>
          </cell>
          <cell r="L53">
            <v>4099108</v>
          </cell>
          <cell r="M53">
            <v>4540491</v>
          </cell>
          <cell r="N53">
            <v>4403734</v>
          </cell>
          <cell r="O53">
            <v>4474953</v>
          </cell>
        </row>
        <row r="54">
          <cell r="D54">
            <v>406200</v>
          </cell>
          <cell r="E54">
            <v>395220</v>
          </cell>
          <cell r="F54">
            <v>391020</v>
          </cell>
          <cell r="G54">
            <v>397140</v>
          </cell>
          <cell r="H54">
            <v>353580</v>
          </cell>
          <cell r="I54">
            <v>383160</v>
          </cell>
          <cell r="J54">
            <v>384360</v>
          </cell>
          <cell r="K54">
            <v>401340</v>
          </cell>
          <cell r="L54">
            <v>464820</v>
          </cell>
          <cell r="M54">
            <v>468420</v>
          </cell>
          <cell r="N54">
            <v>427320</v>
          </cell>
          <cell r="O54">
            <v>506700</v>
          </cell>
        </row>
        <row r="55">
          <cell r="D55">
            <v>55200</v>
          </cell>
          <cell r="E55">
            <v>55800</v>
          </cell>
          <cell r="F55">
            <v>65400</v>
          </cell>
          <cell r="G55">
            <v>68700</v>
          </cell>
          <cell r="H55">
            <v>59400</v>
          </cell>
          <cell r="I55">
            <v>53700</v>
          </cell>
          <cell r="J55">
            <v>65100</v>
          </cell>
          <cell r="K55">
            <v>72900</v>
          </cell>
          <cell r="L55">
            <v>76500</v>
          </cell>
          <cell r="M55">
            <v>92100</v>
          </cell>
          <cell r="N55">
            <v>95700</v>
          </cell>
          <cell r="O55">
            <v>90600</v>
          </cell>
        </row>
        <row r="56">
          <cell r="D56">
            <v>0</v>
          </cell>
          <cell r="E56">
            <v>636000</v>
          </cell>
          <cell r="F56">
            <v>348000</v>
          </cell>
          <cell r="G56">
            <v>326400</v>
          </cell>
          <cell r="H56">
            <v>314400</v>
          </cell>
          <cell r="I56">
            <v>350400</v>
          </cell>
          <cell r="J56">
            <v>328800</v>
          </cell>
          <cell r="K56">
            <v>312000</v>
          </cell>
          <cell r="L56">
            <v>386400</v>
          </cell>
          <cell r="M56">
            <v>398400</v>
          </cell>
          <cell r="N56">
            <v>384000</v>
          </cell>
          <cell r="O56">
            <v>458400</v>
          </cell>
        </row>
        <row r="57">
          <cell r="D57">
            <v>408822</v>
          </cell>
          <cell r="E57">
            <v>406924</v>
          </cell>
          <cell r="F57">
            <v>405402</v>
          </cell>
          <cell r="G57">
            <v>403178</v>
          </cell>
          <cell r="H57">
            <v>400847</v>
          </cell>
          <cell r="I57">
            <v>399087</v>
          </cell>
          <cell r="J57">
            <v>396449</v>
          </cell>
          <cell r="K57">
            <v>394089</v>
          </cell>
          <cell r="L57">
            <v>391729</v>
          </cell>
          <cell r="M57">
            <v>389164</v>
          </cell>
          <cell r="N57">
            <v>388389</v>
          </cell>
          <cell r="O57">
            <v>387142</v>
          </cell>
        </row>
        <row r="58">
          <cell r="D58">
            <v>405287</v>
          </cell>
          <cell r="E58">
            <v>376550</v>
          </cell>
          <cell r="F58">
            <v>397542</v>
          </cell>
          <cell r="G58">
            <v>401883</v>
          </cell>
          <cell r="H58">
            <v>397534</v>
          </cell>
          <cell r="I58">
            <v>396666</v>
          </cell>
          <cell r="J58">
            <v>396558</v>
          </cell>
          <cell r="K58">
            <v>392829</v>
          </cell>
          <cell r="L58">
            <v>391678</v>
          </cell>
          <cell r="M58">
            <v>389990</v>
          </cell>
          <cell r="N58">
            <v>389026</v>
          </cell>
          <cell r="O58">
            <v>387532</v>
          </cell>
        </row>
        <row r="59">
          <cell r="D59">
            <v>341440</v>
          </cell>
          <cell r="E59">
            <v>339997</v>
          </cell>
          <cell r="F59">
            <v>339180</v>
          </cell>
          <cell r="G59">
            <v>337897</v>
          </cell>
          <cell r="H59">
            <v>337962</v>
          </cell>
          <cell r="I59">
            <v>336390</v>
          </cell>
          <cell r="J59">
            <v>335686</v>
          </cell>
          <cell r="K59">
            <v>334328</v>
          </cell>
          <cell r="L59">
            <v>333136</v>
          </cell>
          <cell r="M59">
            <v>333068</v>
          </cell>
          <cell r="N59">
            <v>332199</v>
          </cell>
          <cell r="O59">
            <v>330748</v>
          </cell>
        </row>
        <row r="60">
          <cell r="D60">
            <v>730076</v>
          </cell>
          <cell r="E60">
            <v>728919</v>
          </cell>
          <cell r="F60">
            <v>726467</v>
          </cell>
          <cell r="G60">
            <v>724241</v>
          </cell>
          <cell r="H60">
            <v>720446</v>
          </cell>
          <cell r="I60">
            <v>718442</v>
          </cell>
          <cell r="J60">
            <v>715760</v>
          </cell>
          <cell r="K60">
            <v>713015</v>
          </cell>
          <cell r="L60">
            <v>710762</v>
          </cell>
          <cell r="M60">
            <v>708207</v>
          </cell>
          <cell r="N60">
            <v>708056</v>
          </cell>
          <cell r="O60">
            <v>702827</v>
          </cell>
        </row>
        <row r="61">
          <cell r="D61">
            <v>1034222</v>
          </cell>
          <cell r="E61">
            <v>1051162</v>
          </cell>
          <cell r="F61">
            <v>1028998</v>
          </cell>
          <cell r="G61">
            <v>1031498</v>
          </cell>
          <cell r="H61">
            <v>1019002</v>
          </cell>
          <cell r="I61">
            <v>1027730</v>
          </cell>
          <cell r="J61">
            <v>1025700</v>
          </cell>
          <cell r="K61">
            <v>1025869</v>
          </cell>
          <cell r="L61">
            <v>1025542</v>
          </cell>
          <cell r="M61">
            <v>1020912</v>
          </cell>
          <cell r="N61">
            <v>1021745</v>
          </cell>
          <cell r="O61">
            <v>1018736</v>
          </cell>
        </row>
        <row r="62">
          <cell r="D62">
            <v>56236</v>
          </cell>
          <cell r="E62">
            <v>56222</v>
          </cell>
          <cell r="F62">
            <v>56093</v>
          </cell>
          <cell r="G62">
            <v>55873</v>
          </cell>
          <cell r="H62">
            <v>55865</v>
          </cell>
          <cell r="I62">
            <v>55597</v>
          </cell>
          <cell r="J62">
            <v>55291</v>
          </cell>
          <cell r="K62">
            <v>55256</v>
          </cell>
          <cell r="L62">
            <v>54852</v>
          </cell>
          <cell r="M62">
            <v>54716</v>
          </cell>
          <cell r="N62">
            <v>54714</v>
          </cell>
          <cell r="O62">
            <v>54528</v>
          </cell>
        </row>
        <row r="63">
          <cell r="D63">
            <v>548768</v>
          </cell>
          <cell r="E63">
            <v>547855</v>
          </cell>
          <cell r="F63">
            <v>537777</v>
          </cell>
          <cell r="G63">
            <v>541947</v>
          </cell>
          <cell r="H63">
            <v>523654</v>
          </cell>
          <cell r="I63">
            <v>537787</v>
          </cell>
          <cell r="J63">
            <v>538393</v>
          </cell>
          <cell r="K63">
            <v>535780</v>
          </cell>
          <cell r="L63">
            <v>532224</v>
          </cell>
          <cell r="M63">
            <v>532717</v>
          </cell>
          <cell r="N63">
            <v>531508</v>
          </cell>
          <cell r="O63">
            <v>503345</v>
          </cell>
        </row>
        <row r="64">
          <cell r="D64">
            <v>1874475</v>
          </cell>
          <cell r="E64">
            <v>1878305</v>
          </cell>
          <cell r="F64">
            <v>1864010</v>
          </cell>
          <cell r="G64">
            <v>1872554</v>
          </cell>
          <cell r="H64">
            <v>1828531</v>
          </cell>
          <cell r="I64">
            <v>1854589</v>
          </cell>
          <cell r="J64">
            <v>1843464</v>
          </cell>
          <cell r="K64">
            <v>1842609</v>
          </cell>
          <cell r="L64">
            <v>1837295</v>
          </cell>
          <cell r="M64">
            <v>1835161</v>
          </cell>
          <cell r="N64">
            <v>1830118</v>
          </cell>
          <cell r="O64">
            <v>1829687</v>
          </cell>
        </row>
        <row r="65">
          <cell r="D65">
            <v>1660652</v>
          </cell>
          <cell r="E65">
            <v>1660420</v>
          </cell>
          <cell r="F65">
            <v>1656168</v>
          </cell>
          <cell r="G65">
            <v>1657047</v>
          </cell>
          <cell r="H65">
            <v>1645202</v>
          </cell>
          <cell r="I65">
            <v>1648879</v>
          </cell>
          <cell r="J65">
            <v>1649278</v>
          </cell>
          <cell r="K65">
            <v>1666733</v>
          </cell>
          <cell r="L65">
            <v>1619521</v>
          </cell>
          <cell r="M65">
            <v>1640988</v>
          </cell>
          <cell r="N65">
            <v>1638473</v>
          </cell>
          <cell r="O65">
            <v>1637334</v>
          </cell>
        </row>
        <row r="66">
          <cell r="D66">
            <v>270516</v>
          </cell>
          <cell r="E66">
            <v>269377</v>
          </cell>
          <cell r="F66">
            <v>268906</v>
          </cell>
          <cell r="G66">
            <v>269566</v>
          </cell>
          <cell r="H66">
            <v>266199</v>
          </cell>
          <cell r="I66">
            <v>267683</v>
          </cell>
          <cell r="J66">
            <v>266859</v>
          </cell>
          <cell r="K66">
            <v>266855</v>
          </cell>
          <cell r="L66">
            <v>267268</v>
          </cell>
          <cell r="M66">
            <v>266391</v>
          </cell>
          <cell r="N66">
            <v>265845</v>
          </cell>
          <cell r="O66">
            <v>263268</v>
          </cell>
        </row>
        <row r="67">
          <cell r="D67">
            <v>640258</v>
          </cell>
          <cell r="E67">
            <v>640146</v>
          </cell>
          <cell r="F67">
            <v>644792</v>
          </cell>
          <cell r="G67">
            <v>641034</v>
          </cell>
          <cell r="H67">
            <v>619921</v>
          </cell>
          <cell r="I67">
            <v>640127</v>
          </cell>
          <cell r="J67">
            <v>641707</v>
          </cell>
          <cell r="K67">
            <v>637268</v>
          </cell>
          <cell r="L67">
            <v>638417</v>
          </cell>
          <cell r="M67">
            <v>636545</v>
          </cell>
          <cell r="N67">
            <v>634811</v>
          </cell>
          <cell r="O67">
            <v>636216</v>
          </cell>
        </row>
        <row r="68">
          <cell r="D68">
            <v>1242819</v>
          </cell>
          <cell r="E68">
            <v>1249639</v>
          </cell>
          <cell r="F68">
            <v>1244842</v>
          </cell>
          <cell r="G68">
            <v>1248680</v>
          </cell>
          <cell r="H68">
            <v>1164706</v>
          </cell>
          <cell r="I68">
            <v>1223645</v>
          </cell>
          <cell r="J68">
            <v>1224208</v>
          </cell>
          <cell r="K68">
            <v>1215713</v>
          </cell>
          <cell r="L68">
            <v>1204745</v>
          </cell>
          <cell r="M68">
            <v>1201732</v>
          </cell>
          <cell r="N68">
            <v>1201910</v>
          </cell>
          <cell r="O68">
            <v>1191929</v>
          </cell>
        </row>
        <row r="69">
          <cell r="D69">
            <v>228933</v>
          </cell>
          <cell r="E69">
            <v>226966</v>
          </cell>
          <cell r="F69">
            <v>223334</v>
          </cell>
          <cell r="G69">
            <v>226986</v>
          </cell>
          <cell r="H69">
            <v>226763</v>
          </cell>
          <cell r="I69">
            <v>225107</v>
          </cell>
          <cell r="J69">
            <v>223907</v>
          </cell>
          <cell r="K69">
            <v>222609</v>
          </cell>
          <cell r="L69">
            <v>220967</v>
          </cell>
          <cell r="M69">
            <v>220711</v>
          </cell>
          <cell r="N69">
            <v>219925</v>
          </cell>
          <cell r="O69">
            <v>217962</v>
          </cell>
        </row>
        <row r="70">
          <cell r="D70">
            <v>180172</v>
          </cell>
          <cell r="E70">
            <v>179830</v>
          </cell>
          <cell r="F70">
            <v>179877</v>
          </cell>
          <cell r="G70">
            <v>178729</v>
          </cell>
          <cell r="H70">
            <v>179154</v>
          </cell>
          <cell r="I70">
            <v>179117</v>
          </cell>
          <cell r="J70">
            <v>177223</v>
          </cell>
          <cell r="K70">
            <v>175564</v>
          </cell>
          <cell r="L70">
            <v>173453</v>
          </cell>
          <cell r="M70">
            <v>173591</v>
          </cell>
          <cell r="N70">
            <v>173363</v>
          </cell>
          <cell r="O70">
            <v>173131</v>
          </cell>
        </row>
        <row r="71">
          <cell r="D71">
            <v>67</v>
          </cell>
          <cell r="E71">
            <v>67</v>
          </cell>
          <cell r="F71">
            <v>67</v>
          </cell>
          <cell r="G71">
            <v>67</v>
          </cell>
          <cell r="H71">
            <v>67</v>
          </cell>
          <cell r="I71">
            <v>67</v>
          </cell>
          <cell r="J71">
            <v>67</v>
          </cell>
          <cell r="K71">
            <v>67</v>
          </cell>
          <cell r="L71">
            <v>67</v>
          </cell>
          <cell r="M71">
            <v>67</v>
          </cell>
          <cell r="N71">
            <v>67</v>
          </cell>
          <cell r="O71">
            <v>67</v>
          </cell>
        </row>
        <row r="72">
          <cell r="D72">
            <v>34677</v>
          </cell>
          <cell r="E72">
            <v>32985</v>
          </cell>
          <cell r="F72">
            <v>33928</v>
          </cell>
          <cell r="G72">
            <v>33923</v>
          </cell>
          <cell r="H72">
            <v>33983</v>
          </cell>
          <cell r="I72">
            <v>33526</v>
          </cell>
          <cell r="J72">
            <v>33598</v>
          </cell>
          <cell r="K72">
            <v>33598</v>
          </cell>
          <cell r="L72">
            <v>33557</v>
          </cell>
          <cell r="M72">
            <v>33494</v>
          </cell>
          <cell r="N72">
            <v>33494</v>
          </cell>
          <cell r="O72">
            <v>33495</v>
          </cell>
        </row>
        <row r="73">
          <cell r="D73">
            <v>1381</v>
          </cell>
          <cell r="E73">
            <v>1586</v>
          </cell>
          <cell r="F73">
            <v>1710</v>
          </cell>
          <cell r="G73">
            <v>1976</v>
          </cell>
          <cell r="H73">
            <v>2158</v>
          </cell>
          <cell r="I73">
            <v>2567</v>
          </cell>
          <cell r="J73">
            <v>2919</v>
          </cell>
          <cell r="K73">
            <v>3296</v>
          </cell>
          <cell r="L73">
            <v>3806</v>
          </cell>
          <cell r="M73">
            <v>4101</v>
          </cell>
          <cell r="N73">
            <v>4598</v>
          </cell>
          <cell r="O73">
            <v>5465</v>
          </cell>
        </row>
        <row r="74">
          <cell r="D74">
            <v>4080</v>
          </cell>
          <cell r="E74">
            <v>4473</v>
          </cell>
          <cell r="F74">
            <v>5172</v>
          </cell>
          <cell r="G74">
            <v>5657</v>
          </cell>
          <cell r="H74">
            <v>5858</v>
          </cell>
          <cell r="I74">
            <v>6326</v>
          </cell>
          <cell r="J74">
            <v>6591</v>
          </cell>
          <cell r="K74">
            <v>7161</v>
          </cell>
          <cell r="L74">
            <v>7784</v>
          </cell>
          <cell r="M74">
            <v>8520</v>
          </cell>
          <cell r="N74">
            <v>9488</v>
          </cell>
          <cell r="O74">
            <v>10109</v>
          </cell>
        </row>
        <row r="75">
          <cell r="D75">
            <v>5428</v>
          </cell>
          <cell r="E75">
            <v>4840</v>
          </cell>
          <cell r="F75">
            <v>5896</v>
          </cell>
          <cell r="G75">
            <v>6957</v>
          </cell>
          <cell r="H75">
            <v>11039</v>
          </cell>
          <cell r="I75">
            <v>10930</v>
          </cell>
          <cell r="J75">
            <v>12505</v>
          </cell>
          <cell r="K75">
            <v>13892</v>
          </cell>
          <cell r="L75">
            <v>16210</v>
          </cell>
          <cell r="M75">
            <v>17156</v>
          </cell>
          <cell r="N75">
            <v>18863</v>
          </cell>
          <cell r="O75">
            <v>21703</v>
          </cell>
        </row>
        <row r="76">
          <cell r="D76">
            <v>909</v>
          </cell>
          <cell r="E76">
            <v>949</v>
          </cell>
          <cell r="F76">
            <v>949</v>
          </cell>
          <cell r="G76">
            <v>949</v>
          </cell>
          <cell r="H76">
            <v>1095</v>
          </cell>
          <cell r="I76">
            <v>1168</v>
          </cell>
          <cell r="J76">
            <v>1168</v>
          </cell>
          <cell r="K76">
            <v>1168</v>
          </cell>
          <cell r="L76">
            <v>1168</v>
          </cell>
          <cell r="M76">
            <v>1241</v>
          </cell>
          <cell r="N76">
            <v>1387</v>
          </cell>
          <cell r="O76">
            <v>1387</v>
          </cell>
        </row>
        <row r="77">
          <cell r="D77">
            <v>19</v>
          </cell>
          <cell r="E77">
            <v>19</v>
          </cell>
          <cell r="F77">
            <v>53</v>
          </cell>
          <cell r="G77">
            <v>57</v>
          </cell>
          <cell r="H77">
            <v>57</v>
          </cell>
          <cell r="I77">
            <v>95</v>
          </cell>
          <cell r="J77">
            <v>133</v>
          </cell>
          <cell r="K77">
            <v>168</v>
          </cell>
          <cell r="L77">
            <v>209</v>
          </cell>
          <cell r="M77">
            <v>345</v>
          </cell>
          <cell r="N77">
            <v>380</v>
          </cell>
          <cell r="O77">
            <v>419</v>
          </cell>
        </row>
        <row r="78">
          <cell r="D78">
            <v>5028</v>
          </cell>
          <cell r="E78">
            <v>5156</v>
          </cell>
          <cell r="F78">
            <v>3235</v>
          </cell>
          <cell r="G78">
            <v>5590</v>
          </cell>
          <cell r="H78">
            <v>6425</v>
          </cell>
          <cell r="I78">
            <v>6550</v>
          </cell>
          <cell r="J78">
            <v>6894</v>
          </cell>
          <cell r="K78">
            <v>6900</v>
          </cell>
          <cell r="L78">
            <v>7175</v>
          </cell>
          <cell r="M78">
            <v>7300</v>
          </cell>
          <cell r="N78">
            <v>7850</v>
          </cell>
          <cell r="O78">
            <v>20783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198</v>
          </cell>
          <cell r="K79">
            <v>990</v>
          </cell>
          <cell r="L79">
            <v>2338</v>
          </cell>
          <cell r="M79">
            <v>4857</v>
          </cell>
          <cell r="N79">
            <v>5112</v>
          </cell>
          <cell r="O79">
            <v>6200</v>
          </cell>
        </row>
        <row r="80">
          <cell r="D80">
            <v>88646</v>
          </cell>
          <cell r="E80">
            <v>88558</v>
          </cell>
          <cell r="F80">
            <v>88425</v>
          </cell>
          <cell r="G80">
            <v>88354</v>
          </cell>
          <cell r="H80">
            <v>88280</v>
          </cell>
          <cell r="I80">
            <v>88241</v>
          </cell>
          <cell r="J80">
            <v>88143</v>
          </cell>
          <cell r="K80">
            <v>88120</v>
          </cell>
          <cell r="L80">
            <v>88085</v>
          </cell>
          <cell r="M80">
            <v>88583</v>
          </cell>
          <cell r="N80">
            <v>87360</v>
          </cell>
          <cell r="O80">
            <v>87920</v>
          </cell>
        </row>
        <row r="81">
          <cell r="D81">
            <v>360091</v>
          </cell>
          <cell r="E81">
            <v>357893</v>
          </cell>
          <cell r="F81">
            <v>357230</v>
          </cell>
          <cell r="G81">
            <v>356216</v>
          </cell>
          <cell r="H81">
            <v>354495</v>
          </cell>
          <cell r="I81">
            <v>352539</v>
          </cell>
          <cell r="J81">
            <v>341306</v>
          </cell>
          <cell r="K81">
            <v>337114</v>
          </cell>
          <cell r="L81">
            <v>336466</v>
          </cell>
          <cell r="M81">
            <v>335688</v>
          </cell>
          <cell r="N81">
            <v>334757</v>
          </cell>
          <cell r="O81">
            <v>333287</v>
          </cell>
        </row>
        <row r="82">
          <cell r="D82">
            <v>430581</v>
          </cell>
          <cell r="E82">
            <v>429860</v>
          </cell>
          <cell r="F82">
            <v>428899</v>
          </cell>
          <cell r="G82">
            <v>426415</v>
          </cell>
          <cell r="H82">
            <v>425510</v>
          </cell>
          <cell r="I82">
            <v>425071</v>
          </cell>
          <cell r="J82">
            <v>418431</v>
          </cell>
          <cell r="K82">
            <v>415436</v>
          </cell>
          <cell r="L82">
            <v>414258</v>
          </cell>
          <cell r="M82">
            <v>414505</v>
          </cell>
          <cell r="N82">
            <v>412652</v>
          </cell>
          <cell r="O82">
            <v>413250</v>
          </cell>
        </row>
        <row r="83">
          <cell r="D83">
            <v>1776</v>
          </cell>
          <cell r="E83">
            <v>1776</v>
          </cell>
          <cell r="F83">
            <v>1776</v>
          </cell>
          <cell r="G83">
            <v>1776</v>
          </cell>
          <cell r="H83">
            <v>1776</v>
          </cell>
          <cell r="I83">
            <v>1776</v>
          </cell>
          <cell r="J83">
            <v>1776</v>
          </cell>
          <cell r="K83">
            <v>1776</v>
          </cell>
          <cell r="L83">
            <v>1776</v>
          </cell>
          <cell r="M83">
            <v>1776</v>
          </cell>
          <cell r="N83">
            <v>1776</v>
          </cell>
          <cell r="O83">
            <v>0</v>
          </cell>
        </row>
        <row r="84">
          <cell r="D84">
            <v>1680</v>
          </cell>
          <cell r="E84">
            <v>1680</v>
          </cell>
          <cell r="F84">
            <v>1680</v>
          </cell>
          <cell r="G84">
            <v>1680</v>
          </cell>
          <cell r="H84">
            <v>1680</v>
          </cell>
          <cell r="I84">
            <v>1680</v>
          </cell>
          <cell r="J84">
            <v>1680</v>
          </cell>
          <cell r="K84">
            <v>1680</v>
          </cell>
          <cell r="L84">
            <v>1680</v>
          </cell>
          <cell r="M84">
            <v>1680</v>
          </cell>
          <cell r="N84">
            <v>1680</v>
          </cell>
          <cell r="O84">
            <v>700</v>
          </cell>
        </row>
        <row r="85">
          <cell r="D85">
            <v>1320</v>
          </cell>
          <cell r="E85">
            <v>1320</v>
          </cell>
          <cell r="F85">
            <v>1320</v>
          </cell>
          <cell r="G85">
            <v>1320</v>
          </cell>
          <cell r="H85">
            <v>1320</v>
          </cell>
          <cell r="I85">
            <v>1285</v>
          </cell>
          <cell r="J85">
            <v>1276</v>
          </cell>
          <cell r="K85">
            <v>1276</v>
          </cell>
          <cell r="L85">
            <v>1276</v>
          </cell>
          <cell r="M85">
            <v>1232</v>
          </cell>
          <cell r="N85">
            <v>1232</v>
          </cell>
          <cell r="O85">
            <v>1056</v>
          </cell>
        </row>
        <row r="86">
          <cell r="D86">
            <v>453204</v>
          </cell>
          <cell r="E86">
            <v>451455</v>
          </cell>
          <cell r="F86">
            <v>451004</v>
          </cell>
          <cell r="G86">
            <v>450453</v>
          </cell>
          <cell r="H86">
            <v>450296</v>
          </cell>
          <cell r="I86">
            <v>449148</v>
          </cell>
          <cell r="J86">
            <v>449829</v>
          </cell>
          <cell r="K86">
            <v>449755</v>
          </cell>
          <cell r="L86">
            <v>449497</v>
          </cell>
          <cell r="M86">
            <v>448220</v>
          </cell>
          <cell r="N86">
            <v>447074</v>
          </cell>
          <cell r="O86">
            <v>450503</v>
          </cell>
        </row>
        <row r="87">
          <cell r="D87">
            <v>422216</v>
          </cell>
          <cell r="E87">
            <v>421839</v>
          </cell>
          <cell r="F87">
            <v>421419</v>
          </cell>
          <cell r="G87">
            <v>421041</v>
          </cell>
          <cell r="H87">
            <v>420724</v>
          </cell>
          <cell r="I87">
            <v>420225</v>
          </cell>
          <cell r="J87">
            <v>419519</v>
          </cell>
          <cell r="K87">
            <v>419011</v>
          </cell>
          <cell r="L87">
            <v>418724</v>
          </cell>
          <cell r="M87">
            <v>418342</v>
          </cell>
          <cell r="N87">
            <v>417841</v>
          </cell>
          <cell r="O87">
            <v>417166</v>
          </cell>
        </row>
        <row r="88">
          <cell r="D88">
            <v>2027912</v>
          </cell>
          <cell r="E88">
            <v>2033928</v>
          </cell>
          <cell r="F88">
            <v>2030195</v>
          </cell>
          <cell r="G88">
            <v>2028817</v>
          </cell>
          <cell r="H88">
            <v>2006672</v>
          </cell>
          <cell r="I88">
            <v>1975442</v>
          </cell>
          <cell r="J88">
            <v>1974163</v>
          </cell>
          <cell r="K88">
            <v>1973232</v>
          </cell>
          <cell r="L88">
            <v>1969808</v>
          </cell>
          <cell r="M88">
            <v>1975338</v>
          </cell>
          <cell r="N88">
            <v>1960936</v>
          </cell>
          <cell r="O88">
            <v>1963353</v>
          </cell>
        </row>
        <row r="89">
          <cell r="D89">
            <v>4538625</v>
          </cell>
          <cell r="E89">
            <v>4620915</v>
          </cell>
          <cell r="F89">
            <v>4492230</v>
          </cell>
          <cell r="G89">
            <v>4541699</v>
          </cell>
          <cell r="H89">
            <v>4546840</v>
          </cell>
          <cell r="I89">
            <v>4537967</v>
          </cell>
          <cell r="J89">
            <v>4536379</v>
          </cell>
          <cell r="K89">
            <v>4536755</v>
          </cell>
          <cell r="L89">
            <v>4531346</v>
          </cell>
          <cell r="M89">
            <v>4560678</v>
          </cell>
          <cell r="N89">
            <v>4438224</v>
          </cell>
          <cell r="O89">
            <v>4488729</v>
          </cell>
        </row>
        <row r="90">
          <cell r="D90">
            <v>492358</v>
          </cell>
          <cell r="E90">
            <v>492052</v>
          </cell>
          <cell r="F90">
            <v>492008</v>
          </cell>
          <cell r="G90">
            <v>491848</v>
          </cell>
          <cell r="H90">
            <v>491798</v>
          </cell>
          <cell r="I90">
            <v>491405</v>
          </cell>
          <cell r="J90">
            <v>491004</v>
          </cell>
          <cell r="K90">
            <v>490661</v>
          </cell>
          <cell r="L90">
            <v>490045</v>
          </cell>
          <cell r="M90">
            <v>489952</v>
          </cell>
          <cell r="N90">
            <v>489960</v>
          </cell>
          <cell r="O90">
            <v>489814</v>
          </cell>
        </row>
        <row r="91">
          <cell r="D91">
            <v>228274</v>
          </cell>
          <cell r="E91">
            <v>228274</v>
          </cell>
          <cell r="F91">
            <v>228239</v>
          </cell>
          <cell r="G91">
            <v>228274</v>
          </cell>
          <cell r="H91">
            <v>228274</v>
          </cell>
          <cell r="I91">
            <v>227907</v>
          </cell>
          <cell r="J91">
            <v>228519</v>
          </cell>
          <cell r="K91">
            <v>228641</v>
          </cell>
          <cell r="L91">
            <v>228299</v>
          </cell>
          <cell r="M91">
            <v>228274</v>
          </cell>
          <cell r="N91">
            <v>228274</v>
          </cell>
          <cell r="O91">
            <v>228519</v>
          </cell>
        </row>
        <row r="92">
          <cell r="D92">
            <v>14105</v>
          </cell>
          <cell r="E92">
            <v>14105</v>
          </cell>
          <cell r="F92">
            <v>14105</v>
          </cell>
          <cell r="G92">
            <v>14040</v>
          </cell>
          <cell r="H92">
            <v>14170</v>
          </cell>
          <cell r="I92">
            <v>14143</v>
          </cell>
          <cell r="J92">
            <v>14220</v>
          </cell>
          <cell r="K92">
            <v>14235</v>
          </cell>
          <cell r="L92">
            <v>14235</v>
          </cell>
          <cell r="M92">
            <v>14235</v>
          </cell>
          <cell r="N92">
            <v>14218</v>
          </cell>
          <cell r="O92">
            <v>14235</v>
          </cell>
        </row>
        <row r="93">
          <cell r="D93">
            <v>52275</v>
          </cell>
          <cell r="E93">
            <v>53475</v>
          </cell>
          <cell r="F93">
            <v>52875</v>
          </cell>
          <cell r="G93">
            <v>52875</v>
          </cell>
          <cell r="H93">
            <v>52772</v>
          </cell>
          <cell r="I93">
            <v>52800</v>
          </cell>
          <cell r="J93">
            <v>52753</v>
          </cell>
          <cell r="K93">
            <v>52674</v>
          </cell>
          <cell r="L93">
            <v>52640</v>
          </cell>
          <cell r="M93">
            <v>52650</v>
          </cell>
          <cell r="N93">
            <v>52650</v>
          </cell>
          <cell r="O93">
            <v>52650</v>
          </cell>
        </row>
        <row r="94">
          <cell r="D94">
            <v>19003</v>
          </cell>
          <cell r="E94">
            <v>19003</v>
          </cell>
          <cell r="F94">
            <v>19003</v>
          </cell>
          <cell r="G94">
            <v>19003</v>
          </cell>
          <cell r="H94">
            <v>18983</v>
          </cell>
          <cell r="I94">
            <v>19003</v>
          </cell>
          <cell r="J94">
            <v>19003</v>
          </cell>
          <cell r="K94">
            <v>19003</v>
          </cell>
          <cell r="L94">
            <v>19003</v>
          </cell>
          <cell r="M94">
            <v>19003</v>
          </cell>
          <cell r="N94">
            <v>19003</v>
          </cell>
          <cell r="O94">
            <v>18931</v>
          </cell>
        </row>
        <row r="95">
          <cell r="D95">
            <v>240497</v>
          </cell>
          <cell r="E95">
            <v>240250</v>
          </cell>
          <cell r="F95">
            <v>240250</v>
          </cell>
          <cell r="G95">
            <v>240405</v>
          </cell>
          <cell r="H95">
            <v>240277</v>
          </cell>
          <cell r="I95">
            <v>239940</v>
          </cell>
          <cell r="J95">
            <v>239940</v>
          </cell>
          <cell r="K95">
            <v>239908</v>
          </cell>
          <cell r="L95">
            <v>237739</v>
          </cell>
          <cell r="M95">
            <v>241800</v>
          </cell>
          <cell r="N95">
            <v>239705</v>
          </cell>
          <cell r="O95">
            <v>239566</v>
          </cell>
        </row>
        <row r="96">
          <cell r="D96">
            <v>4340</v>
          </cell>
          <cell r="E96">
            <v>4340</v>
          </cell>
          <cell r="F96">
            <v>4340</v>
          </cell>
          <cell r="G96">
            <v>4340</v>
          </cell>
          <cell r="H96">
            <v>4340</v>
          </cell>
          <cell r="I96">
            <v>4340</v>
          </cell>
          <cell r="J96">
            <v>4340</v>
          </cell>
          <cell r="K96">
            <v>4144</v>
          </cell>
          <cell r="L96">
            <v>4185</v>
          </cell>
          <cell r="M96">
            <v>4185</v>
          </cell>
          <cell r="N96">
            <v>4185</v>
          </cell>
          <cell r="O96">
            <v>4185</v>
          </cell>
        </row>
        <row r="97">
          <cell r="D97">
            <v>331401</v>
          </cell>
          <cell r="E97">
            <v>331968</v>
          </cell>
          <cell r="F97">
            <v>332135</v>
          </cell>
          <cell r="G97">
            <v>332135</v>
          </cell>
          <cell r="H97">
            <v>332135</v>
          </cell>
          <cell r="I97">
            <v>332135</v>
          </cell>
          <cell r="J97">
            <v>332135</v>
          </cell>
          <cell r="K97">
            <v>332135</v>
          </cell>
          <cell r="L97">
            <v>331755</v>
          </cell>
          <cell r="M97">
            <v>331401</v>
          </cell>
          <cell r="N97">
            <v>331401</v>
          </cell>
          <cell r="O97">
            <v>331560</v>
          </cell>
        </row>
        <row r="98">
          <cell r="D98">
            <v>43650</v>
          </cell>
          <cell r="E98">
            <v>43650</v>
          </cell>
          <cell r="F98">
            <v>43650</v>
          </cell>
          <cell r="G98">
            <v>43597</v>
          </cell>
          <cell r="H98">
            <v>43650</v>
          </cell>
          <cell r="I98">
            <v>43650</v>
          </cell>
          <cell r="J98">
            <v>43584</v>
          </cell>
          <cell r="K98">
            <v>43575</v>
          </cell>
          <cell r="L98">
            <v>43575</v>
          </cell>
          <cell r="M98">
            <v>43575</v>
          </cell>
          <cell r="N98">
            <v>43575</v>
          </cell>
          <cell r="O98">
            <v>43435</v>
          </cell>
        </row>
        <row r="99">
          <cell r="D99">
            <v>663</v>
          </cell>
          <cell r="E99">
            <v>663</v>
          </cell>
          <cell r="F99">
            <v>663</v>
          </cell>
          <cell r="G99">
            <v>663</v>
          </cell>
          <cell r="H99">
            <v>663</v>
          </cell>
          <cell r="I99">
            <v>663</v>
          </cell>
          <cell r="J99">
            <v>663</v>
          </cell>
          <cell r="K99">
            <v>663</v>
          </cell>
          <cell r="L99">
            <v>663</v>
          </cell>
          <cell r="M99">
            <v>663</v>
          </cell>
          <cell r="N99">
            <v>663</v>
          </cell>
          <cell r="O99">
            <v>663</v>
          </cell>
        </row>
        <row r="100">
          <cell r="D100">
            <v>9555</v>
          </cell>
          <cell r="E100">
            <v>9555</v>
          </cell>
          <cell r="F100">
            <v>9555</v>
          </cell>
          <cell r="G100">
            <v>9425</v>
          </cell>
          <cell r="H100">
            <v>9685</v>
          </cell>
          <cell r="I100">
            <v>9555</v>
          </cell>
          <cell r="J100">
            <v>9555</v>
          </cell>
          <cell r="K100">
            <v>9555</v>
          </cell>
          <cell r="L100">
            <v>9555</v>
          </cell>
          <cell r="M100">
            <v>9555</v>
          </cell>
          <cell r="N100">
            <v>9555</v>
          </cell>
          <cell r="O100">
            <v>9555</v>
          </cell>
        </row>
        <row r="101">
          <cell r="D101">
            <v>5788</v>
          </cell>
          <cell r="E101">
            <v>6298</v>
          </cell>
          <cell r="F101">
            <v>6615</v>
          </cell>
          <cell r="G101">
            <v>5065</v>
          </cell>
          <cell r="H101">
            <v>9460</v>
          </cell>
          <cell r="I101">
            <v>8470</v>
          </cell>
          <cell r="J101">
            <v>10545</v>
          </cell>
          <cell r="K101">
            <v>10774</v>
          </cell>
          <cell r="L101">
            <v>11017</v>
          </cell>
          <cell r="M101">
            <v>11406</v>
          </cell>
          <cell r="N101">
            <v>12109</v>
          </cell>
          <cell r="O101">
            <v>12611</v>
          </cell>
        </row>
        <row r="102">
          <cell r="D102">
            <v>248271</v>
          </cell>
          <cell r="E102">
            <v>250537</v>
          </cell>
          <cell r="F102">
            <v>251941</v>
          </cell>
          <cell r="G102">
            <v>248794</v>
          </cell>
          <cell r="H102">
            <v>287814</v>
          </cell>
          <cell r="I102">
            <v>285315</v>
          </cell>
          <cell r="J102">
            <v>288032</v>
          </cell>
          <cell r="K102">
            <v>289422</v>
          </cell>
          <cell r="L102">
            <v>292237</v>
          </cell>
          <cell r="M102">
            <v>295246</v>
          </cell>
          <cell r="N102">
            <v>296891</v>
          </cell>
          <cell r="O102">
            <v>298321</v>
          </cell>
        </row>
        <row r="103">
          <cell r="D103">
            <v>341201</v>
          </cell>
          <cell r="E103">
            <v>346271</v>
          </cell>
          <cell r="F103">
            <v>350235</v>
          </cell>
          <cell r="G103">
            <v>332760</v>
          </cell>
          <cell r="H103">
            <v>380540</v>
          </cell>
          <cell r="I103">
            <v>362848</v>
          </cell>
          <cell r="J103">
            <v>368749</v>
          </cell>
          <cell r="K103">
            <v>371776</v>
          </cell>
          <cell r="L103">
            <v>378054</v>
          </cell>
          <cell r="M103">
            <v>386325</v>
          </cell>
          <cell r="N103">
            <v>392455</v>
          </cell>
          <cell r="O103">
            <v>395848</v>
          </cell>
        </row>
        <row r="104">
          <cell r="D104">
            <v>96301</v>
          </cell>
          <cell r="E104">
            <v>97233</v>
          </cell>
          <cell r="F104">
            <v>97807</v>
          </cell>
          <cell r="G104">
            <v>96711</v>
          </cell>
          <cell r="H104">
            <v>103707</v>
          </cell>
          <cell r="I104">
            <v>103289</v>
          </cell>
          <cell r="J104">
            <v>104880</v>
          </cell>
          <cell r="K104">
            <v>106699</v>
          </cell>
          <cell r="L104">
            <v>111734</v>
          </cell>
          <cell r="M104">
            <v>112494</v>
          </cell>
          <cell r="N104">
            <v>113635</v>
          </cell>
          <cell r="O104">
            <v>114839</v>
          </cell>
        </row>
        <row r="105">
          <cell r="D105">
            <v>6532</v>
          </cell>
          <cell r="E105">
            <v>7512</v>
          </cell>
          <cell r="F105">
            <v>7820</v>
          </cell>
          <cell r="G105">
            <v>7834</v>
          </cell>
          <cell r="H105">
            <v>8717</v>
          </cell>
          <cell r="I105">
            <v>8350</v>
          </cell>
          <cell r="J105">
            <v>9289</v>
          </cell>
          <cell r="K105">
            <v>9407</v>
          </cell>
          <cell r="L105">
            <v>9703</v>
          </cell>
          <cell r="M105">
            <v>9763</v>
          </cell>
          <cell r="N105">
            <v>9790</v>
          </cell>
          <cell r="O105">
            <v>9967</v>
          </cell>
        </row>
        <row r="106"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246</v>
          </cell>
          <cell r="M106">
            <v>1485</v>
          </cell>
          <cell r="N106">
            <v>1584</v>
          </cell>
          <cell r="O106">
            <v>1584</v>
          </cell>
        </row>
        <row r="107">
          <cell r="D107">
            <v>47709</v>
          </cell>
          <cell r="E107">
            <v>47709</v>
          </cell>
          <cell r="F107">
            <v>47709</v>
          </cell>
          <cell r="G107">
            <v>47709</v>
          </cell>
          <cell r="H107">
            <v>47709</v>
          </cell>
          <cell r="I107">
            <v>47709</v>
          </cell>
          <cell r="J107">
            <v>47709</v>
          </cell>
          <cell r="K107">
            <v>47623</v>
          </cell>
          <cell r="L107">
            <v>47410</v>
          </cell>
          <cell r="M107">
            <v>46963</v>
          </cell>
          <cell r="N107">
            <v>46970</v>
          </cell>
          <cell r="O107">
            <v>46911</v>
          </cell>
        </row>
        <row r="108">
          <cell r="D108">
            <v>5512</v>
          </cell>
          <cell r="E108">
            <v>5512</v>
          </cell>
          <cell r="F108">
            <v>5512</v>
          </cell>
          <cell r="G108">
            <v>5512</v>
          </cell>
          <cell r="H108">
            <v>5512</v>
          </cell>
          <cell r="I108">
            <v>5512</v>
          </cell>
          <cell r="J108">
            <v>5512</v>
          </cell>
          <cell r="K108">
            <v>5512</v>
          </cell>
          <cell r="L108">
            <v>5512</v>
          </cell>
          <cell r="M108">
            <v>5512</v>
          </cell>
          <cell r="N108">
            <v>5512</v>
          </cell>
          <cell r="O108">
            <v>5512</v>
          </cell>
        </row>
        <row r="109">
          <cell r="D109">
            <v>8835</v>
          </cell>
          <cell r="E109">
            <v>8835</v>
          </cell>
          <cell r="F109">
            <v>8835</v>
          </cell>
          <cell r="G109">
            <v>8835</v>
          </cell>
          <cell r="H109">
            <v>8835</v>
          </cell>
          <cell r="I109">
            <v>8835</v>
          </cell>
          <cell r="J109">
            <v>8835</v>
          </cell>
          <cell r="K109">
            <v>8835</v>
          </cell>
          <cell r="L109">
            <v>8835</v>
          </cell>
          <cell r="M109">
            <v>8835</v>
          </cell>
          <cell r="N109">
            <v>8835</v>
          </cell>
          <cell r="O109">
            <v>8835</v>
          </cell>
        </row>
        <row r="110">
          <cell r="D110">
            <v>3300</v>
          </cell>
          <cell r="E110">
            <v>3300</v>
          </cell>
          <cell r="F110">
            <v>3252</v>
          </cell>
          <cell r="G110">
            <v>3300</v>
          </cell>
          <cell r="H110">
            <v>3300</v>
          </cell>
          <cell r="I110">
            <v>3300</v>
          </cell>
          <cell r="J110">
            <v>3300</v>
          </cell>
          <cell r="K110">
            <v>3300</v>
          </cell>
          <cell r="L110">
            <v>3300</v>
          </cell>
          <cell r="M110">
            <v>3300</v>
          </cell>
          <cell r="N110">
            <v>3300</v>
          </cell>
          <cell r="O110">
            <v>3300</v>
          </cell>
        </row>
        <row r="111">
          <cell r="D111">
            <v>5890</v>
          </cell>
          <cell r="E111">
            <v>5890</v>
          </cell>
          <cell r="F111">
            <v>5890</v>
          </cell>
          <cell r="G111">
            <v>5890</v>
          </cell>
          <cell r="H111">
            <v>5890</v>
          </cell>
          <cell r="I111">
            <v>5890</v>
          </cell>
          <cell r="J111">
            <v>5890</v>
          </cell>
          <cell r="K111">
            <v>5890</v>
          </cell>
          <cell r="L111">
            <v>5890</v>
          </cell>
          <cell r="M111">
            <v>5890</v>
          </cell>
          <cell r="N111">
            <v>5890</v>
          </cell>
          <cell r="O111">
            <v>5890</v>
          </cell>
        </row>
        <row r="112"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250</v>
          </cell>
          <cell r="L112">
            <v>311</v>
          </cell>
          <cell r="M112">
            <v>406</v>
          </cell>
          <cell r="N112">
            <v>551</v>
          </cell>
          <cell r="O112">
            <v>551</v>
          </cell>
        </row>
        <row r="113"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</row>
        <row r="114"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</row>
        <row r="118"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29">
          <cell r="D129">
            <v>20144144.524665248</v>
          </cell>
          <cell r="E129">
            <v>14439387.269093717</v>
          </cell>
          <cell r="F129">
            <v>15855805.492310759</v>
          </cell>
          <cell r="G129">
            <v>15822552.83379774</v>
          </cell>
          <cell r="H129">
            <v>12518938.278215967</v>
          </cell>
          <cell r="I129">
            <v>10407659.672571341</v>
          </cell>
          <cell r="J129">
            <v>8488330.4557343442</v>
          </cell>
          <cell r="K129">
            <v>5320892.8517782828</v>
          </cell>
          <cell r="L129">
            <v>4064750.432901463</v>
          </cell>
          <cell r="M129">
            <v>520714.37143623602</v>
          </cell>
          <cell r="N129">
            <v>-1060889.1253489838</v>
          </cell>
          <cell r="O129">
            <v>0</v>
          </cell>
        </row>
        <row r="130">
          <cell r="D130">
            <v>-183607.8599862734</v>
          </cell>
          <cell r="E130">
            <v>-155069.93638850891</v>
          </cell>
          <cell r="F130">
            <v>-174012.65687948107</v>
          </cell>
          <cell r="G130">
            <v>-182503.0030727211</v>
          </cell>
          <cell r="H130">
            <v>30751.55799711822</v>
          </cell>
          <cell r="I130">
            <v>40420.452346570171</v>
          </cell>
          <cell r="J130">
            <v>26977.498920863458</v>
          </cell>
          <cell r="K130">
            <v>2765.3347624150251</v>
          </cell>
          <cell r="L130">
            <v>1883.9885714290333</v>
          </cell>
          <cell r="M130">
            <v>-9306.5511586455068</v>
          </cell>
          <cell r="N130">
            <v>-19957.343060498362</v>
          </cell>
          <cell r="O130">
            <v>0</v>
          </cell>
        </row>
        <row r="131"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</row>
        <row r="132">
          <cell r="D132">
            <v>-1123.8311688311692</v>
          </cell>
          <cell r="E132">
            <v>-1183.5974025974031</v>
          </cell>
          <cell r="F132">
            <v>-1397.0909090909095</v>
          </cell>
          <cell r="G132">
            <v>-1375.545454545455</v>
          </cell>
          <cell r="H132">
            <v>-1166.8051948051952</v>
          </cell>
          <cell r="I132">
            <v>-1047.8701298701303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</row>
        <row r="133">
          <cell r="D133">
            <v>-196590.79285714289</v>
          </cell>
          <cell r="E133">
            <v>-181454.46808510637</v>
          </cell>
          <cell r="F133">
            <v>-179874.25531914891</v>
          </cell>
          <cell r="G133">
            <v>-194989.86315789475</v>
          </cell>
          <cell r="H133">
            <v>-155058.27205882355</v>
          </cell>
          <cell r="I133">
            <v>-175728.30882352943</v>
          </cell>
          <cell r="J133">
            <v>-177508.86617100373</v>
          </cell>
          <cell r="K133">
            <v>-92603.515625</v>
          </cell>
          <cell r="L133">
            <v>-8832.8571428571449</v>
          </cell>
          <cell r="M133">
            <v>-5793.0349344978094</v>
          </cell>
          <cell r="N133">
            <v>0</v>
          </cell>
          <cell r="O133">
            <v>0</v>
          </cell>
        </row>
        <row r="134">
          <cell r="D134">
            <v>-212.44615384615309</v>
          </cell>
          <cell r="E134">
            <v>-221.84615384615307</v>
          </cell>
          <cell r="F134">
            <v>-261.2153846153837</v>
          </cell>
          <cell r="G134">
            <v>-294.6461538461528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-298.70769230769122</v>
          </cell>
          <cell r="N134">
            <v>-612.45454545454493</v>
          </cell>
          <cell r="O134">
            <v>0</v>
          </cell>
        </row>
        <row r="135">
          <cell r="D135">
            <v>-17311.092436974795</v>
          </cell>
          <cell r="E135">
            <v>-15861.122544434029</v>
          </cell>
          <cell r="F135">
            <v>-13140.838983050837</v>
          </cell>
          <cell r="G135">
            <v>-15123.515492957726</v>
          </cell>
          <cell r="H135">
            <v>-10815.4632075472</v>
          </cell>
          <cell r="I135">
            <v>-10750.522641509466</v>
          </cell>
          <cell r="J135">
            <v>-4661.8570066729899</v>
          </cell>
          <cell r="K135">
            <v>-4456.1601525261849</v>
          </cell>
          <cell r="L135">
            <v>-2307.257416267968</v>
          </cell>
          <cell r="M135">
            <v>-2343.7052631579204</v>
          </cell>
          <cell r="N135">
            <v>0</v>
          </cell>
          <cell r="O135">
            <v>0</v>
          </cell>
        </row>
        <row r="136">
          <cell r="D136">
            <v>-3116.9263803680988</v>
          </cell>
          <cell r="E136">
            <v>-4162.7560975609795</v>
          </cell>
          <cell r="F136">
            <v>-3457.4355828220869</v>
          </cell>
          <cell r="G136">
            <v>-3546.1840490797554</v>
          </cell>
          <cell r="H136">
            <v>-3362.6530612244937</v>
          </cell>
          <cell r="I136">
            <v>-2701.4426229508226</v>
          </cell>
          <cell r="J136">
            <v>-2418.3921971252644</v>
          </cell>
          <cell r="K136">
            <v>-3594.2857142857183</v>
          </cell>
          <cell r="L136">
            <v>-756.87966804978987</v>
          </cell>
          <cell r="M136">
            <v>2212.784810126594</v>
          </cell>
          <cell r="N136">
            <v>1096.3773584905657</v>
          </cell>
          <cell r="O136">
            <v>0</v>
          </cell>
        </row>
        <row r="137">
          <cell r="D137">
            <v>198843.55207221463</v>
          </cell>
          <cell r="E137">
            <v>80922.731467809572</v>
          </cell>
          <cell r="F137">
            <v>167807.42132623473</v>
          </cell>
          <cell r="G137">
            <v>719312.08447784162</v>
          </cell>
          <cell r="H137">
            <v>841803.1250536677</v>
          </cell>
          <cell r="I137">
            <v>779874.88982178445</v>
          </cell>
          <cell r="J137">
            <v>495816.88523490122</v>
          </cell>
          <cell r="K137">
            <v>188560.72973715639</v>
          </cell>
          <cell r="L137">
            <v>95797.882226367248</v>
          </cell>
          <cell r="M137">
            <v>78902.441546665825</v>
          </cell>
          <cell r="N137">
            <v>-64157.31047139944</v>
          </cell>
          <cell r="O137">
            <v>0</v>
          </cell>
        </row>
        <row r="138">
          <cell r="D138">
            <v>-3647.5279503105658</v>
          </cell>
          <cell r="E138">
            <v>-3533.9068322981434</v>
          </cell>
          <cell r="F138">
            <v>-3056.2298136646023</v>
          </cell>
          <cell r="G138">
            <v>-2762.5155279503156</v>
          </cell>
          <cell r="H138">
            <v>-2963.347826086962</v>
          </cell>
          <cell r="I138">
            <v>0</v>
          </cell>
          <cell r="J138">
            <v>-7264.8148148148475</v>
          </cell>
          <cell r="K138">
            <v>-3617.2981366459694</v>
          </cell>
          <cell r="L138">
            <v>-19253.636363636346</v>
          </cell>
          <cell r="M138">
            <v>-8182.2839506173204</v>
          </cell>
          <cell r="N138">
            <v>0</v>
          </cell>
          <cell r="O138">
            <v>0</v>
          </cell>
        </row>
        <row r="139">
          <cell r="D139">
            <v>-39526.833333333321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-158485.45686900979</v>
          </cell>
          <cell r="E140">
            <v>-85755.458199357236</v>
          </cell>
          <cell r="F140">
            <v>-87275.618971061427</v>
          </cell>
          <cell r="G140">
            <v>18588.12175324692</v>
          </cell>
          <cell r="H140">
            <v>-16222.580906149231</v>
          </cell>
          <cell r="I140">
            <v>0</v>
          </cell>
          <cell r="J140">
            <v>-16897.987055016561</v>
          </cell>
          <cell r="K140">
            <v>-146382.21086262001</v>
          </cell>
          <cell r="L140">
            <v>-71879.813204509177</v>
          </cell>
          <cell r="M140">
            <v>-39124.94991922476</v>
          </cell>
          <cell r="N140">
            <v>-19941.024271845108</v>
          </cell>
          <cell r="O140">
            <v>0</v>
          </cell>
        </row>
        <row r="141">
          <cell r="D141">
            <v>216520.10000000018</v>
          </cell>
          <cell r="E141">
            <v>213721.70000000019</v>
          </cell>
          <cell r="F141">
            <v>242259.80000000022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</row>
        <row r="142">
          <cell r="D142">
            <v>499483.86666666658</v>
          </cell>
          <cell r="E142">
            <v>0</v>
          </cell>
          <cell r="F142">
            <v>0</v>
          </cell>
          <cell r="G142">
            <v>0</v>
          </cell>
          <cell r="H142">
            <v>-4623.1578947368416</v>
          </cell>
          <cell r="I142">
            <v>-6686.3157894736842</v>
          </cell>
          <cell r="J142">
            <v>0</v>
          </cell>
          <cell r="K142">
            <v>0</v>
          </cell>
          <cell r="L142">
            <v>-8281.1666666666697</v>
          </cell>
          <cell r="M142">
            <v>0</v>
          </cell>
          <cell r="N142">
            <v>0</v>
          </cell>
          <cell r="O142">
            <v>0</v>
          </cell>
        </row>
        <row r="143">
          <cell r="D143">
            <v>1270304.6525102109</v>
          </cell>
          <cell r="E143">
            <v>1136559.4890804158</v>
          </cell>
          <cell r="F143">
            <v>1081046.0160466805</v>
          </cell>
          <cell r="G143">
            <v>320437.31559127237</v>
          </cell>
          <cell r="H143">
            <v>-65923.318709866784</v>
          </cell>
          <cell r="I143">
            <v>-54917.891181985418</v>
          </cell>
          <cell r="J143">
            <v>21090.496786298099</v>
          </cell>
          <cell r="K143">
            <v>37212.430119180652</v>
          </cell>
          <cell r="L143">
            <v>-222914.65004324375</v>
          </cell>
          <cell r="M143">
            <v>-135546.31032244701</v>
          </cell>
          <cell r="N143">
            <v>-704609.73408078193</v>
          </cell>
          <cell r="O143">
            <v>0</v>
          </cell>
        </row>
        <row r="144">
          <cell r="D144">
            <v>408664.7702702728</v>
          </cell>
          <cell r="E144">
            <v>186363.60402684845</v>
          </cell>
          <cell r="F144">
            <v>378169.64864865103</v>
          </cell>
          <cell r="G144">
            <v>367162.40540540771</v>
          </cell>
          <cell r="H144">
            <v>325718.31081081281</v>
          </cell>
          <cell r="I144">
            <v>328165.37837838044</v>
          </cell>
          <cell r="J144">
            <v>356238.08108108328</v>
          </cell>
          <cell r="K144">
            <v>174120.95302013686</v>
          </cell>
          <cell r="L144">
            <v>0</v>
          </cell>
          <cell r="M144">
            <v>0</v>
          </cell>
          <cell r="N144">
            <v>-1329338.7307692298</v>
          </cell>
          <cell r="O144">
            <v>0</v>
          </cell>
        </row>
        <row r="145">
          <cell r="D145">
            <v>-182195.56052141509</v>
          </cell>
          <cell r="E145">
            <v>-159482.75232774657</v>
          </cell>
          <cell r="F145">
            <v>-99989.269372693714</v>
          </cell>
          <cell r="G145">
            <v>-86295.410881800999</v>
          </cell>
          <cell r="H145">
            <v>-110223.34082396996</v>
          </cell>
          <cell r="I145">
            <v>-195772.61985018713</v>
          </cell>
          <cell r="J145">
            <v>-170287.94548872157</v>
          </cell>
          <cell r="K145">
            <v>-128000.69303201498</v>
          </cell>
          <cell r="L145">
            <v>-60365.369024856496</v>
          </cell>
          <cell r="M145">
            <v>-79740.567307692021</v>
          </cell>
          <cell r="N145">
            <v>-119354.26436781611</v>
          </cell>
          <cell r="O145">
            <v>0</v>
          </cell>
        </row>
        <row r="146">
          <cell r="D146">
            <v>49754.709677419312</v>
          </cell>
          <cell r="E146">
            <v>23734.939393939374</v>
          </cell>
          <cell r="F146">
            <v>142432.0625</v>
          </cell>
          <cell r="G146">
            <v>143768.75</v>
          </cell>
          <cell r="H146">
            <v>122301.96774193537</v>
          </cell>
          <cell r="I146">
            <v>80508</v>
          </cell>
          <cell r="J146">
            <v>54617.875</v>
          </cell>
          <cell r="K146">
            <v>24821.5</v>
          </cell>
          <cell r="L146">
            <v>-16640.542857142864</v>
          </cell>
          <cell r="M146">
            <v>55320.818181818133</v>
          </cell>
          <cell r="N146">
            <v>-33279.914285714294</v>
          </cell>
          <cell r="O146">
            <v>0</v>
          </cell>
        </row>
        <row r="147">
          <cell r="D147">
            <v>33925.256880732923</v>
          </cell>
          <cell r="E147">
            <v>33332.177981650369</v>
          </cell>
          <cell r="F147">
            <v>36874.319266053935</v>
          </cell>
          <cell r="G147">
            <v>33981.392660549434</v>
          </cell>
          <cell r="H147">
            <v>67255.198529411529</v>
          </cell>
          <cell r="I147">
            <v>73082.654411764452</v>
          </cell>
          <cell r="J147">
            <v>0</v>
          </cell>
          <cell r="K147">
            <v>-87616.273722628961</v>
          </cell>
          <cell r="L147">
            <v>-124154.21311475424</v>
          </cell>
          <cell r="M147">
            <v>-127704.93442622965</v>
          </cell>
          <cell r="N147">
            <v>42647.631192659261</v>
          </cell>
          <cell r="O147">
            <v>0</v>
          </cell>
        </row>
        <row r="148">
          <cell r="D148">
            <v>7102384.2738588955</v>
          </cell>
          <cell r="E148">
            <v>671399.90020363999</v>
          </cell>
          <cell r="F148">
            <v>-4126662.1204819409</v>
          </cell>
          <cell r="G148">
            <v>-1429133.6315789609</v>
          </cell>
          <cell r="H148">
            <v>-6474565.358565731</v>
          </cell>
          <cell r="I148">
            <v>-2601915.4193548365</v>
          </cell>
          <cell r="J148">
            <v>0</v>
          </cell>
          <cell r="K148">
            <v>-9451555.438735161</v>
          </cell>
          <cell r="L148">
            <v>-7915264.3578528631</v>
          </cell>
          <cell r="M148">
            <v>-2910475.8064516103</v>
          </cell>
          <cell r="N148">
            <v>-11710076.881889785</v>
          </cell>
          <cell r="O148">
            <v>0</v>
          </cell>
        </row>
        <row r="149">
          <cell r="D149">
            <v>-100906.66666666672</v>
          </cell>
          <cell r="E149">
            <v>-117640.00000000006</v>
          </cell>
          <cell r="F149">
            <v>-113813.33333333339</v>
          </cell>
          <cell r="G149">
            <v>-74313.333333333372</v>
          </cell>
          <cell r="H149">
            <v>-89313.333333333372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-244671.06666666662</v>
          </cell>
          <cell r="E150">
            <v>-157671.06666666662</v>
          </cell>
          <cell r="F150">
            <v>-105577.73333333331</v>
          </cell>
          <cell r="G150">
            <v>-104404.39999999998</v>
          </cell>
          <cell r="H150">
            <v>-117297.73333333331</v>
          </cell>
          <cell r="I150">
            <v>-189391.06666666662</v>
          </cell>
          <cell r="J150">
            <v>-129391.06666666664</v>
          </cell>
          <cell r="K150">
            <v>-113004.39999999998</v>
          </cell>
          <cell r="L150">
            <v>-104123.78571428567</v>
          </cell>
          <cell r="M150">
            <v>0</v>
          </cell>
          <cell r="N150">
            <v>0</v>
          </cell>
          <cell r="O150">
            <v>0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</row>
        <row r="153"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</row>
        <row r="154">
          <cell r="D154">
            <v>38510.465714285907</v>
          </cell>
          <cell r="E154">
            <v>20904.893617021306</v>
          </cell>
          <cell r="F154">
            <v>13783.575671852834</v>
          </cell>
          <cell r="G154">
            <v>13872.181046676031</v>
          </cell>
          <cell r="H154">
            <v>20813.727659574499</v>
          </cell>
          <cell r="I154">
            <v>10359.377118644041</v>
          </cell>
          <cell r="J154">
            <v>10389.978813559293</v>
          </cell>
          <cell r="K154">
            <v>13880.316831683103</v>
          </cell>
          <cell r="L154">
            <v>-17174.804469273622</v>
          </cell>
          <cell r="M154">
            <v>-10352.886554621811</v>
          </cell>
          <cell r="N154">
            <v>3474.2830985915448</v>
          </cell>
          <cell r="O154">
            <v>0</v>
          </cell>
        </row>
        <row r="155">
          <cell r="D155">
            <v>-10757.611757105875</v>
          </cell>
          <cell r="E155">
            <v>-9300.7795733677758</v>
          </cell>
          <cell r="F155">
            <v>-9149.0071105364896</v>
          </cell>
          <cell r="G155">
            <v>-9238.68907563022</v>
          </cell>
          <cell r="H155">
            <v>-7677.8525226391712</v>
          </cell>
          <cell r="I155">
            <v>-16854.317654639115</v>
          </cell>
          <cell r="J155">
            <v>-6156.4944983818041</v>
          </cell>
          <cell r="K155">
            <v>-9223.2527472527145</v>
          </cell>
          <cell r="L155">
            <v>-3078.9138042772624</v>
          </cell>
          <cell r="M155">
            <v>-3079.1561892416175</v>
          </cell>
          <cell r="N155">
            <v>-3079.6850291638466</v>
          </cell>
          <cell r="O155">
            <v>0</v>
          </cell>
        </row>
        <row r="156">
          <cell r="D156">
            <v>-1767.8248587570597</v>
          </cell>
          <cell r="E156">
            <v>-1400.4318181818169</v>
          </cell>
          <cell r="F156">
            <v>-1399.8181818181806</v>
          </cell>
          <cell r="G156">
            <v>-1399.8181818181806</v>
          </cell>
          <cell r="H156">
            <v>-1039.7314285714276</v>
          </cell>
          <cell r="I156">
            <v>-696.10344827586118</v>
          </cell>
          <cell r="J156">
            <v>350.29239766081537</v>
          </cell>
          <cell r="K156">
            <v>350.09356725145864</v>
          </cell>
          <cell r="L156">
            <v>-688.12643678160839</v>
          </cell>
          <cell r="M156">
            <v>350.09356725145864</v>
          </cell>
          <cell r="N156">
            <v>350.09356725145864</v>
          </cell>
          <cell r="O156">
            <v>0</v>
          </cell>
        </row>
        <row r="157"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</row>
        <row r="158">
          <cell r="D158">
            <v>-1465127.0357373257</v>
          </cell>
          <cell r="E158">
            <v>-889904.30626780645</v>
          </cell>
          <cell r="F158">
            <v>-854774.25194300828</v>
          </cell>
          <cell r="G158">
            <v>-1127643.4891872709</v>
          </cell>
          <cell r="H158">
            <v>-1175718.1438329716</v>
          </cell>
          <cell r="I158">
            <v>-1111640.8607578604</v>
          </cell>
          <cell r="J158">
            <v>-407606.49775434617</v>
          </cell>
          <cell r="K158">
            <v>-500596.23762440891</v>
          </cell>
          <cell r="L158">
            <v>-802302.97142856859</v>
          </cell>
          <cell r="M158">
            <v>-617035.53339408629</v>
          </cell>
          <cell r="N158">
            <v>-637307.25808761513</v>
          </cell>
          <cell r="O158">
            <v>0</v>
          </cell>
        </row>
        <row r="159">
          <cell r="D159">
            <v>214290.5806451611</v>
          </cell>
          <cell r="E159">
            <v>190593.99999999983</v>
          </cell>
          <cell r="F159">
            <v>89243.96875</v>
          </cell>
          <cell r="G159">
            <v>87080.03125</v>
          </cell>
          <cell r="H159">
            <v>80228.21875</v>
          </cell>
          <cell r="I159">
            <v>-89734.794117647078</v>
          </cell>
          <cell r="J159">
            <v>-91423.058823529427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</row>
        <row r="160">
          <cell r="D160">
            <v>13688947.899429316</v>
          </cell>
          <cell r="E160">
            <v>12841888.729772428</v>
          </cell>
          <cell r="F160">
            <v>11770662.055402644</v>
          </cell>
          <cell r="G160">
            <v>3057634.2433166225</v>
          </cell>
          <cell r="H160">
            <v>-589249.18224310246</v>
          </cell>
          <cell r="I160">
            <v>-1182092.2846709874</v>
          </cell>
          <cell r="J160">
            <v>2579038.1230581552</v>
          </cell>
          <cell r="K160">
            <v>2591730.0701780487</v>
          </cell>
          <cell r="L160">
            <v>2882242.0181618449</v>
          </cell>
          <cell r="M160">
            <v>1759400.8004965214</v>
          </cell>
          <cell r="N160">
            <v>115246.65411303718</v>
          </cell>
          <cell r="O160">
            <v>0</v>
          </cell>
        </row>
        <row r="161">
          <cell r="D161">
            <v>2256410.1257861629</v>
          </cell>
          <cell r="E161">
            <v>1422677.7320872203</v>
          </cell>
          <cell r="F161">
            <v>1041366.625386994</v>
          </cell>
          <cell r="G161">
            <v>1390260.5358255382</v>
          </cell>
          <cell r="H161">
            <v>732845.32098765753</v>
          </cell>
          <cell r="I161">
            <v>785018.39506173192</v>
          </cell>
          <cell r="J161">
            <v>414806.49693251296</v>
          </cell>
          <cell r="K161">
            <v>-210700.44680850874</v>
          </cell>
          <cell r="L161">
            <v>-468234.30303030607</v>
          </cell>
          <cell r="M161">
            <v>-496031.38181818504</v>
          </cell>
          <cell r="N161">
            <v>252783.33944953364</v>
          </cell>
          <cell r="O161">
            <v>0</v>
          </cell>
        </row>
        <row r="162">
          <cell r="D162">
            <v>0</v>
          </cell>
          <cell r="E162">
            <v>9963608.0625</v>
          </cell>
          <cell r="F162">
            <v>9272038.125</v>
          </cell>
          <cell r="G162">
            <v>14044810.095238095</v>
          </cell>
          <cell r="H162">
            <v>6330982.1846153624</v>
          </cell>
          <cell r="I162">
            <v>0</v>
          </cell>
          <cell r="J162">
            <v>6336255.9076922853</v>
          </cell>
          <cell r="K162">
            <v>-10956110.485714275</v>
          </cell>
          <cell r="L162">
            <v>8238740.0615384327</v>
          </cell>
          <cell r="M162">
            <v>-37597223.486842118</v>
          </cell>
          <cell r="N162">
            <v>-27908900.693333339</v>
          </cell>
          <cell r="O162">
            <v>0</v>
          </cell>
        </row>
        <row r="163">
          <cell r="D163">
            <v>-10147537.173913037</v>
          </cell>
          <cell r="E163">
            <v>-16192439.304347815</v>
          </cell>
          <cell r="F163">
            <v>-11309504.434782602</v>
          </cell>
          <cell r="G163">
            <v>-14417645.260869555</v>
          </cell>
          <cell r="H163">
            <v>-13362482.521739122</v>
          </cell>
          <cell r="I163">
            <v>-14456608.695652165</v>
          </cell>
          <cell r="J163">
            <v>-13528043.47826086</v>
          </cell>
          <cell r="K163">
            <v>-14579782.608695643</v>
          </cell>
          <cell r="L163">
            <v>-15415565.217391293</v>
          </cell>
          <cell r="M163">
            <v>-12599043.478260862</v>
          </cell>
          <cell r="N163">
            <v>0</v>
          </cell>
          <cell r="O163">
            <v>0</v>
          </cell>
        </row>
        <row r="164"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</row>
        <row r="165"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</row>
        <row r="166"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</row>
        <row r="167">
          <cell r="D167">
            <v>0</v>
          </cell>
          <cell r="E167">
            <v>0</v>
          </cell>
          <cell r="F167">
            <v>11864560.571428565</v>
          </cell>
          <cell r="G167">
            <v>-8033133.2222222257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</row>
        <row r="168"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</row>
        <row r="169"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</row>
        <row r="170"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</row>
        <row r="171">
          <cell r="D171">
            <v>0</v>
          </cell>
          <cell r="E171">
            <v>0</v>
          </cell>
          <cell r="F171">
            <v>2391473</v>
          </cell>
          <cell r="G171">
            <v>-17988611.75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</row>
        <row r="172"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</row>
        <row r="173">
          <cell r="D173">
            <v>1470769.5</v>
          </cell>
          <cell r="E173">
            <v>1301459</v>
          </cell>
          <cell r="F173">
            <v>1252446.5</v>
          </cell>
          <cell r="G173">
            <v>1215084</v>
          </cell>
          <cell r="H173">
            <v>1112651.5</v>
          </cell>
          <cell r="I173">
            <v>1221211</v>
          </cell>
          <cell r="J173">
            <v>1303364.1025641025</v>
          </cell>
          <cell r="K173">
            <v>988471.90977443603</v>
          </cell>
          <cell r="L173">
            <v>464049.96226415085</v>
          </cell>
          <cell r="M173">
            <v>389980.82208588935</v>
          </cell>
          <cell r="N173">
            <v>181330.22352941209</v>
          </cell>
          <cell r="O173">
            <v>0</v>
          </cell>
        </row>
        <row r="174"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D176">
            <v>0</v>
          </cell>
          <cell r="E176">
            <v>-318000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D177">
            <v>-22048.050380388839</v>
          </cell>
          <cell r="E177">
            <v>-20311.656366723262</v>
          </cell>
          <cell r="F177">
            <v>-17668.349000170932</v>
          </cell>
          <cell r="G177">
            <v>-17505.506324786333</v>
          </cell>
          <cell r="H177">
            <v>-15494.000171791766</v>
          </cell>
          <cell r="I177">
            <v>-12771.336274001058</v>
          </cell>
          <cell r="J177">
            <v>-9406.3265875785164</v>
          </cell>
          <cell r="K177">
            <v>-6714.6729316704586</v>
          </cell>
          <cell r="L177">
            <v>-3881.2498230714928</v>
          </cell>
          <cell r="M177">
            <v>208.74164133738159</v>
          </cell>
          <cell r="N177">
            <v>695.29001074109851</v>
          </cell>
          <cell r="O177">
            <v>0</v>
          </cell>
        </row>
        <row r="178">
          <cell r="D178">
            <v>-17727.703058321469</v>
          </cell>
          <cell r="E178">
            <v>13039.438245479014</v>
          </cell>
          <cell r="F178">
            <v>-10927.013381555174</v>
          </cell>
          <cell r="G178">
            <v>-17578.808321479362</v>
          </cell>
          <cell r="H178">
            <v>-12181.106705118949</v>
          </cell>
          <cell r="I178">
            <v>-11460.195016251371</v>
          </cell>
          <cell r="J178">
            <v>-11178.722081676924</v>
          </cell>
          <cell r="K178">
            <v>-10382.518826936992</v>
          </cell>
          <cell r="L178">
            <v>-4890.5809768637391</v>
          </cell>
          <cell r="M178">
            <v>-2593.2101957886848</v>
          </cell>
          <cell r="N178">
            <v>-1010.0823442136361</v>
          </cell>
          <cell r="O178">
            <v>0</v>
          </cell>
        </row>
        <row r="179">
          <cell r="D179">
            <v>-9773.5090609555136</v>
          </cell>
          <cell r="E179">
            <v>-8948.2129218701575</v>
          </cell>
          <cell r="F179">
            <v>-6211.8293444328838</v>
          </cell>
          <cell r="G179">
            <v>-5496.551824817534</v>
          </cell>
          <cell r="H179">
            <v>-6293.061271195239</v>
          </cell>
          <cell r="I179">
            <v>-5678.9474781158851</v>
          </cell>
          <cell r="J179">
            <v>-3207.0788451443595</v>
          </cell>
          <cell r="K179">
            <v>-1622.2666666666505</v>
          </cell>
          <cell r="L179">
            <v>-1721.360750817237</v>
          </cell>
          <cell r="M179">
            <v>35.308809498596361</v>
          </cell>
          <cell r="N179">
            <v>918.06696428572684</v>
          </cell>
          <cell r="O179">
            <v>0</v>
          </cell>
        </row>
        <row r="180">
          <cell r="D180">
            <v>-25044.422177481811</v>
          </cell>
          <cell r="E180">
            <v>-26093.203726612042</v>
          </cell>
          <cell r="F180">
            <v>-21645.935973237865</v>
          </cell>
          <cell r="G180">
            <v>-20429.770279747492</v>
          </cell>
          <cell r="H180">
            <v>-18572.547457229874</v>
          </cell>
          <cell r="I180">
            <v>-15610.953404455615</v>
          </cell>
          <cell r="J180">
            <v>-11297.608712808753</v>
          </cell>
          <cell r="K180">
            <v>-8027.2837548561192</v>
          </cell>
          <cell r="L180">
            <v>-7500.1067914947362</v>
          </cell>
          <cell r="M180">
            <v>-3728.2972002871475</v>
          </cell>
          <cell r="N180">
            <v>-5800.0451725782996</v>
          </cell>
          <cell r="O180">
            <v>0</v>
          </cell>
        </row>
        <row r="181">
          <cell r="D181">
            <v>-16541.798331015307</v>
          </cell>
          <cell r="E181">
            <v>-32398.828767123301</v>
          </cell>
          <cell r="F181">
            <v>-8857.3544189770982</v>
          </cell>
          <cell r="G181">
            <v>-13362.704534130557</v>
          </cell>
          <cell r="H181">
            <v>-3485.8706107254093</v>
          </cell>
          <cell r="I181">
            <v>-8234.1912869303796</v>
          </cell>
          <cell r="J181">
            <v>-4638.8442211055362</v>
          </cell>
          <cell r="K181">
            <v>-6790.4276401564075</v>
          </cell>
          <cell r="L181">
            <v>-13285.546586945704</v>
          </cell>
          <cell r="M181">
            <v>-823.89750832238519</v>
          </cell>
          <cell r="N181">
            <v>-11020.519324877636</v>
          </cell>
          <cell r="O181">
            <v>0</v>
          </cell>
        </row>
        <row r="182">
          <cell r="D182">
            <v>-1785.8729729729703</v>
          </cell>
          <cell r="E182">
            <v>-1452.3698164513926</v>
          </cell>
          <cell r="F182">
            <v>-1225.2395904436869</v>
          </cell>
          <cell r="G182">
            <v>-1108.2879616963091</v>
          </cell>
          <cell r="H182">
            <v>-1070.6502395619432</v>
          </cell>
          <cell r="I182">
            <v>-915.80507892930495</v>
          </cell>
          <cell r="J182">
            <v>-534.95093296475272</v>
          </cell>
          <cell r="K182">
            <v>-420.92520775623171</v>
          </cell>
          <cell r="L182">
            <v>-114.59331476322947</v>
          </cell>
          <cell r="M182">
            <v>345.81741573034174</v>
          </cell>
          <cell r="N182">
            <v>191.57563025210015</v>
          </cell>
          <cell r="O182">
            <v>0</v>
          </cell>
        </row>
        <row r="183">
          <cell r="D183">
            <v>-40050.797748592857</v>
          </cell>
          <cell r="E183">
            <v>-40174.663353338357</v>
          </cell>
          <cell r="F183">
            <v>-31748.404113502183</v>
          </cell>
          <cell r="G183">
            <v>-35945.464285714297</v>
          </cell>
          <cell r="H183">
            <v>-17318.498238747561</v>
          </cell>
          <cell r="I183">
            <v>-33764.699734446105</v>
          </cell>
          <cell r="J183">
            <v>-31205.237750238299</v>
          </cell>
          <cell r="K183">
            <v>-33638.691198786015</v>
          </cell>
          <cell r="L183">
            <v>-28349.927572331835</v>
          </cell>
          <cell r="M183">
            <v>-23399.140673374615</v>
          </cell>
          <cell r="N183">
            <v>-22558.188372093053</v>
          </cell>
          <cell r="O183">
            <v>0</v>
          </cell>
        </row>
        <row r="184">
          <cell r="D184">
            <v>-52457.878836062999</v>
          </cell>
          <cell r="E184">
            <v>-57775.673061677451</v>
          </cell>
          <cell r="F184">
            <v>-42898.74380693616</v>
          </cell>
          <cell r="G184">
            <v>-50375.93537090093</v>
          </cell>
          <cell r="H184">
            <v>-15864.170680288595</v>
          </cell>
          <cell r="I184">
            <v>-33952.64910872015</v>
          </cell>
          <cell r="J184">
            <v>-25721.37043309951</v>
          </cell>
          <cell r="K184">
            <v>-23508.73885658912</v>
          </cell>
          <cell r="L184">
            <v>-20653.781237363604</v>
          </cell>
          <cell r="M184">
            <v>-14740.846977687723</v>
          </cell>
          <cell r="N184">
            <v>-3883.6980084883166</v>
          </cell>
          <cell r="O184">
            <v>0</v>
          </cell>
        </row>
        <row r="185">
          <cell r="D185">
            <v>-24879.924091090754</v>
          </cell>
          <cell r="E185">
            <v>-26508.401516663282</v>
          </cell>
          <cell r="F185">
            <v>-21874.542325395192</v>
          </cell>
          <cell r="G185">
            <v>-26779.889664804523</v>
          </cell>
          <cell r="H185">
            <v>-18148.036502206152</v>
          </cell>
          <cell r="I185">
            <v>-9640.6231854838898</v>
          </cell>
          <cell r="J185">
            <v>-12612.711611994328</v>
          </cell>
          <cell r="K185">
            <v>-41528.249555072172</v>
          </cell>
          <cell r="L185">
            <v>0</v>
          </cell>
          <cell r="M185">
            <v>-9594.4862903226003</v>
          </cell>
          <cell r="N185">
            <v>4331.0591703946375</v>
          </cell>
          <cell r="O185">
            <v>0</v>
          </cell>
        </row>
        <row r="186">
          <cell r="D186">
            <v>-8104.8506876227957</v>
          </cell>
          <cell r="E186">
            <v>-6131.2924294903396</v>
          </cell>
          <cell r="F186">
            <v>-6510.0760869565293</v>
          </cell>
          <cell r="G186">
            <v>-7819.2694198623358</v>
          </cell>
          <cell r="H186">
            <v>-5930.1757425742626</v>
          </cell>
          <cell r="I186">
            <v>-4399.1728087649362</v>
          </cell>
          <cell r="J186">
            <v>-2277.4111445783119</v>
          </cell>
          <cell r="K186">
            <v>-3467.3813093453191</v>
          </cell>
          <cell r="L186">
            <v>-4130.2632103689002</v>
          </cell>
          <cell r="M186">
            <v>-2007.9723618090391</v>
          </cell>
          <cell r="N186">
            <v>-1339.2695214105918</v>
          </cell>
          <cell r="O186">
            <v>0</v>
          </cell>
        </row>
        <row r="187">
          <cell r="D187">
            <v>-6506.3295797857445</v>
          </cell>
          <cell r="E187">
            <v>-7200.5448559671067</v>
          </cell>
          <cell r="F187">
            <v>-11595.714441416922</v>
          </cell>
          <cell r="G187">
            <v>-12726.538482458554</v>
          </cell>
          <cell r="H187">
            <v>11921.55769230765</v>
          </cell>
          <cell r="I187">
            <v>-12537.852013057665</v>
          </cell>
          <cell r="J187">
            <v>-10508.302401746696</v>
          </cell>
          <cell r="K187">
            <v>-5260.8805723720334</v>
          </cell>
          <cell r="L187">
            <v>-5966.5140186915896</v>
          </cell>
          <cell r="M187">
            <v>-1409.8449612403429</v>
          </cell>
          <cell r="N187">
            <v>881.92692414556586</v>
          </cell>
          <cell r="O187">
            <v>0</v>
          </cell>
        </row>
        <row r="188">
          <cell r="D188">
            <v>-48954.312898751683</v>
          </cell>
          <cell r="E188">
            <v>-63047.319989032047</v>
          </cell>
          <cell r="F188">
            <v>-62156.719890260632</v>
          </cell>
          <cell r="G188">
            <v>-68822.199181446136</v>
          </cell>
          <cell r="H188">
            <v>12578.552831290179</v>
          </cell>
          <cell r="I188">
            <v>-43616.418824839879</v>
          </cell>
          <cell r="J188">
            <v>-33690.644201067174</v>
          </cell>
          <cell r="K188">
            <v>-33124.764325842705</v>
          </cell>
          <cell r="L188">
            <v>-22531.360158685238</v>
          </cell>
          <cell r="M188">
            <v>-9297.0670487105563</v>
          </cell>
          <cell r="N188">
            <v>-11345.260297482817</v>
          </cell>
          <cell r="O188">
            <v>0</v>
          </cell>
        </row>
        <row r="189">
          <cell r="D189">
            <v>-10884.851226993853</v>
          </cell>
          <cell r="E189">
            <v>-9120.7357032457585</v>
          </cell>
          <cell r="F189">
            <v>-6291.0985915492874</v>
          </cell>
          <cell r="G189">
            <v>-9960.1247113164081</v>
          </cell>
          <cell r="H189">
            <v>-9280.6478764478688</v>
          </cell>
          <cell r="I189">
            <v>-8711.571207430341</v>
          </cell>
          <cell r="J189">
            <v>-4418.0544593527939</v>
          </cell>
          <cell r="K189">
            <v>-5931.587774294665</v>
          </cell>
          <cell r="L189">
            <v>-4530.8690851734982</v>
          </cell>
          <cell r="M189">
            <v>-1587.8489208632996</v>
          </cell>
          <cell r="N189">
            <v>-2278.1075697211036</v>
          </cell>
          <cell r="O189">
            <v>0</v>
          </cell>
        </row>
        <row r="190">
          <cell r="D190">
            <v>-6943.7484787018229</v>
          </cell>
          <cell r="E190">
            <v>-5871.9999999999909</v>
          </cell>
          <cell r="F190">
            <v>-6932.3793103448252</v>
          </cell>
          <cell r="G190">
            <v>-6188.1731160896124</v>
          </cell>
          <cell r="H190">
            <v>-6202.8879837067198</v>
          </cell>
          <cell r="I190">
            <v>-5848.718367346929</v>
          </cell>
          <cell r="J190">
            <v>-4019.4907216494898</v>
          </cell>
          <cell r="K190">
            <v>-3981.8639175257786</v>
          </cell>
          <cell r="L190">
            <v>-1090.8993710691821</v>
          </cell>
          <cell r="M190">
            <v>367.00000000000415</v>
          </cell>
          <cell r="N190">
            <v>-4973.528688524586</v>
          </cell>
          <cell r="O190">
            <v>0</v>
          </cell>
        </row>
        <row r="191"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</row>
        <row r="192">
          <cell r="D192">
            <v>-1713.6889534883712</v>
          </cell>
          <cell r="E192">
            <v>-398.61027190332362</v>
          </cell>
          <cell r="F192">
            <v>-308.43636363636188</v>
          </cell>
          <cell r="G192">
            <v>-611.2252252252265</v>
          </cell>
          <cell r="H192">
            <v>-612.30630630630765</v>
          </cell>
          <cell r="I192">
            <v>0</v>
          </cell>
          <cell r="J192">
            <v>-102.43292682926838</v>
          </cell>
          <cell r="K192">
            <v>0</v>
          </cell>
          <cell r="L192">
            <v>-203.99392097264254</v>
          </cell>
          <cell r="M192">
            <v>102.74233128834297</v>
          </cell>
          <cell r="N192">
            <v>-1280.6529411764698</v>
          </cell>
          <cell r="O192">
            <v>0</v>
          </cell>
        </row>
        <row r="193">
          <cell r="D193">
            <v>4156.9494949494956</v>
          </cell>
          <cell r="E193">
            <v>3705.1092436974791</v>
          </cell>
          <cell r="F193">
            <v>3764.7580645161293</v>
          </cell>
          <cell r="G193">
            <v>3509.818181818182</v>
          </cell>
          <cell r="H193">
            <v>3369.2645161290329</v>
          </cell>
          <cell r="I193">
            <v>2825.0582010582011</v>
          </cell>
          <cell r="J193">
            <v>2599.2999999999997</v>
          </cell>
          <cell r="K193">
            <v>2201.9495798319331</v>
          </cell>
          <cell r="L193">
            <v>1668.5724637681158</v>
          </cell>
          <cell r="M193">
            <v>1399.3277027027027</v>
          </cell>
          <cell r="N193">
            <v>950.3465045592701</v>
          </cell>
          <cell r="O193">
            <v>0</v>
          </cell>
        </row>
        <row r="194">
          <cell r="D194">
            <v>5976.3380281690133</v>
          </cell>
          <cell r="E194">
            <v>5627.3225806451619</v>
          </cell>
          <cell r="F194">
            <v>4719.8032786885242</v>
          </cell>
          <cell r="G194">
            <v>4444.7857142857147</v>
          </cell>
          <cell r="H194">
            <v>4292</v>
          </cell>
          <cell r="I194">
            <v>3647.4234234234241</v>
          </cell>
          <cell r="J194">
            <v>3526.7631578947376</v>
          </cell>
          <cell r="K194">
            <v>2784.833333333333</v>
          </cell>
          <cell r="L194">
            <v>2232.176470588236</v>
          </cell>
          <cell r="M194">
            <v>1386.976744186047</v>
          </cell>
          <cell r="N194">
            <v>575.03030303030255</v>
          </cell>
          <cell r="O194">
            <v>0</v>
          </cell>
        </row>
        <row r="195">
          <cell r="D195">
            <v>16652</v>
          </cell>
          <cell r="E195">
            <v>17076.981132075471</v>
          </cell>
          <cell r="F195">
            <v>15873.846153846154</v>
          </cell>
          <cell r="G195">
            <v>14178.189873417723</v>
          </cell>
          <cell r="H195">
            <v>10947.390041493776</v>
          </cell>
          <cell r="I195">
            <v>11021.464435146443</v>
          </cell>
          <cell r="J195">
            <v>9401.5693430656938</v>
          </cell>
          <cell r="K195">
            <v>8115.1287128712884</v>
          </cell>
          <cell r="L195">
            <v>5343.4626038781162</v>
          </cell>
          <cell r="M195">
            <v>4687.1830238726779</v>
          </cell>
          <cell r="N195">
            <v>3007.1449275362329</v>
          </cell>
          <cell r="O195">
            <v>0</v>
          </cell>
        </row>
        <row r="196">
          <cell r="D196">
            <v>419.53846153846143</v>
          </cell>
          <cell r="E196">
            <v>437.99999999999994</v>
          </cell>
          <cell r="F196">
            <v>437.99999999999994</v>
          </cell>
          <cell r="G196">
            <v>437.99999999999994</v>
          </cell>
          <cell r="H196">
            <v>291.99999999999994</v>
          </cell>
          <cell r="I196">
            <v>219</v>
          </cell>
          <cell r="J196">
            <v>219</v>
          </cell>
          <cell r="K196">
            <v>219</v>
          </cell>
          <cell r="L196">
            <v>219</v>
          </cell>
          <cell r="M196">
            <v>146.00000000000003</v>
          </cell>
          <cell r="N196">
            <v>0</v>
          </cell>
          <cell r="O196">
            <v>0</v>
          </cell>
        </row>
        <row r="197">
          <cell r="D197">
            <v>399</v>
          </cell>
          <cell r="E197">
            <v>399</v>
          </cell>
          <cell r="F197">
            <v>335.66666666666663</v>
          </cell>
          <cell r="G197">
            <v>361</v>
          </cell>
          <cell r="H197">
            <v>361</v>
          </cell>
          <cell r="I197">
            <v>323.00000000000006</v>
          </cell>
          <cell r="J197">
            <v>285</v>
          </cell>
          <cell r="K197">
            <v>242.66666666666669</v>
          </cell>
          <cell r="L197">
            <v>209</v>
          </cell>
          <cell r="M197">
            <v>54.473684210526329</v>
          </cell>
          <cell r="N197">
            <v>38.000000000000036</v>
          </cell>
          <cell r="O197">
            <v>0</v>
          </cell>
        </row>
        <row r="198">
          <cell r="D198">
            <v>15478.352941176468</v>
          </cell>
          <cell r="E198">
            <v>15078.867924528302</v>
          </cell>
          <cell r="F198">
            <v>17792.5</v>
          </cell>
          <cell r="G198">
            <v>14989.115044247786</v>
          </cell>
          <cell r="H198">
            <v>14294.37984496124</v>
          </cell>
          <cell r="I198">
            <v>14250</v>
          </cell>
          <cell r="J198">
            <v>13738.402877697841</v>
          </cell>
          <cell r="K198">
            <v>13900</v>
          </cell>
          <cell r="L198">
            <v>13268.835616438355</v>
          </cell>
          <cell r="M198">
            <v>13499.999999999998</v>
          </cell>
          <cell r="N198">
            <v>12949.999999999998</v>
          </cell>
          <cell r="O198">
            <v>0</v>
          </cell>
        </row>
        <row r="199"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6138</v>
          </cell>
          <cell r="K199">
            <v>5346</v>
          </cell>
          <cell r="L199">
            <v>3647.28</v>
          </cell>
          <cell r="M199">
            <v>1486.8367346938771</v>
          </cell>
          <cell r="N199">
            <v>1060.9811320754714</v>
          </cell>
          <cell r="O199">
            <v>0</v>
          </cell>
        </row>
        <row r="200">
          <cell r="D200">
            <v>-720.04873646209421</v>
          </cell>
          <cell r="E200">
            <v>-639.98554652213204</v>
          </cell>
          <cell r="F200">
            <v>-480.13574660633316</v>
          </cell>
          <cell r="G200">
            <v>-439.97012222725448</v>
          </cell>
          <cell r="H200">
            <v>-6059.8983050847437</v>
          </cell>
          <cell r="I200">
            <v>-280.13015873015775</v>
          </cell>
          <cell r="J200">
            <v>-200.05220154334992</v>
          </cell>
          <cell r="K200">
            <v>-199.99999999999994</v>
          </cell>
          <cell r="L200">
            <v>-239.79582577132123</v>
          </cell>
          <cell r="M200">
            <v>-719.53700361010874</v>
          </cell>
          <cell r="N200">
            <v>0</v>
          </cell>
          <cell r="O200">
            <v>0</v>
          </cell>
        </row>
        <row r="201">
          <cell r="D201">
            <v>-26917.450652131603</v>
          </cell>
          <cell r="E201">
            <v>-24807.93459956922</v>
          </cell>
          <cell r="F201">
            <v>-24370.915506763362</v>
          </cell>
          <cell r="G201">
            <v>-23910.867909715394</v>
          </cell>
          <cell r="H201">
            <v>-23340.374410377357</v>
          </cell>
          <cell r="I201">
            <v>-18949.936293051949</v>
          </cell>
          <cell r="J201">
            <v>-4394.8020768432089</v>
          </cell>
          <cell r="K201">
            <v>-4202.5431124039224</v>
          </cell>
          <cell r="L201">
            <v>-6184.5258157786093</v>
          </cell>
          <cell r="M201">
            <v>-2801.4854996870281</v>
          </cell>
          <cell r="N201">
            <v>-1960.5095168374817</v>
          </cell>
          <cell r="O201">
            <v>0</v>
          </cell>
        </row>
        <row r="202">
          <cell r="D202">
            <v>-17124.556117290205</v>
          </cell>
          <cell r="E202">
            <v>-15979.925650557625</v>
          </cell>
          <cell r="F202">
            <v>-19678.219356999307</v>
          </cell>
          <cell r="G202">
            <v>-13339.061543692618</v>
          </cell>
          <cell r="H202">
            <v>-15124.763033175346</v>
          </cell>
          <cell r="I202">
            <v>-7763.1850447967063</v>
          </cell>
          <cell r="J202">
            <v>-2772.0324267782439</v>
          </cell>
          <cell r="K202">
            <v>-2175.8170391061644</v>
          </cell>
          <cell r="L202">
            <v>-5310.9999999999809</v>
          </cell>
          <cell r="M202">
            <v>-1594.2499999999943</v>
          </cell>
          <cell r="N202">
            <v>-434.06591865356211</v>
          </cell>
          <cell r="O202">
            <v>0</v>
          </cell>
        </row>
        <row r="203"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</row>
        <row r="204"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</row>
        <row r="205">
          <cell r="D205">
            <v>-440.00000000000006</v>
          </cell>
          <cell r="E205">
            <v>-440.00000000000006</v>
          </cell>
          <cell r="F205">
            <v>-440.00000000000006</v>
          </cell>
          <cell r="G205">
            <v>-440.00000000000006</v>
          </cell>
          <cell r="H205">
            <v>-440.00000000000006</v>
          </cell>
          <cell r="I205">
            <v>-398.79310344827582</v>
          </cell>
          <cell r="J205">
            <v>-395.99999999999994</v>
          </cell>
          <cell r="K205">
            <v>-395.99999999999994</v>
          </cell>
          <cell r="L205">
            <v>-395.99999999999994</v>
          </cell>
          <cell r="M205">
            <v>-352</v>
          </cell>
          <cell r="N205">
            <v>-352</v>
          </cell>
          <cell r="O205">
            <v>0</v>
          </cell>
        </row>
        <row r="206">
          <cell r="D206">
            <v>-6147.8986620416063</v>
          </cell>
          <cell r="E206">
            <v>-4490.6931924153178</v>
          </cell>
          <cell r="F206">
            <v>-10186.550788682278</v>
          </cell>
          <cell r="G206">
            <v>-4425.2673008766951</v>
          </cell>
          <cell r="H206">
            <v>-4285.0658042044952</v>
          </cell>
          <cell r="I206">
            <v>-3081.1524789522732</v>
          </cell>
          <cell r="J206">
            <v>-4280.6217813160756</v>
          </cell>
          <cell r="K206">
            <v>-3641.7408906882433</v>
          </cell>
          <cell r="L206">
            <v>-4637.1575414827921</v>
          </cell>
          <cell r="M206">
            <v>-2128.911943003548</v>
          </cell>
          <cell r="N206">
            <v>-980.42543859646946</v>
          </cell>
          <cell r="O206">
            <v>0</v>
          </cell>
        </row>
        <row r="207">
          <cell r="D207">
            <v>-5069.0875507942492</v>
          </cell>
          <cell r="E207">
            <v>-4987.5662294476251</v>
          </cell>
          <cell r="F207">
            <v>-4095.991391280179</v>
          </cell>
          <cell r="G207">
            <v>-3628.6547122602005</v>
          </cell>
          <cell r="H207">
            <v>-3432.5711106990775</v>
          </cell>
          <cell r="I207">
            <v>-2848.0572834462714</v>
          </cell>
          <cell r="J207">
            <v>-2223.3921896792385</v>
          </cell>
          <cell r="K207">
            <v>-2104.4079241071295</v>
          </cell>
          <cell r="L207">
            <v>-1482.0707898658491</v>
          </cell>
          <cell r="M207">
            <v>-1053.1686713286711</v>
          </cell>
          <cell r="N207">
            <v>-429.19516294703851</v>
          </cell>
          <cell r="O207">
            <v>0</v>
          </cell>
        </row>
        <row r="208">
          <cell r="D208">
            <v>-70116.094368170292</v>
          </cell>
          <cell r="E208">
            <v>-70489.141736474863</v>
          </cell>
          <cell r="F208">
            <v>-73539.272328046689</v>
          </cell>
          <cell r="G208">
            <v>-64643.958359089622</v>
          </cell>
          <cell r="H208">
            <v>-24165.679550407207</v>
          </cell>
          <cell r="I208">
            <v>41861.267597285347</v>
          </cell>
          <cell r="J208">
            <v>-9635.6259061370747</v>
          </cell>
          <cell r="K208">
            <v>-15398.562271431443</v>
          </cell>
          <cell r="L208">
            <v>-8141.3492875517586</v>
          </cell>
          <cell r="M208">
            <v>-14568.06084351227</v>
          </cell>
          <cell r="N208">
            <v>-3692.2696329770229</v>
          </cell>
          <cell r="O208">
            <v>0</v>
          </cell>
        </row>
        <row r="209">
          <cell r="D209">
            <v>-82736.698188447175</v>
          </cell>
          <cell r="E209">
            <v>-160566.34028586783</v>
          </cell>
          <cell r="F209">
            <v>-69596.050087974087</v>
          </cell>
          <cell r="G209">
            <v>-60429.787912792606</v>
          </cell>
          <cell r="H209">
            <v>-130387.09741416255</v>
          </cell>
          <cell r="I209">
            <v>-56480.152218758616</v>
          </cell>
          <cell r="J209">
            <v>-61486.282665934203</v>
          </cell>
          <cell r="K209">
            <v>-92929.938048469761</v>
          </cell>
          <cell r="L209">
            <v>-38685.782538659907</v>
          </cell>
          <cell r="M209">
            <v>-131083.50879170437</v>
          </cell>
          <cell r="N209">
            <v>-28046.619525357892</v>
          </cell>
          <cell r="O209">
            <v>0</v>
          </cell>
        </row>
        <row r="210">
          <cell r="D210">
            <v>155.31798107251052</v>
          </cell>
          <cell r="E210">
            <v>155.22145110405629</v>
          </cell>
          <cell r="F210">
            <v>0</v>
          </cell>
          <cell r="G210">
            <v>621.21629302182225</v>
          </cell>
          <cell r="H210">
            <v>-6579.7492221531002</v>
          </cell>
          <cell r="I210">
            <v>776.06601389765831</v>
          </cell>
          <cell r="J210">
            <v>1553.3185700727149</v>
          </cell>
          <cell r="K210">
            <v>-772.45119647356216</v>
          </cell>
          <cell r="L210">
            <v>0</v>
          </cell>
          <cell r="M210">
            <v>-617.26236220471901</v>
          </cell>
          <cell r="N210">
            <v>463.97727272728594</v>
          </cell>
          <cell r="O210">
            <v>0</v>
          </cell>
        </row>
        <row r="211">
          <cell r="D211">
            <v>378.5638474295427</v>
          </cell>
          <cell r="E211">
            <v>378.5638474295427</v>
          </cell>
          <cell r="F211">
            <v>-753.26402640264939</v>
          </cell>
          <cell r="G211">
            <v>378.5638474295427</v>
          </cell>
          <cell r="H211">
            <v>378.5638474295427</v>
          </cell>
          <cell r="I211">
            <v>757.16611295679024</v>
          </cell>
          <cell r="J211">
            <v>0</v>
          </cell>
          <cell r="K211">
            <v>-5900.4129032257961</v>
          </cell>
          <cell r="L211">
            <v>0</v>
          </cell>
          <cell r="M211">
            <v>-377.31239669420347</v>
          </cell>
          <cell r="N211">
            <v>378.5638474295427</v>
          </cell>
          <cell r="O211">
            <v>0</v>
          </cell>
        </row>
        <row r="212">
          <cell r="D212">
            <v>129.99999999999943</v>
          </cell>
          <cell r="E212">
            <v>129.99999999999943</v>
          </cell>
          <cell r="F212">
            <v>129.99999999999943</v>
          </cell>
          <cell r="G212">
            <v>194.99999999999932</v>
          </cell>
          <cell r="H212">
            <v>65.00000000000118</v>
          </cell>
          <cell r="I212">
            <v>64.876146788992003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D213">
            <v>374.99999999999557</v>
          </cell>
          <cell r="E213">
            <v>-824.99999999999852</v>
          </cell>
          <cell r="F213">
            <v>-225.00000000000031</v>
          </cell>
          <cell r="G213">
            <v>-225.00000000000031</v>
          </cell>
          <cell r="H213">
            <v>-75.066856330011603</v>
          </cell>
          <cell r="I213">
            <v>-149.99999999999841</v>
          </cell>
          <cell r="J213">
            <v>-75.039829302984586</v>
          </cell>
          <cell r="K213">
            <v>-149.64204545454385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-609.0802139037437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-207.68306010928984</v>
          </cell>
          <cell r="N214">
            <v>0</v>
          </cell>
          <cell r="O214">
            <v>0</v>
          </cell>
        </row>
        <row r="215">
          <cell r="D215">
            <v>-930.3558994197233</v>
          </cell>
          <cell r="E215">
            <v>-774.99999999998863</v>
          </cell>
          <cell r="F215">
            <v>-929.40038684718945</v>
          </cell>
          <cell r="G215">
            <v>-929.99999999999409</v>
          </cell>
          <cell r="H215">
            <v>-620.46998063267313</v>
          </cell>
          <cell r="I215">
            <v>-465.00000000000085</v>
          </cell>
          <cell r="J215">
            <v>-1696.2339331619505</v>
          </cell>
          <cell r="K215">
            <v>-773.896774193537</v>
          </cell>
          <cell r="L215">
            <v>1704.7777053454772</v>
          </cell>
          <cell r="M215">
            <v>-2324.9999999999918</v>
          </cell>
          <cell r="N215">
            <v>-155.04851228978214</v>
          </cell>
          <cell r="O215">
            <v>0</v>
          </cell>
        </row>
        <row r="216">
          <cell r="D216">
            <v>-154.99999999999994</v>
          </cell>
          <cell r="E216">
            <v>-154.99999999999994</v>
          </cell>
          <cell r="F216">
            <v>-154.99999999999994</v>
          </cell>
          <cell r="G216">
            <v>-154.99999999999994</v>
          </cell>
          <cell r="H216">
            <v>-154.99999999999994</v>
          </cell>
          <cell r="I216">
            <v>-154.99999999999994</v>
          </cell>
          <cell r="J216">
            <v>-154.99999999999994</v>
          </cell>
          <cell r="K216">
            <v>-285.79310344827599</v>
          </cell>
          <cell r="L216">
            <v>0</v>
          </cell>
          <cell r="M216">
            <v>-149.46428571428564</v>
          </cell>
          <cell r="N216">
            <v>-540</v>
          </cell>
          <cell r="O216">
            <v>0</v>
          </cell>
        </row>
        <row r="217">
          <cell r="D217">
            <v>369.04342984409146</v>
          </cell>
          <cell r="E217">
            <v>-368.85333333331727</v>
          </cell>
          <cell r="F217">
            <v>-369.0388888888728</v>
          </cell>
          <cell r="G217">
            <v>-369.0388888888728</v>
          </cell>
          <cell r="H217">
            <v>-6519.5528898582234</v>
          </cell>
          <cell r="I217">
            <v>-369.0388888888728</v>
          </cell>
          <cell r="J217">
            <v>-369.0388888888728</v>
          </cell>
          <cell r="K217">
            <v>-369.0388888888728</v>
          </cell>
          <cell r="L217">
            <v>369.43763919821168</v>
          </cell>
          <cell r="M217">
            <v>369.04342984409146</v>
          </cell>
          <cell r="N217">
            <v>0</v>
          </cell>
          <cell r="O217">
            <v>0</v>
          </cell>
        </row>
        <row r="218">
          <cell r="D218">
            <v>-74.99999999999973</v>
          </cell>
          <cell r="E218">
            <v>-74.99999999999973</v>
          </cell>
          <cell r="F218">
            <v>-74.99999999999973</v>
          </cell>
          <cell r="G218">
            <v>-74.908934707903512</v>
          </cell>
          <cell r="H218">
            <v>-74.99999999999973</v>
          </cell>
          <cell r="I218">
            <v>-74.99999999999973</v>
          </cell>
          <cell r="J218">
            <v>75.144827586204627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</row>
        <row r="219"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</row>
        <row r="220">
          <cell r="D220">
            <v>0</v>
          </cell>
          <cell r="E220">
            <v>0</v>
          </cell>
          <cell r="F220">
            <v>0</v>
          </cell>
          <cell r="G220">
            <v>130.00000000000026</v>
          </cell>
          <cell r="H220">
            <v>-129.9999999999998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</row>
        <row r="221">
          <cell r="D221">
            <v>6350.7222222222226</v>
          </cell>
          <cell r="E221">
            <v>6160.4890829694323</v>
          </cell>
          <cell r="F221">
            <v>5870.8125</v>
          </cell>
          <cell r="G221">
            <v>7172.04</v>
          </cell>
          <cell r="H221">
            <v>3015.6331877729253</v>
          </cell>
          <cell r="I221">
            <v>3907.1290322580635</v>
          </cell>
          <cell r="J221">
            <v>2058.9182058047504</v>
          </cell>
          <cell r="K221">
            <v>1804.9226804123718</v>
          </cell>
          <cell r="L221">
            <v>1538.2226415094335</v>
          </cell>
          <cell r="M221">
            <v>1180.8891595615094</v>
          </cell>
          <cell r="N221">
            <v>501.06206896551822</v>
          </cell>
          <cell r="O221">
            <v>0</v>
          </cell>
        </row>
        <row r="222">
          <cell r="D222">
            <v>49532.894951140057</v>
          </cell>
          <cell r="E222">
            <v>47626.320290858712</v>
          </cell>
          <cell r="F222">
            <v>46481.016197587611</v>
          </cell>
          <cell r="G222">
            <v>49810.927715050624</v>
          </cell>
          <cell r="H222">
            <v>9843.9893681043413</v>
          </cell>
          <cell r="I222">
            <v>12808.527057154435</v>
          </cell>
          <cell r="J222">
            <v>10210.413336011245</v>
          </cell>
          <cell r="K222">
            <v>8792.2742080543885</v>
          </cell>
          <cell r="L222">
            <v>5869.0256232686907</v>
          </cell>
          <cell r="M222">
            <v>3388.638610947613</v>
          </cell>
          <cell r="N222">
            <v>1504.8573935081154</v>
          </cell>
          <cell r="O222">
            <v>0</v>
          </cell>
        </row>
        <row r="223">
          <cell r="D223">
            <v>54890.647927009239</v>
          </cell>
          <cell r="E223">
            <v>50069.348194205595</v>
          </cell>
          <cell r="F223">
            <v>45977.502615062738</v>
          </cell>
          <cell r="G223">
            <v>64129.925558312629</v>
          </cell>
          <cell r="H223">
            <v>15089.906272530661</v>
          </cell>
          <cell r="I223">
            <v>33235.887963663874</v>
          </cell>
          <cell r="J223">
            <v>28563.123038605212</v>
          </cell>
          <cell r="K223">
            <v>24455.331855136697</v>
          </cell>
          <cell r="L223">
            <v>13438.903411131043</v>
          </cell>
          <cell r="M223">
            <v>10032.63073639271</v>
          </cell>
          <cell r="N223">
            <v>3062.8404193360334</v>
          </cell>
          <cell r="O223">
            <v>0</v>
          </cell>
        </row>
        <row r="224">
          <cell r="D224">
            <v>18142.614920874152</v>
          </cell>
          <cell r="E224">
            <v>17711.858320839572</v>
          </cell>
          <cell r="F224">
            <v>16785.599554234774</v>
          </cell>
          <cell r="G224">
            <v>18306.531674208145</v>
          </cell>
          <cell r="H224">
            <v>8850.4253269098372</v>
          </cell>
          <cell r="I224">
            <v>11339.256861365231</v>
          </cell>
          <cell r="J224">
            <v>-265.35104364326696</v>
          </cell>
          <cell r="K224">
            <v>6993.110135135129</v>
          </cell>
          <cell r="L224">
            <v>2982.4830729166583</v>
          </cell>
          <cell r="M224">
            <v>2329.9728155339781</v>
          </cell>
          <cell r="N224">
            <v>-6584.5848267622468</v>
          </cell>
          <cell r="O224">
            <v>0</v>
          </cell>
        </row>
        <row r="225">
          <cell r="D225">
            <v>3679.9999999999995</v>
          </cell>
          <cell r="E225">
            <v>2355.8343195266275</v>
          </cell>
          <cell r="F225">
            <v>2392</v>
          </cell>
          <cell r="G225">
            <v>2161.1034482758628</v>
          </cell>
          <cell r="H225">
            <v>1522.0158730158735</v>
          </cell>
          <cell r="I225">
            <v>1724.4565217391307</v>
          </cell>
          <cell r="J225">
            <v>625.2211538461537</v>
          </cell>
          <cell r="K225">
            <v>681.66666666666765</v>
          </cell>
          <cell r="L225">
            <v>457.68867924528399</v>
          </cell>
          <cell r="M225">
            <v>412.52112676056282</v>
          </cell>
          <cell r="N225">
            <v>179.6330275229347</v>
          </cell>
          <cell r="O225">
            <v>0</v>
          </cell>
        </row>
        <row r="226"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81.999999999999986</v>
          </cell>
          <cell r="M226">
            <v>0</v>
          </cell>
          <cell r="N226">
            <v>0</v>
          </cell>
          <cell r="O226">
            <v>0</v>
          </cell>
        </row>
        <row r="227">
          <cell r="D227">
            <v>-798.00000000000045</v>
          </cell>
          <cell r="E227">
            <v>-798.00000000000045</v>
          </cell>
          <cell r="F227">
            <v>-798.00000000000045</v>
          </cell>
          <cell r="G227">
            <v>-798.00000000000045</v>
          </cell>
          <cell r="H227">
            <v>-798.00000000000045</v>
          </cell>
          <cell r="I227">
            <v>-798.00000000000045</v>
          </cell>
          <cell r="J227">
            <v>-798.00000000000045</v>
          </cell>
          <cell r="K227">
            <v>-684.40239520958301</v>
          </cell>
          <cell r="L227">
            <v>-343.13630880579041</v>
          </cell>
          <cell r="M227">
            <v>287.05990220049165</v>
          </cell>
          <cell r="N227">
            <v>0</v>
          </cell>
          <cell r="O227">
            <v>0</v>
          </cell>
        </row>
        <row r="228"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</row>
        <row r="229"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</row>
        <row r="231"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</row>
        <row r="232"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89.285714285714306</v>
          </cell>
          <cell r="L232">
            <v>226.18181818181819</v>
          </cell>
          <cell r="M232">
            <v>22.555555555555564</v>
          </cell>
          <cell r="N232">
            <v>0</v>
          </cell>
          <cell r="O232">
            <v>0</v>
          </cell>
        </row>
        <row r="233"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</row>
        <row r="234"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</row>
        <row r="236"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</row>
        <row r="237"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</row>
        <row r="238"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</row>
        <row r="249">
          <cell r="D249">
            <v>17093363.053347826</v>
          </cell>
          <cell r="E249">
            <v>15559308.381788373</v>
          </cell>
          <cell r="F249">
            <v>-47746941.953122258</v>
          </cell>
          <cell r="G249">
            <v>-27720639.702417135</v>
          </cell>
          <cell r="H249">
            <v>26625865.126036882</v>
          </cell>
          <cell r="I249">
            <v>-14202950.396626472</v>
          </cell>
          <cell r="J249">
            <v>-37712669.512194872</v>
          </cell>
          <cell r="K249">
            <v>39192373.022944689</v>
          </cell>
          <cell r="L249">
            <v>25772545.608623981</v>
          </cell>
          <cell r="M249">
            <v>-108881406.72978665</v>
          </cell>
          <cell r="N249">
            <v>-99868053.533572912</v>
          </cell>
          <cell r="O249">
            <v>-99915100.867173195</v>
          </cell>
        </row>
        <row r="250">
          <cell r="D250">
            <v>95784.946652114391</v>
          </cell>
          <cell r="E250">
            <v>71337.618211627472</v>
          </cell>
          <cell r="F250">
            <v>-200431.0468777041</v>
          </cell>
          <cell r="G250">
            <v>-199211.29758284893</v>
          </cell>
          <cell r="H250">
            <v>107322.87396315344</v>
          </cell>
          <cell r="I250">
            <v>-128403.60337349074</v>
          </cell>
          <cell r="J250">
            <v>-193280.48780510668</v>
          </cell>
          <cell r="K250">
            <v>209346.97705527348</v>
          </cell>
          <cell r="L250">
            <v>86460.391376153566</v>
          </cell>
          <cell r="M250">
            <v>-445525.27021337673</v>
          </cell>
          <cell r="N250">
            <v>-333172.46642706357</v>
          </cell>
          <cell r="O250">
            <v>-337301.13282682374</v>
          </cell>
        </row>
        <row r="251">
          <cell r="D251">
            <v>0</v>
          </cell>
          <cell r="E251">
            <v>2664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</row>
        <row r="252"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</row>
        <row r="253"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</row>
        <row r="254"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</row>
        <row r="255">
          <cell r="D255">
            <v>850.91593259864021</v>
          </cell>
          <cell r="E255">
            <v>1069.2908964212984</v>
          </cell>
          <cell r="F255">
            <v>-758.14376756153069</v>
          </cell>
          <cell r="G255">
            <v>-879.50153854792006</v>
          </cell>
          <cell r="H255">
            <v>-82.804703001515009</v>
          </cell>
          <cell r="I255">
            <v>-3230.5117585852277</v>
          </cell>
          <cell r="J255">
            <v>-1410.8687895194162</v>
          </cell>
          <cell r="K255">
            <v>1750.4956837994978</v>
          </cell>
          <cell r="L255">
            <v>675.710787541233</v>
          </cell>
          <cell r="M255">
            <v>-3526.435103765456</v>
          </cell>
          <cell r="N255">
            <v>-2534.7578376252204</v>
          </cell>
          <cell r="O255">
            <v>-2747.0454264464788</v>
          </cell>
        </row>
        <row r="256">
          <cell r="D256">
            <v>2013.2458132261527</v>
          </cell>
          <cell r="E256">
            <v>2551.445061521983</v>
          </cell>
          <cell r="F256">
            <v>-1928.0111292290967</v>
          </cell>
          <cell r="G256">
            <v>-2326.533675118204</v>
          </cell>
          <cell r="H256">
            <v>-219.9159097804222</v>
          </cell>
          <cell r="I256">
            <v>-8855.5280234423117</v>
          </cell>
          <cell r="J256">
            <v>-3678.8699472071312</v>
          </cell>
          <cell r="K256">
            <v>4738.3323188986396</v>
          </cell>
          <cell r="L256">
            <v>1726.60291048052</v>
          </cell>
          <cell r="M256">
            <v>-7830.0612915699321</v>
          </cell>
          <cell r="N256">
            <v>-6017.753762956826</v>
          </cell>
          <cell r="O256">
            <v>-5608.2071880268632</v>
          </cell>
        </row>
        <row r="257">
          <cell r="D257">
            <v>391456.31055419147</v>
          </cell>
          <cell r="E257">
            <v>553975.28637132049</v>
          </cell>
          <cell r="F257">
            <v>-463223.6284507736</v>
          </cell>
          <cell r="G257">
            <v>-203808.51538078487</v>
          </cell>
          <cell r="H257">
            <v>30578.434086821973</v>
          </cell>
          <cell r="I257">
            <v>-1438185.6468150541</v>
          </cell>
          <cell r="J257">
            <v>-664077.69767421484</v>
          </cell>
          <cell r="K257">
            <v>820365.75053521234</v>
          </cell>
          <cell r="L257">
            <v>700568.40804666281</v>
          </cell>
          <cell r="M257">
            <v>-2811401.8836711422</v>
          </cell>
          <cell r="N257">
            <v>-2840413.7320241258</v>
          </cell>
          <cell r="O257">
            <v>-2807280.9409610331</v>
          </cell>
        </row>
        <row r="258">
          <cell r="D258">
            <v>307.99999999999994</v>
          </cell>
          <cell r="E258">
            <v>306</v>
          </cell>
          <cell r="F258">
            <v>278</v>
          </cell>
          <cell r="G258">
            <v>242.00000000000003</v>
          </cell>
          <cell r="H258">
            <v>280</v>
          </cell>
          <cell r="I258">
            <v>419</v>
          </cell>
          <cell r="J258">
            <v>234</v>
          </cell>
          <cell r="K258">
            <v>177</v>
          </cell>
          <cell r="L258">
            <v>195</v>
          </cell>
          <cell r="M258">
            <v>107</v>
          </cell>
          <cell r="N258">
            <v>158</v>
          </cell>
          <cell r="O258">
            <v>258</v>
          </cell>
        </row>
        <row r="259"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</row>
        <row r="260">
          <cell r="D260">
            <v>131124.8133423645</v>
          </cell>
          <cell r="E260">
            <v>161769.54264644347</v>
          </cell>
          <cell r="F260">
            <v>-111404.12630212121</v>
          </cell>
          <cell r="G260">
            <v>-132754.72104936652</v>
          </cell>
          <cell r="H260">
            <v>-12592.524746896699</v>
          </cell>
          <cell r="I260">
            <v>-560704.17465619743</v>
          </cell>
          <cell r="J260">
            <v>-228330.66634276509</v>
          </cell>
          <cell r="K260">
            <v>274034.75659249723</v>
          </cell>
          <cell r="L260">
            <v>112340.70702708513</v>
          </cell>
          <cell r="M260">
            <v>-540070.9063696526</v>
          </cell>
          <cell r="N260">
            <v>-419464.71489579038</v>
          </cell>
          <cell r="O260">
            <v>-408076.40379187092</v>
          </cell>
        </row>
        <row r="261">
          <cell r="D261">
            <v>79</v>
          </cell>
          <cell r="E261">
            <v>79</v>
          </cell>
          <cell r="F261">
            <v>106</v>
          </cell>
          <cell r="G261">
            <v>106</v>
          </cell>
          <cell r="H261">
            <v>53</v>
          </cell>
          <cell r="I261">
            <v>105.99999999999999</v>
          </cell>
          <cell r="J261">
            <v>79</v>
          </cell>
          <cell r="K261">
            <v>79</v>
          </cell>
          <cell r="L261">
            <v>106</v>
          </cell>
          <cell r="M261">
            <v>79</v>
          </cell>
          <cell r="N261">
            <v>79</v>
          </cell>
          <cell r="O261">
            <v>79</v>
          </cell>
        </row>
        <row r="262"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</row>
        <row r="263">
          <cell r="D263">
            <v>-341263.2156175226</v>
          </cell>
          <cell r="E263">
            <v>872424.34498071671</v>
          </cell>
          <cell r="F263">
            <v>-1132309.9473206848</v>
          </cell>
          <cell r="G263">
            <v>1549199.6956035495</v>
          </cell>
          <cell r="H263">
            <v>595846.47598709166</v>
          </cell>
          <cell r="I263">
            <v>1078400.3266480714</v>
          </cell>
          <cell r="J263">
            <v>-225200.47683387992</v>
          </cell>
          <cell r="K263">
            <v>-288849.15638293326</v>
          </cell>
          <cell r="L263">
            <v>3592728.6397380531</v>
          </cell>
          <cell r="M263">
            <v>-8302873.2757107913</v>
          </cell>
          <cell r="N263">
            <v>-12183462.45498243</v>
          </cell>
          <cell r="O263">
            <v>-13128193.840600789</v>
          </cell>
        </row>
        <row r="264">
          <cell r="D264">
            <v>69696</v>
          </cell>
          <cell r="E264">
            <v>64838</v>
          </cell>
          <cell r="F264">
            <v>62740</v>
          </cell>
          <cell r="G264">
            <v>59097</v>
          </cell>
          <cell r="H264">
            <v>69208</v>
          </cell>
          <cell r="I264">
            <v>57221</v>
          </cell>
          <cell r="J264">
            <v>73180</v>
          </cell>
          <cell r="K264">
            <v>59901.999999999993</v>
          </cell>
          <cell r="L264">
            <v>65367</v>
          </cell>
          <cell r="M264">
            <v>45790</v>
          </cell>
          <cell r="N264">
            <v>61790</v>
          </cell>
          <cell r="O264">
            <v>62515</v>
          </cell>
        </row>
        <row r="265">
          <cell r="D265">
            <v>-951.02817450184375</v>
          </cell>
          <cell r="E265">
            <v>11734.117897384334</v>
          </cell>
          <cell r="F265">
            <v>-1603.6193452491425</v>
          </cell>
          <cell r="G265">
            <v>8299.3283948409371</v>
          </cell>
          <cell r="H265">
            <v>7817.5455749598332</v>
          </cell>
          <cell r="I265">
            <v>30208.71734470129</v>
          </cell>
          <cell r="J265">
            <v>-1313.4256112333389</v>
          </cell>
          <cell r="K265">
            <v>-5486.5052898079157</v>
          </cell>
          <cell r="L265">
            <v>46763.130746433511</v>
          </cell>
          <cell r="M265">
            <v>-156903.12335447688</v>
          </cell>
          <cell r="N265">
            <v>-274965.15048673376</v>
          </cell>
          <cell r="O265">
            <v>-260073.05420682672</v>
          </cell>
        </row>
        <row r="266">
          <cell r="D266">
            <v>3564</v>
          </cell>
          <cell r="E266">
            <v>4805</v>
          </cell>
          <cell r="F266">
            <v>3682.9999999999995</v>
          </cell>
          <cell r="G266">
            <v>4792</v>
          </cell>
          <cell r="H266">
            <v>6455</v>
          </cell>
          <cell r="I266">
            <v>11920</v>
          </cell>
          <cell r="J266">
            <v>7550</v>
          </cell>
          <cell r="K266">
            <v>4620</v>
          </cell>
          <cell r="L266">
            <v>6165</v>
          </cell>
          <cell r="M266">
            <v>13319</v>
          </cell>
          <cell r="N266">
            <v>8421</v>
          </cell>
          <cell r="O266">
            <v>7036</v>
          </cell>
        </row>
        <row r="267">
          <cell r="D267">
            <v>31000.271362509578</v>
          </cell>
          <cell r="E267">
            <v>46161.732355609536</v>
          </cell>
          <cell r="F267">
            <v>-119421.46672442928</v>
          </cell>
          <cell r="G267">
            <v>-134194.54042805359</v>
          </cell>
          <cell r="H267">
            <v>-54882.844958625734</v>
          </cell>
          <cell r="I267">
            <v>-515031.1143848002</v>
          </cell>
          <cell r="J267">
            <v>-275766.07478173822</v>
          </cell>
          <cell r="K267">
            <v>284859.3520847708</v>
          </cell>
          <cell r="L267">
            <v>42884.143043927848</v>
          </cell>
          <cell r="M267">
            <v>-564685.73354717344</v>
          </cell>
          <cell r="N267">
            <v>-447864.71281839907</v>
          </cell>
          <cell r="O267">
            <v>-417713.56098528579</v>
          </cell>
        </row>
        <row r="268">
          <cell r="D268">
            <v>684408.3173199892</v>
          </cell>
          <cell r="E268">
            <v>1128904.7721703649</v>
          </cell>
          <cell r="F268">
            <v>-1756004.4098032711</v>
          </cell>
          <cell r="G268">
            <v>-1766965.2520509958</v>
          </cell>
          <cell r="H268">
            <v>-331040.35597252846</v>
          </cell>
          <cell r="I268">
            <v>-5769512.3051108113</v>
          </cell>
          <cell r="J268">
            <v>-2846255.3738645315</v>
          </cell>
          <cell r="K268">
            <v>2324086.9940875173</v>
          </cell>
          <cell r="L268">
            <v>1180175.8007369041</v>
          </cell>
          <cell r="M268">
            <v>-7729439.1490775347</v>
          </cell>
          <cell r="N268">
            <v>-7340301.14324224</v>
          </cell>
          <cell r="O268">
            <v>-7040159.0329800835</v>
          </cell>
        </row>
        <row r="269"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D270">
            <v>20563.153693311149</v>
          </cell>
          <cell r="E270">
            <v>17030.561239770148</v>
          </cell>
          <cell r="F270">
            <v>-7037.7523122739512</v>
          </cell>
          <cell r="G270">
            <v>-7500.1644900655383</v>
          </cell>
          <cell r="H270">
            <v>-996.97375029011152</v>
          </cell>
          <cell r="I270">
            <v>-64543.210545007372</v>
          </cell>
          <cell r="J270">
            <v>-15436.233787188423</v>
          </cell>
          <cell r="K270">
            <v>18827.415436726995</v>
          </cell>
          <cell r="L270">
            <v>12582.728770766407</v>
          </cell>
          <cell r="M270">
            <v>-106858.53245073883</v>
          </cell>
          <cell r="N270">
            <v>-67986.457653962541</v>
          </cell>
          <cell r="O270">
            <v>-87327.217623264994</v>
          </cell>
        </row>
        <row r="271"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D273">
            <v>-7968</v>
          </cell>
          <cell r="E273">
            <v>-7698</v>
          </cell>
          <cell r="F273">
            <v>-7492</v>
          </cell>
          <cell r="G273">
            <v>-824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</row>
        <row r="276"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</row>
        <row r="277"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</row>
        <row r="278">
          <cell r="D278">
            <v>1209616.8809054643</v>
          </cell>
          <cell r="E278">
            <v>1260449.1907147914</v>
          </cell>
          <cell r="F278">
            <v>-850640.18430985522</v>
          </cell>
          <cell r="G278">
            <v>-989640.2567616849</v>
          </cell>
          <cell r="H278">
            <v>-98291.633919239044</v>
          </cell>
          <cell r="I278">
            <v>-4321398.3732661903</v>
          </cell>
          <cell r="J278">
            <v>-1782254.5615248978</v>
          </cell>
          <cell r="K278">
            <v>2363993.3268866837</v>
          </cell>
          <cell r="L278">
            <v>1012421.8961296678</v>
          </cell>
          <cell r="M278">
            <v>-5614689.2294013053</v>
          </cell>
          <cell r="N278">
            <v>-4405626.5935894847</v>
          </cell>
          <cell r="O278">
            <v>-4295850.2715408653</v>
          </cell>
        </row>
        <row r="279">
          <cell r="D279">
            <v>39079.931473387405</v>
          </cell>
          <cell r="E279">
            <v>44040.655843844172</v>
          </cell>
          <cell r="F279">
            <v>-27034.369523350149</v>
          </cell>
          <cell r="G279">
            <v>-31647.775209490679</v>
          </cell>
          <cell r="H279">
            <v>-2291.0580922029912</v>
          </cell>
          <cell r="I279">
            <v>-152754.77609549649</v>
          </cell>
          <cell r="J279">
            <v>-62088.045682295218</v>
          </cell>
          <cell r="K279">
            <v>85375.430527545046</v>
          </cell>
          <cell r="L279">
            <v>32122.007924659178</v>
          </cell>
          <cell r="M279">
            <v>-152689.22642441699</v>
          </cell>
          <cell r="N279">
            <v>-123203.76978446402</v>
          </cell>
          <cell r="O279">
            <v>-133438.76639646757</v>
          </cell>
        </row>
        <row r="280">
          <cell r="D280">
            <v>4818528.111342907</v>
          </cell>
          <cell r="E280">
            <v>5246747.7082329392</v>
          </cell>
          <cell r="F280">
            <v>-3529566.2482950087</v>
          </cell>
          <cell r="G280">
            <v>-4161671.8565701842</v>
          </cell>
          <cell r="H280">
            <v>-388291.9648617506</v>
          </cell>
          <cell r="I280">
            <v>-18131090.675427914</v>
          </cell>
          <cell r="J280">
            <v>-7638919.1111812601</v>
          </cell>
          <cell r="K280">
            <v>10018595.478257358</v>
          </cell>
          <cell r="L280">
            <v>4147036.5833836198</v>
          </cell>
          <cell r="M280">
            <v>-22147238.460780919</v>
          </cell>
          <cell r="N280">
            <v>-17078116.749875247</v>
          </cell>
          <cell r="O280">
            <v>-16673344.367567539</v>
          </cell>
        </row>
        <row r="281">
          <cell r="D281">
            <v>853743.29205209017</v>
          </cell>
          <cell r="E281">
            <v>956829.35158893466</v>
          </cell>
          <cell r="F281">
            <v>-493818.09271617979</v>
          </cell>
          <cell r="G281">
            <v>-588298.90684413165</v>
          </cell>
          <cell r="H281">
            <v>25323.621265426278</v>
          </cell>
          <cell r="I281">
            <v>-2876924.7279092595</v>
          </cell>
          <cell r="J281">
            <v>-1184333.5939793363</v>
          </cell>
          <cell r="K281">
            <v>1736512.3292617798</v>
          </cell>
          <cell r="L281">
            <v>743587.64075425267</v>
          </cell>
          <cell r="M281">
            <v>-3173038.9828165025</v>
          </cell>
          <cell r="N281">
            <v>-2449634.0090465099</v>
          </cell>
          <cell r="O281">
            <v>-2424821.2907314152</v>
          </cell>
        </row>
        <row r="282">
          <cell r="D282">
            <v>-9720</v>
          </cell>
          <cell r="E282">
            <v>-7872.0000000000009</v>
          </cell>
          <cell r="F282">
            <v>-5616</v>
          </cell>
          <cell r="G282">
            <v>-8040</v>
          </cell>
          <cell r="H282">
            <v>-5544</v>
          </cell>
          <cell r="I282">
            <v>-12096</v>
          </cell>
          <cell r="J282">
            <v>-10920</v>
          </cell>
          <cell r="K282">
            <v>-14952</v>
          </cell>
          <cell r="L282">
            <v>-15336</v>
          </cell>
          <cell r="M282">
            <v>-15912</v>
          </cell>
          <cell r="N282">
            <v>-17304</v>
          </cell>
          <cell r="O282">
            <v>-16488</v>
          </cell>
        </row>
        <row r="283"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</row>
        <row r="284">
          <cell r="D284">
            <v>-85660</v>
          </cell>
          <cell r="E284">
            <v>-89920</v>
          </cell>
          <cell r="F284">
            <v>-92550</v>
          </cell>
          <cell r="G284">
            <v>-97150</v>
          </cell>
          <cell r="H284">
            <v>-61589.999999999993</v>
          </cell>
          <cell r="I284">
            <v>-88090</v>
          </cell>
          <cell r="J284">
            <v>-112080</v>
          </cell>
          <cell r="K284">
            <v>-91540</v>
          </cell>
          <cell r="L284">
            <v>-105750.00000000001</v>
          </cell>
          <cell r="M284">
            <v>-102800</v>
          </cell>
          <cell r="N284">
            <v>-109030</v>
          </cell>
          <cell r="O284">
            <v>-106970</v>
          </cell>
        </row>
        <row r="285"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</row>
        <row r="286"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</row>
        <row r="287"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</row>
        <row r="288"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</row>
        <row r="289"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</row>
        <row r="291"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</row>
        <row r="292"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</row>
        <row r="294"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</row>
        <row r="295"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</row>
        <row r="296"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</row>
        <row r="297"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</row>
        <row r="298"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</row>
        <row r="299"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39</v>
          </cell>
          <cell r="N299">
            <v>0</v>
          </cell>
          <cell r="O299">
            <v>0</v>
          </cell>
        </row>
        <row r="300"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</row>
        <row r="301"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</row>
        <row r="302"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</row>
        <row r="306"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</row>
        <row r="307"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</row>
        <row r="308"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</row>
        <row r="309"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</row>
        <row r="310"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</row>
        <row r="311"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</row>
        <row r="312"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</row>
        <row r="313"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</row>
        <row r="314"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</row>
        <row r="315"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</row>
        <row r="316"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7"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</row>
        <row r="318"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</row>
        <row r="319"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</row>
        <row r="321"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</row>
        <row r="322"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</row>
        <row r="323"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</row>
        <row r="324"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</row>
        <row r="325"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</row>
        <row r="326"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</row>
        <row r="327"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</row>
        <row r="330"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</row>
        <row r="331"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</row>
        <row r="332"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</row>
        <row r="334"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</row>
        <row r="336"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</row>
        <row r="338"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</row>
        <row r="340"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</row>
        <row r="341"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</row>
        <row r="342"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</row>
        <row r="343"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</row>
        <row r="344"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</row>
        <row r="345"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</row>
        <row r="346"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</row>
        <row r="347"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</row>
        <row r="348"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</row>
        <row r="349"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</row>
        <row r="350"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</row>
        <row r="351"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</row>
        <row r="352"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</row>
        <row r="353"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</row>
        <row r="354"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</row>
        <row r="355"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</row>
        <row r="357"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</row>
        <row r="369"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</row>
        <row r="370"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</row>
        <row r="371"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</row>
        <row r="372"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</row>
        <row r="373"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</row>
        <row r="374"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</row>
        <row r="375"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</row>
        <row r="376"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</row>
        <row r="377"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</row>
        <row r="378"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</row>
        <row r="379"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</row>
        <row r="380"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</row>
        <row r="381"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</row>
        <row r="382"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</row>
        <row r="383"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</row>
        <row r="384"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</row>
        <row r="385"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</row>
        <row r="386"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</row>
        <row r="387"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</row>
        <row r="388"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</row>
        <row r="389"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</row>
        <row r="390"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</row>
        <row r="391"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</row>
        <row r="392"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</row>
        <row r="393"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</row>
        <row r="394"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</row>
        <row r="395"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</row>
        <row r="396"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</row>
        <row r="397"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</row>
        <row r="398"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</row>
        <row r="399"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</row>
        <row r="400"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</row>
        <row r="401"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</row>
        <row r="402"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</row>
        <row r="403"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</row>
        <row r="404"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</row>
        <row r="405"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</row>
        <row r="406"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</row>
        <row r="407"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</row>
        <row r="408"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</row>
        <row r="409"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</row>
        <row r="410"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</row>
        <row r="411"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</row>
        <row r="412"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</row>
        <row r="413"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</row>
        <row r="414"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</row>
        <row r="415"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</row>
        <row r="416"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</row>
        <row r="417"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</row>
        <row r="418"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</row>
        <row r="419"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</row>
        <row r="420"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</row>
        <row r="421"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</row>
        <row r="422"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</row>
        <row r="423"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</row>
        <row r="424"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</row>
        <row r="425"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</row>
        <row r="426"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</row>
        <row r="427"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</row>
        <row r="428"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</row>
        <row r="429"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</row>
        <row r="430"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</row>
        <row r="431"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</row>
        <row r="432"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</row>
        <row r="433"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</row>
        <row r="434"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</row>
        <row r="435"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</row>
        <row r="436"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</row>
        <row r="437"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</row>
        <row r="438"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</row>
        <row r="439"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</row>
        <row r="440"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</row>
        <row r="441"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</row>
        <row r="442"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</row>
        <row r="443"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</row>
        <row r="444"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</row>
        <row r="445"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</row>
        <row r="446"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</row>
        <row r="447"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</row>
        <row r="448"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</row>
        <row r="449"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</row>
        <row r="450"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</row>
        <row r="451"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</row>
        <row r="452"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</row>
        <row r="453"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</row>
        <row r="454"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</row>
        <row r="455"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</row>
        <row r="456"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</row>
        <row r="457"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</row>
        <row r="458"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</row>
        <row r="459"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</row>
        <row r="460"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</row>
        <row r="461"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</row>
        <row r="462"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</row>
        <row r="463"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</row>
        <row r="464"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</row>
        <row r="465"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</row>
        <row r="467"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</row>
        <row r="469"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</row>
        <row r="470"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</row>
        <row r="471"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</row>
        <row r="472"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</row>
        <row r="473"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</row>
        <row r="474"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</row>
        <row r="475"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</row>
        <row r="476"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</row>
        <row r="477"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</row>
        <row r="478"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49">
          <cell r="C49">
            <v>520413.65446001949</v>
          </cell>
          <cell r="D49">
            <v>390639.8589969789</v>
          </cell>
          <cell r="E49">
            <v>416608.80767688277</v>
          </cell>
          <cell r="F49">
            <v>410525.98586132913</v>
          </cell>
          <cell r="G49">
            <v>336894.68122091918</v>
          </cell>
          <cell r="H49">
            <v>285264.2840020858</v>
          </cell>
          <cell r="I49">
            <v>233308.58563989116</v>
          </cell>
          <cell r="J49">
            <v>143497.64554290799</v>
          </cell>
          <cell r="K49">
            <v>104202.69067831626</v>
          </cell>
          <cell r="L49">
            <v>12657.727811669069</v>
          </cell>
          <cell r="M49">
            <v>-26690.175393111047</v>
          </cell>
          <cell r="N49">
            <v>0</v>
          </cell>
        </row>
        <row r="50">
          <cell r="C50">
            <v>1717.2153704151156</v>
          </cell>
          <cell r="D50">
            <v>-1963.578344418419</v>
          </cell>
          <cell r="E50">
            <v>818.2188002711307</v>
          </cell>
          <cell r="F50">
            <v>18312.557171501856</v>
          </cell>
          <cell r="G50">
            <v>24491.582715029497</v>
          </cell>
          <cell r="H50">
            <v>21758.178114263348</v>
          </cell>
          <cell r="I50">
            <v>12746.702951862997</v>
          </cell>
          <cell r="J50">
            <v>3974.7534389459406</v>
          </cell>
          <cell r="K50">
            <v>2196.4951000918827</v>
          </cell>
          <cell r="L50">
            <v>1899.7870132185305</v>
          </cell>
          <cell r="M50">
            <v>-1871.6149851853604</v>
          </cell>
          <cell r="N50">
            <v>0</v>
          </cell>
        </row>
        <row r="51">
          <cell r="C51">
            <v>234693.23501892222</v>
          </cell>
          <cell r="D51">
            <v>259565.89803632753</v>
          </cell>
          <cell r="E51">
            <v>245106.01607743106</v>
          </cell>
          <cell r="F51">
            <v>53200.153797704712</v>
          </cell>
          <cell r="G51">
            <v>-34484.224276385721</v>
          </cell>
          <cell r="H51">
            <v>-39819.100084257167</v>
          </cell>
          <cell r="I51">
            <v>55187.570600013605</v>
          </cell>
          <cell r="J51">
            <v>44207.453256467736</v>
          </cell>
          <cell r="K51">
            <v>27596.00280914679</v>
          </cell>
          <cell r="L51">
            <v>15203.14055119055</v>
          </cell>
          <cell r="M51">
            <v>-21035.039502084262</v>
          </cell>
          <cell r="N51">
            <v>0</v>
          </cell>
        </row>
        <row r="52">
          <cell r="C52">
            <v>54400.360934938908</v>
          </cell>
          <cell r="D52">
            <v>29076.243560050352</v>
          </cell>
          <cell r="E52">
            <v>28385.14818191385</v>
          </cell>
          <cell r="F52">
            <v>31683.251222871873</v>
          </cell>
          <cell r="G52">
            <v>24237.662890997784</v>
          </cell>
          <cell r="H52">
            <v>15291.358454895239</v>
          </cell>
          <cell r="I52">
            <v>10081.541327456547</v>
          </cell>
          <cell r="J52">
            <v>402.12613247989384</v>
          </cell>
          <cell r="K52">
            <v>-6605.214249610427</v>
          </cell>
          <cell r="L52">
            <v>-5290.5023272727667</v>
          </cell>
          <cell r="M52">
            <v>-15878.239072565862</v>
          </cell>
          <cell r="N52">
            <v>0</v>
          </cell>
        </row>
        <row r="53">
          <cell r="C53">
            <v>-676.6899027115328</v>
          </cell>
          <cell r="D53">
            <v>-771.33924142712931</v>
          </cell>
          <cell r="E53">
            <v>-694.544534801238</v>
          </cell>
          <cell r="F53">
            <v>-646.76337533130913</v>
          </cell>
          <cell r="G53">
            <v>-223.8386094771281</v>
          </cell>
          <cell r="H53">
            <v>962.26840882352599</v>
          </cell>
          <cell r="I53">
            <v>0</v>
          </cell>
          <cell r="J53">
            <v>-999.74296350366376</v>
          </cell>
          <cell r="K53">
            <v>-1421.4624786885263</v>
          </cell>
          <cell r="L53">
            <v>-1517.7984349726792</v>
          </cell>
          <cell r="M53">
            <v>479.03873614677451</v>
          </cell>
          <cell r="N53">
            <v>0</v>
          </cell>
        </row>
        <row r="54">
          <cell r="C54">
            <v>52666.695490124286</v>
          </cell>
          <cell r="D54">
            <v>-3041.632450672299</v>
          </cell>
          <cell r="E54">
            <v>-33501.601121285246</v>
          </cell>
          <cell r="F54">
            <v>-12069.309105317237</v>
          </cell>
          <cell r="G54">
            <v>-53462.14374629478</v>
          </cell>
          <cell r="H54">
            <v>-24216.287152258046</v>
          </cell>
          <cell r="I54">
            <v>-2575.0958933333332</v>
          </cell>
          <cell r="J54">
            <v>-78008.655519156659</v>
          </cell>
          <cell r="K54">
            <v>-61572.117697358568</v>
          </cell>
          <cell r="L54">
            <v>-22190.810948387079</v>
          </cell>
          <cell r="M54">
            <v>-86879.566160630071</v>
          </cell>
          <cell r="N54">
            <v>0</v>
          </cell>
        </row>
        <row r="55">
          <cell r="C55">
            <v>-8946.0403999999926</v>
          </cell>
          <cell r="D55">
            <v>1012.2555360054412</v>
          </cell>
          <cell r="E55">
            <v>20052.37855368789</v>
          </cell>
          <cell r="F55">
            <v>-12496.831223033125</v>
          </cell>
          <cell r="G55">
            <v>-1690.6361539130621</v>
          </cell>
          <cell r="H55">
            <v>-12353.634630434773</v>
          </cell>
          <cell r="I55">
            <v>561.38939953175213</v>
          </cell>
          <cell r="J55">
            <v>-23171.530698881968</v>
          </cell>
          <cell r="K55">
            <v>-1064.2498884950037</v>
          </cell>
          <cell r="L55">
            <v>-41393.767742734555</v>
          </cell>
          <cell r="M55">
            <v>-28265.552576000009</v>
          </cell>
          <cell r="N55">
            <v>0</v>
          </cell>
        </row>
        <row r="56">
          <cell r="C56">
            <v>-3001.0130013167254</v>
          </cell>
          <cell r="D56">
            <v>-12868.6233758205</v>
          </cell>
          <cell r="E56">
            <v>-2500.1799142716322</v>
          </cell>
          <cell r="F56">
            <v>4271.7757937135848</v>
          </cell>
          <cell r="G56">
            <v>-15159.830602702894</v>
          </cell>
          <cell r="H56">
            <v>4869.6657742757507</v>
          </cell>
          <cell r="I56">
            <v>-2733.1874359022613</v>
          </cell>
          <cell r="J56">
            <v>-8518.9478830008939</v>
          </cell>
          <cell r="K56">
            <v>-4120.1755388000975</v>
          </cell>
          <cell r="L56">
            <v>-11914.471026998983</v>
          </cell>
          <cell r="M56">
            <v>-3533.5565742596136</v>
          </cell>
          <cell r="N56">
            <v>0</v>
          </cell>
        </row>
        <row r="89">
          <cell r="C89">
            <v>374568.7240679987</v>
          </cell>
          <cell r="D89">
            <v>340665.45821000001</v>
          </cell>
          <cell r="E89">
            <v>-1044821.2050429992</v>
          </cell>
          <cell r="F89">
            <v>-608401.47314099967</v>
          </cell>
          <cell r="G89">
            <v>582542.89970800083</v>
          </cell>
          <cell r="H89">
            <v>-312294.53501399921</v>
          </cell>
          <cell r="I89">
            <v>-826008.55644999957</v>
          </cell>
          <cell r="J89">
            <v>858602.88051999919</v>
          </cell>
          <cell r="K89">
            <v>563493.59974600293</v>
          </cell>
          <cell r="L89">
            <v>-2382343.1752120005</v>
          </cell>
          <cell r="M89">
            <v>-2183484.9157659994</v>
          </cell>
          <cell r="N89">
            <v>-2184600.0919820005</v>
          </cell>
        </row>
        <row r="90">
          <cell r="C90">
            <v>8317.4017222242437</v>
          </cell>
          <cell r="D90">
            <v>11761.372898991161</v>
          </cell>
          <cell r="E90">
            <v>-9827.4350601501737</v>
          </cell>
          <cell r="F90">
            <v>-4366.5579156887552</v>
          </cell>
          <cell r="G90">
            <v>638.60562430792652</v>
          </cell>
          <cell r="H90">
            <v>-30590.580685392244</v>
          </cell>
          <cell r="I90">
            <v>-14114.748736215988</v>
          </cell>
          <cell r="J90">
            <v>17440.843625100148</v>
          </cell>
          <cell r="K90">
            <v>14827.761433760632</v>
          </cell>
          <cell r="L90">
            <v>-59540.442510742214</v>
          </cell>
          <cell r="M90">
            <v>-60093.244976775961</v>
          </cell>
          <cell r="N90">
            <v>-59390.214231088161</v>
          </cell>
        </row>
        <row r="91">
          <cell r="C91">
            <v>92624.486426885662</v>
          </cell>
          <cell r="D91">
            <v>139878.64595456456</v>
          </cell>
          <cell r="E91">
            <v>-108538.73862970517</v>
          </cell>
          <cell r="F91">
            <v>-72844.207108743663</v>
          </cell>
          <cell r="G91">
            <v>1614.6166497806271</v>
          </cell>
          <cell r="H91">
            <v>-429446.16346444603</v>
          </cell>
          <cell r="I91">
            <v>-183937.80023062768</v>
          </cell>
          <cell r="J91">
            <v>211467.76195359678</v>
          </cell>
          <cell r="K91">
            <v>146317.53328902772</v>
          </cell>
          <cell r="L91">
            <v>-532084.10946886637</v>
          </cell>
          <cell r="M91">
            <v>-500890.23450365715</v>
          </cell>
          <cell r="N91">
            <v>-508353.92358344537</v>
          </cell>
        </row>
        <row r="92">
          <cell r="C92">
            <v>12409.804780518383</v>
          </cell>
          <cell r="D92">
            <v>15173.855644069747</v>
          </cell>
          <cell r="E92">
            <v>-5908.3817897958616</v>
          </cell>
          <cell r="F92">
            <v>-7484.6400938250772</v>
          </cell>
          <cell r="G92">
            <v>1664.7075981363814</v>
          </cell>
          <cell r="H92">
            <v>-42294.533598681039</v>
          </cell>
          <cell r="I92">
            <v>-15528.181670933827</v>
          </cell>
          <cell r="J92">
            <v>25757.198416873369</v>
          </cell>
          <cell r="K92">
            <v>10889.728439956583</v>
          </cell>
          <cell r="L92">
            <v>-40159.011787807663</v>
          </cell>
          <cell r="M92">
            <v>-30083.231749441111</v>
          </cell>
          <cell r="N92">
            <v>-29573.640715704769</v>
          </cell>
        </row>
        <row r="93">
          <cell r="C93">
            <v>283.16557668625319</v>
          </cell>
          <cell r="D93">
            <v>444.17995703643106</v>
          </cell>
          <cell r="E93">
            <v>-1077.9072035580716</v>
          </cell>
          <cell r="F93">
            <v>-1280.7547640510063</v>
          </cell>
          <cell r="G93">
            <v>-533.29294477539622</v>
          </cell>
          <cell r="H93">
            <v>-4889.5763497431299</v>
          </cell>
          <cell r="I93">
            <v>-2510.7439200812173</v>
          </cell>
          <cell r="J93">
            <v>2377.6232372174281</v>
          </cell>
          <cell r="K93">
            <v>351.90486197358774</v>
          </cell>
          <cell r="L93">
            <v>-4930.9196076753769</v>
          </cell>
          <cell r="M93">
            <v>-3621.1189207939406</v>
          </cell>
          <cell r="N93">
            <v>-3332.9423284947138</v>
          </cell>
        </row>
        <row r="94">
          <cell r="C94">
            <v>5428.9522993102264</v>
          </cell>
          <cell r="D94">
            <v>8882.6968805652941</v>
          </cell>
          <cell r="E94">
            <v>-13246.301645000289</v>
          </cell>
          <cell r="F94">
            <v>-12439.52422488199</v>
          </cell>
          <cell r="G94">
            <v>-2549.3328861098075</v>
          </cell>
          <cell r="H94">
            <v>-47494.538937018951</v>
          </cell>
          <cell r="I94">
            <v>-20988.48808034759</v>
          </cell>
          <cell r="J94">
            <v>18497.674300772771</v>
          </cell>
          <cell r="K94">
            <v>8895.4652560242357</v>
          </cell>
          <cell r="L94">
            <v>-58390.428582244946</v>
          </cell>
          <cell r="M94">
            <v>-53693.16000314265</v>
          </cell>
          <cell r="N94">
            <v>-48659.40051110441</v>
          </cell>
        </row>
        <row r="95">
          <cell r="C95">
            <v>-60.40024602126671</v>
          </cell>
          <cell r="D95">
            <v>-57.05104552859634</v>
          </cell>
          <cell r="E95">
            <v>-52.484207438506289</v>
          </cell>
          <cell r="F95">
            <v>-58.717065970839144</v>
          </cell>
          <cell r="G95">
            <v>-29.077001084322468</v>
          </cell>
          <cell r="H95">
            <v>-76.522451036458051</v>
          </cell>
          <cell r="I95">
            <v>-67.40817027977522</v>
          </cell>
          <cell r="J95">
            <v>-66.089574180554038</v>
          </cell>
          <cell r="K95">
            <v>-67.482781015151815</v>
          </cell>
          <cell r="L95">
            <v>-69.492366364350232</v>
          </cell>
          <cell r="M95">
            <v>-74.175668698403143</v>
          </cell>
          <cell r="N95">
            <v>-70.77342388819153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0.822627</v>
          </cell>
          <cell r="M96">
            <v>0</v>
          </cell>
          <cell r="N96">
            <v>0</v>
          </cell>
        </row>
      </sheetData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 Rates"/>
      <sheetName val="Functional Rev Unadjusted"/>
      <sheetName val="Functional Adj Revenue"/>
    </sheetNames>
    <sheetDataSet>
      <sheetData sheetId="0"/>
      <sheetData sheetId="1">
        <row r="55">
          <cell r="C55">
            <v>15556436.27914482</v>
          </cell>
          <cell r="D55">
            <v>37668799.275929242</v>
          </cell>
          <cell r="E55">
            <v>278794523.54492581</v>
          </cell>
        </row>
        <row r="56">
          <cell r="C56">
            <v>1657485.9296076566</v>
          </cell>
          <cell r="D56">
            <v>5069882.1456802683</v>
          </cell>
          <cell r="E56">
            <v>14297306.034712067</v>
          </cell>
        </row>
        <row r="59">
          <cell r="C59">
            <v>13867.347843947808</v>
          </cell>
          <cell r="D59">
            <v>86979.850090504304</v>
          </cell>
          <cell r="E59">
            <v>17581110.182065543</v>
          </cell>
        </row>
        <row r="60">
          <cell r="C60">
            <v>1724725.6887125589</v>
          </cell>
          <cell r="D60">
            <v>10817957.661380259</v>
          </cell>
          <cell r="E60">
            <v>136412271.29990721</v>
          </cell>
        </row>
        <row r="64">
          <cell r="C64">
            <v>41851.309083640961</v>
          </cell>
          <cell r="D64">
            <v>722404.84128456167</v>
          </cell>
          <cell r="E64">
            <v>25767464.11963176</v>
          </cell>
        </row>
        <row r="65">
          <cell r="C65">
            <v>48169.995692148492</v>
          </cell>
          <cell r="D65">
            <v>831473.10931467754</v>
          </cell>
          <cell r="E65">
            <v>2328029.1349931741</v>
          </cell>
        </row>
        <row r="69">
          <cell r="C69">
            <v>5088.5361879984439</v>
          </cell>
          <cell r="D69">
            <v>87834.365465491515</v>
          </cell>
          <cell r="E69">
            <v>6556304.3483465342</v>
          </cell>
        </row>
        <row r="70">
          <cell r="C70">
            <v>792.43187978194953</v>
          </cell>
          <cell r="D70">
            <v>13678.344569787201</v>
          </cell>
          <cell r="E70">
            <v>58063.963550430926</v>
          </cell>
        </row>
        <row r="73">
          <cell r="C73">
            <v>11562.115054401524</v>
          </cell>
          <cell r="D73">
            <v>1177078.9590811178</v>
          </cell>
          <cell r="E73">
            <v>8391200.7058644891</v>
          </cell>
        </row>
        <row r="74">
          <cell r="C74">
            <v>44131.710352257905</v>
          </cell>
          <cell r="D74">
            <v>0</v>
          </cell>
          <cell r="E74">
            <v>5081852.5633751377</v>
          </cell>
          <cell r="F74">
            <v>16555833.106272608</v>
          </cell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 Rider Data"/>
      <sheetName val="Customer counts"/>
      <sheetName val="Customer Rev"/>
      <sheetName val="Meter Rev"/>
      <sheetName val="D- Revenue "/>
      <sheetName val="T- Revenue"/>
      <sheetName val="Customer Summary"/>
      <sheetName val="Sales of ELE Amt"/>
      <sheetName val="Demand-D"/>
      <sheetName val="Demand-T"/>
      <sheetName val="Billed kWh"/>
      <sheetName val="Sheet1"/>
      <sheetName val="Data"/>
      <sheetName val="Table1"/>
    </sheetNames>
    <sheetDataSet>
      <sheetData sheetId="0">
        <row r="60">
          <cell r="GO60">
            <v>57858.710000000006</v>
          </cell>
          <cell r="JI60">
            <v>16716.900000000005</v>
          </cell>
        </row>
        <row r="62">
          <cell r="GO62">
            <v>0</v>
          </cell>
          <cell r="JI62">
            <v>46.95</v>
          </cell>
        </row>
        <row r="72">
          <cell r="JI72">
            <v>182.56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RF-DCRF Sales of Elec"/>
      <sheetName val="TCRF-DCRF Basis"/>
      <sheetName val="DCRF Billing Units"/>
      <sheetName val="DCRF"/>
      <sheetName val="TCRF"/>
      <sheetName val="TCRF and DCRF Rider Revenues"/>
    </sheetNames>
    <sheetDataSet>
      <sheetData sheetId="0"/>
      <sheetData sheetId="1"/>
      <sheetData sheetId="2"/>
      <sheetData sheetId="3">
        <row r="6">
          <cell r="C6">
            <v>4714064.53</v>
          </cell>
          <cell r="D6">
            <v>3639169.05</v>
          </cell>
          <cell r="E6">
            <v>4235083.08</v>
          </cell>
          <cell r="F6">
            <v>4542016.88</v>
          </cell>
          <cell r="G6">
            <v>3997489.71</v>
          </cell>
          <cell r="H6">
            <v>3669588.97</v>
          </cell>
          <cell r="I6">
            <v>3615906.31</v>
          </cell>
          <cell r="J6">
            <v>3948107.02</v>
          </cell>
          <cell r="K6">
            <v>5333622.41</v>
          </cell>
          <cell r="L6">
            <v>6966030.29</v>
          </cell>
          <cell r="M6">
            <v>7035888.0899999999</v>
          </cell>
          <cell r="N6">
            <v>8916675.2199999988</v>
          </cell>
        </row>
        <row r="20">
          <cell r="C20">
            <v>468233.27</v>
          </cell>
          <cell r="D20">
            <v>414834.99999999994</v>
          </cell>
          <cell r="E20">
            <v>439852.85</v>
          </cell>
          <cell r="F20">
            <v>445035.80999999994</v>
          </cell>
          <cell r="G20">
            <v>407692.77</v>
          </cell>
          <cell r="H20">
            <v>401516.41000000003</v>
          </cell>
          <cell r="I20">
            <v>399289.76999999996</v>
          </cell>
          <cell r="J20">
            <v>418294.37</v>
          </cell>
          <cell r="K20">
            <v>478098.57000000007</v>
          </cell>
          <cell r="L20">
            <v>557233.61</v>
          </cell>
          <cell r="M20">
            <v>576128.60000000009</v>
          </cell>
          <cell r="N20">
            <v>775892.56999999983</v>
          </cell>
        </row>
        <row r="33">
          <cell r="C33">
            <v>2103207.2399999998</v>
          </cell>
          <cell r="D33">
            <v>2056239.41</v>
          </cell>
          <cell r="E33">
            <v>2140216.0099999998</v>
          </cell>
          <cell r="F33">
            <v>2171755.64</v>
          </cell>
          <cell r="G33">
            <v>2173898.0100000002</v>
          </cell>
          <cell r="H33">
            <v>2139677.94</v>
          </cell>
          <cell r="I33">
            <v>2085594.66</v>
          </cell>
          <cell r="J33">
            <v>2050894.17</v>
          </cell>
          <cell r="K33">
            <v>2142832.7599999998</v>
          </cell>
          <cell r="L33">
            <v>2256185.2999999998</v>
          </cell>
          <cell r="M33">
            <v>2286867.5499999998</v>
          </cell>
          <cell r="N33">
            <v>3004839.6799999997</v>
          </cell>
        </row>
        <row r="45">
          <cell r="C45">
            <v>285754.12</v>
          </cell>
          <cell r="D45">
            <v>279476.64</v>
          </cell>
          <cell r="E45">
            <v>273007.06999999995</v>
          </cell>
          <cell r="F45">
            <v>260993.68999999997</v>
          </cell>
          <cell r="G45">
            <v>250808.97</v>
          </cell>
          <cell r="H45">
            <v>258876.06</v>
          </cell>
          <cell r="I45">
            <v>259582.53</v>
          </cell>
          <cell r="J45">
            <v>265658.23</v>
          </cell>
          <cell r="K45">
            <v>279875.15999999997</v>
          </cell>
          <cell r="L45">
            <v>295562.40999999997</v>
          </cell>
          <cell r="M45">
            <v>312981.28000000003</v>
          </cell>
          <cell r="N45">
            <v>420103.43</v>
          </cell>
        </row>
        <row r="137">
          <cell r="C137">
            <v>165981.79000000004</v>
          </cell>
          <cell r="D137">
            <v>166675.81000000003</v>
          </cell>
          <cell r="E137">
            <v>165292.60999999999</v>
          </cell>
          <cell r="F137">
            <v>165615.14999999997</v>
          </cell>
          <cell r="G137">
            <v>164896.01999999999</v>
          </cell>
          <cell r="H137">
            <v>165166.1</v>
          </cell>
          <cell r="I137">
            <v>164954.85000000003</v>
          </cell>
          <cell r="J137">
            <v>164864.99000000005</v>
          </cell>
          <cell r="K137">
            <v>164235.83000000002</v>
          </cell>
          <cell r="L137">
            <v>164705.25999999995</v>
          </cell>
          <cell r="M137">
            <v>163556.50000000006</v>
          </cell>
          <cell r="N137">
            <v>217198.56</v>
          </cell>
        </row>
        <row r="154">
          <cell r="C154">
            <v>5640.3099999999995</v>
          </cell>
          <cell r="D154">
            <v>6333.47</v>
          </cell>
          <cell r="E154">
            <v>6624.1699999999992</v>
          </cell>
          <cell r="F154">
            <v>6404.170000000001</v>
          </cell>
          <cell r="G154">
            <v>6298.59</v>
          </cell>
          <cell r="H154">
            <v>7699.1899999999978</v>
          </cell>
          <cell r="I154">
            <v>6091.6100000000006</v>
          </cell>
          <cell r="J154">
            <v>7945.7699999999995</v>
          </cell>
          <cell r="K154">
            <v>6761.1500000000005</v>
          </cell>
          <cell r="L154">
            <v>7427.99</v>
          </cell>
          <cell r="M154">
            <v>6786.48</v>
          </cell>
          <cell r="N154">
            <v>6701.06</v>
          </cell>
        </row>
        <row r="164">
          <cell r="C164">
            <v>32152.940000000002</v>
          </cell>
          <cell r="D164">
            <v>33482.15</v>
          </cell>
          <cell r="E164">
            <v>33841.530000000006</v>
          </cell>
          <cell r="F164">
            <v>32568.199999999997</v>
          </cell>
          <cell r="G164">
            <v>33385.67</v>
          </cell>
          <cell r="H164">
            <v>35986.6</v>
          </cell>
          <cell r="I164">
            <v>37099.06</v>
          </cell>
          <cell r="J164">
            <v>37858.370000000003</v>
          </cell>
          <cell r="K164">
            <v>34879.75</v>
          </cell>
          <cell r="L164">
            <v>38556.909999999996</v>
          </cell>
          <cell r="M164">
            <v>35642.769999999997</v>
          </cell>
          <cell r="N164">
            <v>46967</v>
          </cell>
        </row>
        <row r="174">
          <cell r="C174">
            <v>481160.46</v>
          </cell>
          <cell r="D174">
            <v>467270.18</v>
          </cell>
          <cell r="E174">
            <v>470037.69</v>
          </cell>
          <cell r="F174">
            <v>446025.22000000003</v>
          </cell>
          <cell r="G174">
            <v>458696.66000000003</v>
          </cell>
          <cell r="H174">
            <v>483025.06000000006</v>
          </cell>
          <cell r="I174">
            <v>457189.55999999994</v>
          </cell>
          <cell r="J174">
            <v>488349.85</v>
          </cell>
          <cell r="K174">
            <v>490382.59999999986</v>
          </cell>
          <cell r="L174">
            <v>497853.98000000004</v>
          </cell>
          <cell r="M174">
            <v>497772.30999999994</v>
          </cell>
          <cell r="N174">
            <v>633188.81999999995</v>
          </cell>
        </row>
      </sheetData>
      <sheetData sheetId="4">
        <row r="6">
          <cell r="C6">
            <v>19778786.25</v>
          </cell>
          <cell r="D6">
            <v>15268849.49</v>
          </cell>
          <cell r="E6">
            <v>17769199.309999999</v>
          </cell>
          <cell r="F6">
            <v>19056997.289999999</v>
          </cell>
          <cell r="G6">
            <v>16772343.16</v>
          </cell>
          <cell r="H6">
            <v>9265821.6099999994</v>
          </cell>
          <cell r="I6">
            <v>9129504.8499999996</v>
          </cell>
          <cell r="J6">
            <v>9968296.459999999</v>
          </cell>
          <cell r="K6">
            <v>13466435.49</v>
          </cell>
          <cell r="L6">
            <v>17587943.239999998</v>
          </cell>
          <cell r="M6">
            <v>17764373.41</v>
          </cell>
          <cell r="N6">
            <v>29387811.98</v>
          </cell>
        </row>
        <row r="24">
          <cell r="C24">
            <v>576127.74999999988</v>
          </cell>
          <cell r="D24">
            <v>510644.60000000003</v>
          </cell>
          <cell r="E24">
            <v>541487.17999999993</v>
          </cell>
          <cell r="F24">
            <v>547860.03</v>
          </cell>
          <cell r="G24">
            <v>501889.18999999994</v>
          </cell>
          <cell r="H24">
            <v>436120.97999999992</v>
          </cell>
          <cell r="I24">
            <v>433597.66000000009</v>
          </cell>
          <cell r="J24">
            <v>454260.1999999999</v>
          </cell>
          <cell r="K24">
            <v>519176</v>
          </cell>
          <cell r="L24">
            <v>605110.12</v>
          </cell>
          <cell r="M24">
            <v>625628.0399999998</v>
          </cell>
          <cell r="N24">
            <v>779361.19000000006</v>
          </cell>
        </row>
        <row r="37">
          <cell r="C37">
            <v>9483385.4699999988</v>
          </cell>
          <cell r="D37">
            <v>9272153.3499999996</v>
          </cell>
          <cell r="E37">
            <v>9652565.3300000001</v>
          </cell>
          <cell r="F37">
            <v>9795105.3300000001</v>
          </cell>
          <cell r="G37">
            <v>9799876.5</v>
          </cell>
          <cell r="H37">
            <v>8175564.9500000002</v>
          </cell>
          <cell r="I37">
            <v>7972782.1000000006</v>
          </cell>
          <cell r="J37">
            <v>7838483.2699999996</v>
          </cell>
          <cell r="K37">
            <v>8189189.7999999998</v>
          </cell>
          <cell r="L37">
            <v>8622737.3000000007</v>
          </cell>
          <cell r="M37">
            <v>8739031.2799999993</v>
          </cell>
          <cell r="N37">
            <v>9960236.9000000004</v>
          </cell>
        </row>
        <row r="49">
          <cell r="C49">
            <v>1205209.19</v>
          </cell>
          <cell r="D49">
            <v>1229855.55</v>
          </cell>
          <cell r="E49">
            <v>1217503.8499999999</v>
          </cell>
          <cell r="F49">
            <v>1164326.4400000002</v>
          </cell>
          <cell r="G49">
            <v>1168928.4200000002</v>
          </cell>
          <cell r="H49">
            <v>1032633.31</v>
          </cell>
          <cell r="I49">
            <v>1023132.9700000001</v>
          </cell>
          <cell r="J49">
            <v>1033808.68</v>
          </cell>
          <cell r="K49">
            <v>1032318.63</v>
          </cell>
          <cell r="L49">
            <v>1054126.5</v>
          </cell>
          <cell r="M49">
            <v>1045083.13</v>
          </cell>
          <cell r="N49">
            <v>1119825.3900000001</v>
          </cell>
        </row>
        <row r="57">
          <cell r="C57">
            <v>247722.08000000005</v>
          </cell>
          <cell r="D57">
            <v>253431.68999999997</v>
          </cell>
          <cell r="E57">
            <v>255759.17</v>
          </cell>
          <cell r="F57">
            <v>244578.62</v>
          </cell>
          <cell r="G57">
            <v>250137.16000000006</v>
          </cell>
          <cell r="H57">
            <v>193309.41</v>
          </cell>
          <cell r="I57">
            <v>202408.38000000003</v>
          </cell>
          <cell r="J57">
            <v>199857.05</v>
          </cell>
          <cell r="K57">
            <v>191418.41</v>
          </cell>
          <cell r="L57">
            <v>215573.33000000002</v>
          </cell>
          <cell r="M57">
            <v>196150.02000000002</v>
          </cell>
          <cell r="N57">
            <v>225968.59999999998</v>
          </cell>
        </row>
        <row r="67">
          <cell r="C67">
            <v>3542327.8200000008</v>
          </cell>
          <cell r="D67">
            <v>3615886.65</v>
          </cell>
          <cell r="E67">
            <v>3578452.3099999996</v>
          </cell>
          <cell r="F67">
            <v>3781982.82</v>
          </cell>
          <cell r="G67">
            <v>3774272.1899999995</v>
          </cell>
          <cell r="H67">
            <v>3399895.42</v>
          </cell>
          <cell r="I67">
            <v>3357916.45</v>
          </cell>
          <cell r="J67">
            <v>3473295.4</v>
          </cell>
          <cell r="K67">
            <v>3360421.4</v>
          </cell>
          <cell r="L67">
            <v>3356766.15</v>
          </cell>
          <cell r="M67">
            <v>3369983.99</v>
          </cell>
          <cell r="N67">
            <v>3153145.6400000006</v>
          </cell>
        </row>
        <row r="82">
          <cell r="C82">
            <v>3776162.73</v>
          </cell>
          <cell r="D82">
            <v>4187674.21</v>
          </cell>
          <cell r="E82">
            <v>5181663.68</v>
          </cell>
          <cell r="F82">
            <v>5036705.9799999995</v>
          </cell>
          <cell r="G82">
            <v>5146320.8500000006</v>
          </cell>
          <cell r="H82">
            <v>5190555.46</v>
          </cell>
          <cell r="I82">
            <v>4146199.21</v>
          </cell>
          <cell r="J82">
            <v>4492324.8399999989</v>
          </cell>
          <cell r="K82">
            <v>3997931.4299999997</v>
          </cell>
          <cell r="L82">
            <v>4598256.8199999994</v>
          </cell>
          <cell r="M82">
            <v>3667785.27</v>
          </cell>
          <cell r="N82">
            <v>3067616.55</v>
          </cell>
        </row>
        <row r="178">
          <cell r="C178">
            <v>204407.16000000003</v>
          </cell>
          <cell r="D178">
            <v>205263.47000000006</v>
          </cell>
          <cell r="E178">
            <v>203574.75000000003</v>
          </cell>
          <cell r="F178">
            <v>203967.19000000003</v>
          </cell>
          <cell r="G178">
            <v>203072.46999999991</v>
          </cell>
          <cell r="H178">
            <v>179343.31</v>
          </cell>
          <cell r="I178">
            <v>179135.76</v>
          </cell>
          <cell r="J178">
            <v>179038.86999999997</v>
          </cell>
          <cell r="K178">
            <v>178355.09999999995</v>
          </cell>
          <cell r="L178">
            <v>178865.31000000006</v>
          </cell>
          <cell r="M178">
            <v>177617.50000000003</v>
          </cell>
          <cell r="N178">
            <v>219296.10000000003</v>
          </cell>
        </row>
      </sheetData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arlyne T Reynolds" id="{1BCC3D6B-F86D-43DA-8A43-1A96DBF5CC0D}" userId="S::d897737@corp.aepsc.com::4d5e26fd-c472-45cc-90b5-0131301f3747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375" dT="2024-01-08T20:07:42.96" personId="{1BCC3D6B-F86D-43DA-8A43-1A96DBF5CC0D}" id="{B959911E-1E2F-4BAC-916F-DD64F4008F08}">
    <text>Included in MR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"/>
  <sheetViews>
    <sheetView zoomScaleNormal="100" workbookViewId="0">
      <selection activeCell="U32" sqref="U32"/>
    </sheetView>
  </sheetViews>
  <sheetFormatPr defaultColWidth="7.5703125" defaultRowHeight="11.25"/>
  <cols>
    <col min="1" max="1" width="4.28515625" style="16" bestFit="1" customWidth="1"/>
    <col min="2" max="2" width="49.85546875" style="16" customWidth="1"/>
    <col min="3" max="3" width="7.42578125" style="16" bestFit="1" customWidth="1"/>
    <col min="4" max="4" width="12.42578125" style="16" customWidth="1"/>
    <col min="5" max="5" width="11.7109375" style="54" customWidth="1"/>
    <col min="6" max="6" width="12.7109375" style="51" customWidth="1"/>
    <col min="7" max="7" width="13.42578125" style="51" customWidth="1"/>
    <col min="8" max="16384" width="7.5703125" style="16"/>
  </cols>
  <sheetData>
    <row r="1" spans="2:7" ht="12" thickBot="1">
      <c r="E1" s="55"/>
      <c r="F1" s="53"/>
      <c r="G1" s="53"/>
    </row>
    <row r="2" spans="2:7">
      <c r="B2" s="203" t="s">
        <v>100</v>
      </c>
      <c r="E2" s="55"/>
      <c r="F2" s="53"/>
      <c r="G2" s="53"/>
    </row>
    <row r="3" spans="2:7">
      <c r="B3" s="204" t="s">
        <v>101</v>
      </c>
      <c r="E3" s="55"/>
      <c r="F3" s="53"/>
      <c r="G3" s="53"/>
    </row>
    <row r="4" spans="2:7">
      <c r="B4" s="205" t="s">
        <v>132</v>
      </c>
      <c r="E4" s="55"/>
      <c r="F4" s="53"/>
      <c r="G4" s="53"/>
    </row>
    <row r="5" spans="2:7">
      <c r="B5" s="205" t="s">
        <v>146</v>
      </c>
      <c r="E5" s="55"/>
      <c r="F5" s="53"/>
      <c r="G5" s="53"/>
    </row>
    <row r="6" spans="2:7" ht="12" thickBot="1">
      <c r="B6" s="206" t="s">
        <v>496</v>
      </c>
      <c r="E6" s="55"/>
      <c r="F6" s="53"/>
      <c r="G6" s="53"/>
    </row>
    <row r="7" spans="2:7">
      <c r="E7" s="55"/>
      <c r="F7" s="53"/>
      <c r="G7" s="53"/>
    </row>
    <row r="8" spans="2:7">
      <c r="E8" s="55"/>
      <c r="F8" s="53"/>
      <c r="G8" s="53"/>
    </row>
    <row r="9" spans="2:7">
      <c r="B9" s="16" t="s">
        <v>35</v>
      </c>
    </row>
  </sheetData>
  <phoneticPr fontId="4" type="noConversion"/>
  <pageMargins left="0.7" right="0.7" top="1.07" bottom="0.75" header="0.3" footer="0.3"/>
  <pageSetup orientation="portrait" r:id="rId1"/>
  <headerFooter>
    <oddHeader>&amp;RDocket No 56165
Schedule &amp;A
Page &amp;P of &amp;N</oddHeader>
    <oddFooter>&amp;LSponsored by: Earlyne Reynolds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W53"/>
  <sheetViews>
    <sheetView zoomScale="120" zoomScaleNormal="120" workbookViewId="0">
      <pane xSplit="3" ySplit="14" topLeftCell="D15" activePane="bottomRight" state="frozen"/>
      <selection activeCell="U32" sqref="U32"/>
      <selection pane="topRight" activeCell="U32" sqref="U32"/>
      <selection pane="bottomLeft" activeCell="U32" sqref="U32"/>
      <selection pane="bottomRight" activeCell="U32" sqref="U32"/>
    </sheetView>
  </sheetViews>
  <sheetFormatPr defaultColWidth="7.5703125" defaultRowHeight="11.25"/>
  <cols>
    <col min="1" max="1" width="4.28515625" style="16" bestFit="1" customWidth="1"/>
    <col min="2" max="2" width="37.5703125" style="16" customWidth="1"/>
    <col min="3" max="3" width="7.42578125" style="16" bestFit="1" customWidth="1"/>
    <col min="4" max="4" width="9.85546875" style="54" customWidth="1"/>
    <col min="5" max="5" width="9.85546875" style="51" customWidth="1"/>
    <col min="6" max="6" width="12.85546875" style="16" bestFit="1" customWidth="1"/>
    <col min="7" max="8" width="12.42578125" style="16" bestFit="1" customWidth="1"/>
    <col min="9" max="9" width="12.42578125" style="16" customWidth="1"/>
    <col min="10" max="10" width="12.85546875" style="16" bestFit="1" customWidth="1"/>
    <col min="11" max="16384" width="7.5703125" style="16"/>
  </cols>
  <sheetData>
    <row r="1" spans="1:127" ht="12" thickBot="1"/>
    <row r="2" spans="1:127">
      <c r="B2" s="203" t="s">
        <v>100</v>
      </c>
    </row>
    <row r="3" spans="1:127">
      <c r="B3" s="204" t="s">
        <v>101</v>
      </c>
    </row>
    <row r="4" spans="1:127">
      <c r="B4" s="205" t="s">
        <v>134</v>
      </c>
    </row>
    <row r="5" spans="1:127">
      <c r="B5" s="205" t="str">
        <f>'II-H-1'!B5</f>
        <v>TEST YEAR ENDING 9/30/2023</v>
      </c>
    </row>
    <row r="6" spans="1:127" ht="12" thickBot="1">
      <c r="B6" s="206" t="str">
        <f>+'II-H-1'!B6</f>
        <v>DOCKET 56165</v>
      </c>
    </row>
    <row r="8" spans="1:127" s="48" customFormat="1" ht="12.75" customHeight="1">
      <c r="A8" s="363" t="s">
        <v>91</v>
      </c>
      <c r="B8" s="363"/>
      <c r="C8" s="363"/>
      <c r="D8" s="363"/>
      <c r="E8" s="363"/>
      <c r="F8" s="363"/>
      <c r="G8" s="363"/>
      <c r="H8" s="363"/>
      <c r="I8" s="363"/>
      <c r="J8" s="363"/>
    </row>
    <row r="9" spans="1:127" ht="12.75" customHeight="1">
      <c r="A9" s="364" t="s">
        <v>15</v>
      </c>
      <c r="B9" s="364"/>
      <c r="C9" s="364"/>
      <c r="D9" s="364"/>
      <c r="E9" s="364"/>
      <c r="F9" s="364"/>
      <c r="G9" s="364"/>
      <c r="H9" s="364"/>
      <c r="I9" s="364"/>
      <c r="J9" s="364"/>
    </row>
    <row r="10" spans="1:127" ht="12.75" customHeight="1">
      <c r="B10" s="134"/>
      <c r="C10" s="134"/>
      <c r="D10" s="134" t="s">
        <v>147</v>
      </c>
      <c r="E10" s="134"/>
      <c r="F10" s="134"/>
      <c r="G10" s="134"/>
      <c r="H10" s="134"/>
      <c r="I10" s="134"/>
      <c r="J10" s="134"/>
    </row>
    <row r="11" spans="1:127" ht="12.75" customHeight="1">
      <c r="B11" s="17"/>
      <c r="C11" s="17"/>
      <c r="F11" s="365"/>
      <c r="G11" s="365"/>
      <c r="H11" s="365"/>
      <c r="I11" s="365"/>
      <c r="J11" s="365"/>
    </row>
    <row r="12" spans="1:127">
      <c r="B12" s="44"/>
      <c r="D12" s="24" t="s">
        <v>10</v>
      </c>
      <c r="E12" s="21" t="s">
        <v>25</v>
      </c>
      <c r="F12" s="22" t="s">
        <v>27</v>
      </c>
      <c r="G12" s="22" t="s">
        <v>28</v>
      </c>
      <c r="H12" s="22" t="s">
        <v>29</v>
      </c>
      <c r="I12" s="22" t="s">
        <v>36</v>
      </c>
      <c r="J12" s="22" t="s">
        <v>30</v>
      </c>
    </row>
    <row r="13" spans="1:127" s="24" customFormat="1">
      <c r="A13" s="24" t="s">
        <v>8</v>
      </c>
      <c r="B13" s="24" t="s">
        <v>0</v>
      </c>
      <c r="C13" s="24" t="s">
        <v>7</v>
      </c>
      <c r="D13" s="24" t="s">
        <v>26</v>
      </c>
      <c r="E13" s="21" t="s">
        <v>26</v>
      </c>
      <c r="F13" s="22" t="s">
        <v>34</v>
      </c>
      <c r="G13" s="22" t="s">
        <v>24</v>
      </c>
      <c r="H13" s="22" t="s">
        <v>24</v>
      </c>
      <c r="I13" s="22" t="s">
        <v>24</v>
      </c>
      <c r="J13" s="22" t="s">
        <v>31</v>
      </c>
    </row>
    <row r="14" spans="1:127" s="24" customFormat="1">
      <c r="D14" s="50"/>
      <c r="E14" s="52"/>
    </row>
    <row r="15" spans="1:127" s="34" customFormat="1">
      <c r="A15" s="46" t="s">
        <v>9</v>
      </c>
      <c r="B15" s="34" t="s">
        <v>17</v>
      </c>
      <c r="C15" s="36" t="s">
        <v>4</v>
      </c>
      <c r="D15" s="32">
        <f>'II-H-3.1-3'!Q14</f>
        <v>926197.58333333337</v>
      </c>
      <c r="E15" s="32">
        <f>'II-H-3.1-3'!O14</f>
        <v>935238</v>
      </c>
      <c r="F15" s="32">
        <f>'II-H-1.2'!P14</f>
        <v>12797050643</v>
      </c>
      <c r="G15" s="32">
        <f>'II-H-1.2'!P46</f>
        <v>-313068715.99999982</v>
      </c>
      <c r="H15" s="32">
        <f>'II-H-1.2'!P78</f>
        <v>105900628.53920838</v>
      </c>
      <c r="I15" s="32">
        <f>'II-H-1.2'!P112</f>
        <v>0</v>
      </c>
      <c r="J15" s="32">
        <f>'II-H-1.2'!P144</f>
        <v>12589882555.539207</v>
      </c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</row>
    <row r="16" spans="1:127" s="34" customFormat="1">
      <c r="C16" s="36"/>
      <c r="D16" s="28"/>
      <c r="E16" s="28"/>
      <c r="F16" s="28"/>
      <c r="G16" s="28"/>
      <c r="H16" s="28"/>
      <c r="I16" s="28"/>
      <c r="J16" s="28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</row>
    <row r="17" spans="1:127" s="34" customFormat="1">
      <c r="A17" s="46">
        <v>2</v>
      </c>
      <c r="B17" s="4" t="s">
        <v>150</v>
      </c>
      <c r="C17" s="36" t="s">
        <v>4</v>
      </c>
      <c r="D17" s="32">
        <f>'II-H-3.1-3'!Q16</f>
        <v>98796.166666666672</v>
      </c>
      <c r="E17" s="32">
        <f>'II-H-3.1-3'!O16</f>
        <v>99366</v>
      </c>
      <c r="F17" s="32">
        <f>'II-H-1.2'!P16</f>
        <v>678758664</v>
      </c>
      <c r="G17" s="32">
        <f>'II-H-1.2'!P48</f>
        <v>-8767706.7658308148</v>
      </c>
      <c r="H17" s="32">
        <f>'II-H-1.2'!P80</f>
        <v>2109148.880955602</v>
      </c>
      <c r="I17" s="32">
        <f>'II-H-1.2'!P114</f>
        <v>0</v>
      </c>
      <c r="J17" s="32">
        <f>'II-H-1.2'!P146</f>
        <v>672100106.11512482</v>
      </c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</row>
    <row r="18" spans="1:127" s="34" customFormat="1">
      <c r="A18" s="46"/>
      <c r="C18" s="36"/>
      <c r="D18" s="32"/>
      <c r="E18" s="32"/>
      <c r="F18" s="32"/>
      <c r="G18" s="32"/>
      <c r="H18" s="32"/>
      <c r="I18" s="32"/>
      <c r="J18" s="32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</row>
    <row r="19" spans="1:127" s="34" customFormat="1">
      <c r="A19" s="46">
        <v>3</v>
      </c>
      <c r="B19" s="4" t="s">
        <v>81</v>
      </c>
      <c r="C19" s="38" t="s">
        <v>4</v>
      </c>
      <c r="D19" s="32">
        <f>'II-H-3.1-3'!Q18</f>
        <v>71496.416666666672</v>
      </c>
      <c r="E19" s="32">
        <f>'II-H-3.1-3'!O18</f>
        <v>71833</v>
      </c>
      <c r="F19" s="32">
        <f>'II-H-1.2'!P18</f>
        <v>7956360402</v>
      </c>
      <c r="G19" s="32">
        <f>'II-H-1.2'!P50</f>
        <v>-112270433.73256823</v>
      </c>
      <c r="H19" s="32">
        <f>'II-H-1.2'!P82</f>
        <v>51400456.390959159</v>
      </c>
      <c r="I19" s="32">
        <f>'II-H-1.2'!P116</f>
        <v>0</v>
      </c>
      <c r="J19" s="32">
        <f>'II-H-1.2'!P148</f>
        <v>7895490424.658391</v>
      </c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</row>
    <row r="20" spans="1:127" s="34" customFormat="1">
      <c r="A20" s="46">
        <v>4</v>
      </c>
      <c r="B20" s="4" t="s">
        <v>85</v>
      </c>
      <c r="C20" s="38" t="s">
        <v>4</v>
      </c>
      <c r="D20" s="35">
        <f>'II-H-3.1-3'!Q19</f>
        <v>570.66666666666663</v>
      </c>
      <c r="E20" s="35">
        <f>'II-H-3.1-3'!O19</f>
        <v>576</v>
      </c>
      <c r="F20" s="35">
        <f>'II-H-1.2'!P19</f>
        <v>1307495001</v>
      </c>
      <c r="G20" s="35">
        <f>'II-H-1.2'!P51</f>
        <v>-8524699.1305596009</v>
      </c>
      <c r="H20" s="35">
        <f>'II-H-1.2'!P83</f>
        <v>10596480.798854744</v>
      </c>
      <c r="I20" s="35">
        <f>'II-H-1.2'!P117</f>
        <v>0</v>
      </c>
      <c r="J20" s="35">
        <f>'II-H-1.2'!P149</f>
        <v>1309566782.6682951</v>
      </c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</row>
    <row r="21" spans="1:127" s="34" customFormat="1">
      <c r="A21" s="46">
        <v>5</v>
      </c>
      <c r="B21" s="49" t="s">
        <v>18</v>
      </c>
      <c r="C21" s="36"/>
      <c r="D21" s="41">
        <f t="shared" ref="D21:J21" si="0">SUM(D19:D20)</f>
        <v>72067.083333333343</v>
      </c>
      <c r="E21" s="41">
        <f t="shared" si="0"/>
        <v>72409</v>
      </c>
      <c r="F21" s="41">
        <f t="shared" si="0"/>
        <v>9263855403</v>
      </c>
      <c r="G21" s="41">
        <f t="shared" si="0"/>
        <v>-120795132.86312783</v>
      </c>
      <c r="H21" s="41">
        <f t="shared" si="0"/>
        <v>61996937.189813904</v>
      </c>
      <c r="I21" s="41">
        <f t="shared" si="0"/>
        <v>0</v>
      </c>
      <c r="J21" s="41">
        <f t="shared" si="0"/>
        <v>9205057207.3266869</v>
      </c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</row>
    <row r="22" spans="1:127" s="34" customFormat="1">
      <c r="B22" s="25"/>
      <c r="C22" s="36"/>
      <c r="D22" s="41"/>
      <c r="E22" s="41"/>
      <c r="F22" s="41"/>
      <c r="G22" s="41"/>
      <c r="H22" s="41"/>
      <c r="I22" s="41"/>
      <c r="J22" s="41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</row>
    <row r="23" spans="1:127" s="34" customFormat="1">
      <c r="A23" s="46">
        <v>6</v>
      </c>
      <c r="B23" s="4" t="s">
        <v>82</v>
      </c>
      <c r="C23" s="38" t="s">
        <v>5</v>
      </c>
      <c r="D23" s="32">
        <f>'II-H-3.1-3'!Q22</f>
        <v>550.33333333333337</v>
      </c>
      <c r="E23" s="32">
        <f>'II-H-3.1-3'!O22</f>
        <v>550</v>
      </c>
      <c r="F23" s="32">
        <f>'II-H-1.2'!P22</f>
        <v>263796669</v>
      </c>
      <c r="G23" s="32">
        <f>'II-H-1.2'!P54</f>
        <v>-2124654.5497816876</v>
      </c>
      <c r="H23" s="32">
        <f>'II-H-1.2'!P86</f>
        <v>-514363.45700745785</v>
      </c>
      <c r="I23" s="32">
        <f>'II-H-1.2'!P120</f>
        <v>0</v>
      </c>
      <c r="J23" s="32">
        <f>'II-H-1.2'!P152</f>
        <v>261157650.99321082</v>
      </c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</row>
    <row r="24" spans="1:127" s="34" customFormat="1">
      <c r="A24" s="46">
        <v>7</v>
      </c>
      <c r="B24" s="4" t="s">
        <v>83</v>
      </c>
      <c r="C24" s="38" t="s">
        <v>5</v>
      </c>
      <c r="D24" s="26">
        <f>'II-H-3.1-3'!Q23</f>
        <v>475.08333333333331</v>
      </c>
      <c r="E24" s="26">
        <f>'II-H-3.1-3'!O23</f>
        <v>469</v>
      </c>
      <c r="F24" s="26">
        <f>'II-H-1.2'!P23</f>
        <v>3828118181</v>
      </c>
      <c r="G24" s="26">
        <f>'II-H-1.2'!P55</f>
        <v>-29574765.821259439</v>
      </c>
      <c r="H24" s="26">
        <f>'II-H-1.2'!P87</f>
        <v>-40429397.159895971</v>
      </c>
      <c r="I24" s="26">
        <f>'II-H-1.2'!P121</f>
        <v>0</v>
      </c>
      <c r="J24" s="26">
        <f>'II-H-1.2'!P153</f>
        <v>3758114018.0188446</v>
      </c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</row>
    <row r="25" spans="1:127" s="34" customFormat="1">
      <c r="A25" s="46">
        <v>8</v>
      </c>
      <c r="B25" s="4" t="s">
        <v>148</v>
      </c>
      <c r="C25" s="38" t="s">
        <v>5</v>
      </c>
      <c r="D25" s="26">
        <f>'II-H-3.1-3'!Q24</f>
        <v>9</v>
      </c>
      <c r="E25" s="26">
        <f>'II-H-3.1-3'!O24</f>
        <v>9</v>
      </c>
      <c r="F25" s="26">
        <f>'II-H-1.2'!P24</f>
        <v>5880600</v>
      </c>
      <c r="G25" s="26">
        <f>'II-H-1.2'!P56</f>
        <v>0</v>
      </c>
      <c r="H25" s="26">
        <f>'II-H-1.2'!P88</f>
        <v>0</v>
      </c>
      <c r="I25" s="26">
        <f>'II-H-1.2'!P122</f>
        <v>0</v>
      </c>
      <c r="J25" s="26">
        <f>'II-H-1.2'!P154</f>
        <v>5880600</v>
      </c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</row>
    <row r="26" spans="1:127" s="34" customFormat="1">
      <c r="A26" s="46">
        <v>9</v>
      </c>
      <c r="B26" s="4" t="s">
        <v>149</v>
      </c>
      <c r="C26" s="38" t="s">
        <v>5</v>
      </c>
      <c r="D26" s="26">
        <f>'II-H-3.1-3'!Q25</f>
        <v>58</v>
      </c>
      <c r="E26" s="26">
        <f>'II-H-3.1-3'!O25</f>
        <v>58</v>
      </c>
      <c r="F26" s="26">
        <f>'II-H-1.2'!P25</f>
        <v>499919380</v>
      </c>
      <c r="G26" s="26">
        <f>'II-H-1.2'!P57</f>
        <v>0</v>
      </c>
      <c r="H26" s="26">
        <f>'II-H-1.2'!P89</f>
        <v>0</v>
      </c>
      <c r="I26" s="26">
        <f>'II-H-1.2'!P123</f>
        <v>0</v>
      </c>
      <c r="J26" s="26">
        <f>'II-H-1.2'!P155</f>
        <v>499919380</v>
      </c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</row>
    <row r="27" spans="1:127" s="34" customFormat="1">
      <c r="A27" s="46">
        <v>10</v>
      </c>
      <c r="B27" s="34" t="s">
        <v>19</v>
      </c>
      <c r="C27" s="38"/>
      <c r="D27" s="223">
        <f>SUM(D23:D26)</f>
        <v>1092.4166666666667</v>
      </c>
      <c r="E27" s="223">
        <f t="shared" ref="E27:J27" si="1">SUM(E23:E26)</f>
        <v>1086</v>
      </c>
      <c r="F27" s="223">
        <f t="shared" si="1"/>
        <v>4597714830</v>
      </c>
      <c r="G27" s="223">
        <f t="shared" si="1"/>
        <v>-31699420.371041127</v>
      </c>
      <c r="H27" s="223">
        <f t="shared" si="1"/>
        <v>-40943760.616903432</v>
      </c>
      <c r="I27" s="223">
        <f t="shared" si="1"/>
        <v>0</v>
      </c>
      <c r="J27" s="223">
        <f t="shared" si="1"/>
        <v>4525071649.0120554</v>
      </c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</row>
    <row r="28" spans="1:127" s="34" customFormat="1">
      <c r="A28" s="46"/>
      <c r="C28" s="38"/>
      <c r="D28" s="32"/>
      <c r="E28" s="32"/>
      <c r="F28" s="32"/>
      <c r="G28" s="32"/>
      <c r="H28" s="32"/>
      <c r="I28" s="32"/>
      <c r="J28" s="32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</row>
    <row r="29" spans="1:127" s="34" customFormat="1">
      <c r="A29" s="46">
        <v>11</v>
      </c>
      <c r="B29" s="49" t="s">
        <v>86</v>
      </c>
      <c r="C29" s="38" t="s">
        <v>6</v>
      </c>
      <c r="D29" s="71">
        <f>'II-H-3.1-3'!Q28</f>
        <v>124.16666666666667</v>
      </c>
      <c r="E29" s="71">
        <f>'II-H-3.1-3'!O28</f>
        <v>123</v>
      </c>
      <c r="F29" s="32">
        <f>'II-H-1.2'!P28</f>
        <v>11207029849</v>
      </c>
      <c r="G29" s="32">
        <f>'II-H-1.2'!P60</f>
        <v>-1282930</v>
      </c>
      <c r="H29" s="32">
        <f>'II-H-1.2'!P92</f>
        <v>-170050163.80401215</v>
      </c>
      <c r="I29" s="32">
        <f>'II-H-1.2'!P126</f>
        <v>0</v>
      </c>
      <c r="J29" s="32">
        <f>'II-H-1.2'!P158</f>
        <v>11035696755.195988</v>
      </c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</row>
    <row r="30" spans="1:127" s="34" customFormat="1">
      <c r="C30" s="36"/>
      <c r="D30" s="41"/>
      <c r="E30" s="71"/>
      <c r="F30" s="32"/>
      <c r="G30" s="32"/>
      <c r="H30" s="41"/>
      <c r="I30" s="41"/>
      <c r="J30" s="41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</row>
    <row r="31" spans="1:127" s="34" customFormat="1">
      <c r="A31" s="46">
        <v>12</v>
      </c>
      <c r="B31" s="7" t="s">
        <v>21</v>
      </c>
      <c r="C31" s="38" t="s">
        <v>4</v>
      </c>
      <c r="D31" s="71">
        <f>'II-H-3.1-3'!Q30</f>
        <v>221912.58333333334</v>
      </c>
      <c r="E31" s="71">
        <f>'II-H-3.1-3'!O30</f>
        <v>221390</v>
      </c>
      <c r="F31" s="32">
        <f>'II-H-1.2'!P30</f>
        <v>240936337</v>
      </c>
      <c r="G31" s="32">
        <f>'II-H-1.2'!P62</f>
        <v>39</v>
      </c>
      <c r="H31" s="32">
        <f>'II-H-1.2'!P94</f>
        <v>-2551478.3949691528</v>
      </c>
      <c r="I31" s="32">
        <f>'II-H-1.2'!P128</f>
        <v>0</v>
      </c>
      <c r="J31" s="32">
        <f>'II-H-1.2'!P160</f>
        <v>238384897.60503083</v>
      </c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</row>
    <row r="32" spans="1:127" s="34" customFormat="1">
      <c r="A32" s="46"/>
      <c r="C32" s="36"/>
      <c r="D32" s="41"/>
      <c r="E32" s="41"/>
      <c r="F32" s="41"/>
      <c r="G32" s="41"/>
      <c r="H32" s="41"/>
      <c r="I32" s="41"/>
      <c r="J32" s="41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</row>
    <row r="33" spans="1:127" s="34" customFormat="1">
      <c r="A33" s="46">
        <v>13</v>
      </c>
      <c r="B33" s="61" t="s">
        <v>22</v>
      </c>
      <c r="C33" s="39"/>
      <c r="D33" s="58">
        <f t="shared" ref="D33:J33" si="2">D31+D29+D27+D21+D17+D15</f>
        <v>1320190</v>
      </c>
      <c r="E33" s="58">
        <f>E31+E29+E27+E21+E17+E15</f>
        <v>1329612</v>
      </c>
      <c r="F33" s="58">
        <f t="shared" si="2"/>
        <v>38785345726</v>
      </c>
      <c r="G33" s="58">
        <f t="shared" si="2"/>
        <v>-475613866.99999958</v>
      </c>
      <c r="H33" s="58">
        <f t="shared" si="2"/>
        <v>-43538688.205906838</v>
      </c>
      <c r="I33" s="58">
        <f t="shared" si="2"/>
        <v>0</v>
      </c>
      <c r="J33" s="58">
        <f t="shared" si="2"/>
        <v>38266193170.79409</v>
      </c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</row>
    <row r="34" spans="1:127" s="34" customFormat="1">
      <c r="B34" s="39"/>
      <c r="C34" s="39"/>
      <c r="D34" s="6"/>
      <c r="E34" s="6"/>
      <c r="F34" s="6"/>
      <c r="G34" s="6"/>
      <c r="H34" s="6"/>
      <c r="I34" s="6"/>
      <c r="J34" s="6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</row>
    <row r="35" spans="1:127" s="34" customFormat="1">
      <c r="A35" s="46">
        <v>14</v>
      </c>
      <c r="B35" s="7" t="s">
        <v>69</v>
      </c>
      <c r="C35" s="38" t="s">
        <v>5</v>
      </c>
      <c r="D35" s="32">
        <f>'II-H-3.1-3'!Q34</f>
        <v>0</v>
      </c>
      <c r="E35" s="32">
        <f>'II-H-3.1-3'!O34</f>
        <v>0</v>
      </c>
      <c r="F35" s="32">
        <f>'II-H-1.2'!P34</f>
        <v>0</v>
      </c>
      <c r="G35" s="32">
        <f>'II-H-1.2'!P66</f>
        <v>0</v>
      </c>
      <c r="H35" s="32">
        <f>'II-H-1.2'!P98</f>
        <v>0</v>
      </c>
      <c r="I35" s="32">
        <f>'II-H-1.2'!P132</f>
        <v>0</v>
      </c>
      <c r="J35" s="32">
        <f>'II-H-1.2'!P164</f>
        <v>0</v>
      </c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</row>
    <row r="36" spans="1:127" s="34" customFormat="1">
      <c r="A36" s="46">
        <v>15</v>
      </c>
      <c r="B36" s="7" t="s">
        <v>70</v>
      </c>
      <c r="C36" s="38" t="s">
        <v>6</v>
      </c>
      <c r="D36" s="35">
        <f>'II-H-3.1-3'!Q35</f>
        <v>0</v>
      </c>
      <c r="E36" s="35">
        <f>'II-H-3.1-3'!O35</f>
        <v>0</v>
      </c>
      <c r="F36" s="35">
        <f>'II-H-1.2'!P35</f>
        <v>0</v>
      </c>
      <c r="G36" s="35">
        <f>'II-H-1.2'!P67</f>
        <v>0</v>
      </c>
      <c r="H36" s="35">
        <f>'II-H-1.2'!P99</f>
        <v>0</v>
      </c>
      <c r="I36" s="35">
        <f>'II-H-1.2'!P133</f>
        <v>0</v>
      </c>
      <c r="J36" s="35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</row>
    <row r="37" spans="1:127" s="34" customFormat="1">
      <c r="A37" s="46">
        <v>16</v>
      </c>
      <c r="B37" s="135" t="s">
        <v>23</v>
      </c>
      <c r="C37" s="18"/>
      <c r="D37" s="6">
        <f>'II-H-3.1-3'!Q139</f>
        <v>0</v>
      </c>
      <c r="E37" s="6">
        <f>'II-H-3.1-3'!O139</f>
        <v>0</v>
      </c>
      <c r="F37" s="6">
        <f>SUM(F35:F36)</f>
        <v>0</v>
      </c>
      <c r="G37" s="6">
        <f>SUM(G35:G36)</f>
        <v>0</v>
      </c>
      <c r="H37" s="6">
        <f>SUM(H35:H36)</f>
        <v>0</v>
      </c>
      <c r="I37" s="6">
        <f>SUM(I35:I36)</f>
        <v>0</v>
      </c>
      <c r="J37" s="6">
        <f>SUM(J35:J36)</f>
        <v>0</v>
      </c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</row>
    <row r="38" spans="1:127" s="34" customFormat="1">
      <c r="A38" s="46"/>
      <c r="C38" s="43"/>
      <c r="D38" s="41"/>
      <c r="E38" s="41"/>
      <c r="F38" s="41"/>
      <c r="G38" s="41"/>
      <c r="H38" s="41"/>
      <c r="I38" s="41"/>
      <c r="J38" s="41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37"/>
      <c r="DU38" s="37"/>
      <c r="DV38" s="37"/>
      <c r="DW38" s="37"/>
    </row>
    <row r="39" spans="1:127" s="34" customFormat="1" ht="12" thickBot="1">
      <c r="A39" s="46">
        <v>17</v>
      </c>
      <c r="B39" s="14" t="s">
        <v>92</v>
      </c>
      <c r="C39" s="18"/>
      <c r="D39" s="9">
        <f t="shared" ref="D39:J39" si="3">+D37+D33</f>
        <v>1320190</v>
      </c>
      <c r="E39" s="9">
        <f>+E37+E33</f>
        <v>1329612</v>
      </c>
      <c r="F39" s="9">
        <f t="shared" si="3"/>
        <v>38785345726</v>
      </c>
      <c r="G39" s="9">
        <f t="shared" si="3"/>
        <v>-475613866.99999958</v>
      </c>
      <c r="H39" s="9">
        <f t="shared" si="3"/>
        <v>-43538688.205906838</v>
      </c>
      <c r="I39" s="9">
        <f t="shared" si="3"/>
        <v>0</v>
      </c>
      <c r="J39" s="9">
        <f t="shared" si="3"/>
        <v>38266193170.79409</v>
      </c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7"/>
      <c r="DS39" s="37"/>
      <c r="DT39" s="37"/>
      <c r="DU39" s="37"/>
      <c r="DV39" s="37"/>
      <c r="DW39" s="37"/>
    </row>
    <row r="40" spans="1:127" ht="12" thickTop="1">
      <c r="D40" s="55"/>
      <c r="E40" s="53"/>
      <c r="F40" s="56"/>
      <c r="G40" s="56"/>
      <c r="H40" s="56"/>
      <c r="I40" s="56"/>
      <c r="J40" s="56"/>
    </row>
    <row r="41" spans="1:127">
      <c r="B41" s="16" t="s">
        <v>133</v>
      </c>
      <c r="D41" s="55"/>
      <c r="E41" s="53"/>
      <c r="F41" s="56"/>
      <c r="G41" s="56"/>
      <c r="H41" s="56"/>
      <c r="I41" s="56"/>
      <c r="J41" s="56"/>
    </row>
    <row r="42" spans="1:127">
      <c r="D42" s="55"/>
      <c r="E42" s="53"/>
      <c r="F42" s="56"/>
      <c r="G42" s="56"/>
      <c r="H42" s="56"/>
      <c r="I42" s="56"/>
      <c r="J42" s="56"/>
    </row>
    <row r="43" spans="1:127">
      <c r="D43" s="55"/>
      <c r="E43" s="53"/>
      <c r="F43" s="91"/>
      <c r="G43" s="56"/>
      <c r="H43" s="56"/>
      <c r="I43" s="56"/>
      <c r="J43" s="56"/>
    </row>
    <row r="44" spans="1:127">
      <c r="D44" s="55"/>
      <c r="E44" s="53"/>
      <c r="F44" s="56"/>
      <c r="G44" s="56"/>
      <c r="H44" s="56"/>
      <c r="I44" s="56"/>
      <c r="J44" s="56"/>
    </row>
    <row r="45" spans="1:127">
      <c r="D45" s="55"/>
      <c r="E45" s="53"/>
      <c r="F45" s="56"/>
      <c r="G45" s="56"/>
      <c r="H45" s="56"/>
      <c r="I45" s="56"/>
      <c r="J45" s="56"/>
    </row>
    <row r="46" spans="1:127">
      <c r="D46" s="55"/>
      <c r="E46" s="53"/>
      <c r="F46" s="56"/>
      <c r="G46" s="56"/>
      <c r="H46" s="56"/>
      <c r="I46" s="56"/>
      <c r="J46" s="56"/>
    </row>
    <row r="47" spans="1:127">
      <c r="D47" s="55"/>
      <c r="E47" s="53"/>
      <c r="F47" s="56"/>
      <c r="G47" s="56"/>
      <c r="H47" s="56"/>
      <c r="I47" s="56"/>
      <c r="J47" s="56"/>
    </row>
    <row r="48" spans="1:127">
      <c r="D48" s="55"/>
      <c r="E48" s="53"/>
      <c r="F48" s="56"/>
      <c r="G48" s="56"/>
      <c r="H48" s="56"/>
      <c r="I48" s="56"/>
      <c r="J48" s="56"/>
    </row>
    <row r="49" spans="4:10">
      <c r="D49" s="55"/>
      <c r="E49" s="53"/>
      <c r="F49" s="56"/>
      <c r="G49" s="56"/>
      <c r="H49" s="56"/>
      <c r="I49" s="56"/>
      <c r="J49" s="56"/>
    </row>
    <row r="50" spans="4:10">
      <c r="D50" s="55"/>
      <c r="E50" s="53"/>
      <c r="F50" s="56"/>
      <c r="G50" s="56"/>
      <c r="H50" s="56"/>
      <c r="I50" s="56"/>
      <c r="J50" s="56"/>
    </row>
    <row r="51" spans="4:10">
      <c r="D51" s="55"/>
      <c r="E51" s="53"/>
      <c r="F51" s="56"/>
      <c r="G51" s="56"/>
      <c r="H51" s="56"/>
      <c r="I51" s="56"/>
      <c r="J51" s="56"/>
    </row>
    <row r="52" spans="4:10">
      <c r="D52" s="55"/>
      <c r="E52" s="53"/>
      <c r="F52" s="56"/>
      <c r="G52" s="56"/>
      <c r="H52" s="56"/>
      <c r="I52" s="56"/>
      <c r="J52" s="56"/>
    </row>
    <row r="53" spans="4:10">
      <c r="D53" s="55"/>
      <c r="E53" s="53"/>
      <c r="F53" s="56"/>
      <c r="G53" s="56"/>
      <c r="H53" s="56"/>
      <c r="I53" s="56"/>
      <c r="J53" s="56"/>
    </row>
  </sheetData>
  <mergeCells count="3">
    <mergeCell ref="A8:J8"/>
    <mergeCell ref="A9:J9"/>
    <mergeCell ref="F11:J11"/>
  </mergeCells>
  <phoneticPr fontId="4" type="noConversion"/>
  <pageMargins left="0.7" right="0.7" top="1.07" bottom="0.75" header="0.3" footer="0.3"/>
  <pageSetup scale="94" fitToHeight="0" orientation="landscape" r:id="rId1"/>
  <headerFooter>
    <oddHeader>&amp;RDocket No 56165
Schedule &amp;A
Page &amp;P of &amp;N</oddHeader>
    <oddFooter>&amp;LSponsored by: Earlyne Reynolds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O1309"/>
  <sheetViews>
    <sheetView topLeftCell="A129" zoomScale="110" zoomScaleNormal="110" workbookViewId="0">
      <selection activeCell="U32" sqref="U32"/>
    </sheetView>
  </sheetViews>
  <sheetFormatPr defaultColWidth="9.140625" defaultRowHeight="11.25"/>
  <cols>
    <col min="1" max="1" width="4.5703125" style="4" customWidth="1"/>
    <col min="2" max="2" width="32.85546875" style="4" customWidth="1"/>
    <col min="3" max="3" width="5.7109375" style="5" customWidth="1"/>
    <col min="4" max="4" width="12.140625" style="41" customWidth="1"/>
    <col min="5" max="5" width="11.7109375" style="41" customWidth="1"/>
    <col min="6" max="6" width="12" style="41" bestFit="1" customWidth="1"/>
    <col min="7" max="7" width="13.140625" style="41" customWidth="1"/>
    <col min="8" max="8" width="12.28515625" style="41" customWidth="1"/>
    <col min="9" max="9" width="12" style="41" bestFit="1" customWidth="1"/>
    <col min="10" max="10" width="13.42578125" style="41" customWidth="1"/>
    <col min="11" max="14" width="12" style="41" bestFit="1" customWidth="1"/>
    <col min="15" max="15" width="12" style="32" bestFit="1" customWidth="1"/>
    <col min="16" max="16" width="14.42578125" style="45" bestFit="1" customWidth="1"/>
    <col min="17" max="17" width="12.42578125" style="7" bestFit="1" customWidth="1"/>
    <col min="18" max="18" width="13.140625" style="7" customWidth="1"/>
    <col min="19" max="145" width="9.140625" style="7"/>
    <col min="146" max="16384" width="9.140625" style="4"/>
  </cols>
  <sheetData>
    <row r="1" spans="1:145" ht="12" thickBot="1"/>
    <row r="2" spans="1:145">
      <c r="B2" s="203" t="s">
        <v>100</v>
      </c>
    </row>
    <row r="3" spans="1:145">
      <c r="B3" s="204" t="s">
        <v>101</v>
      </c>
    </row>
    <row r="4" spans="1:145">
      <c r="B4" s="205" t="s">
        <v>135</v>
      </c>
    </row>
    <row r="5" spans="1:145">
      <c r="B5" s="205" t="str">
        <f>'II-H-1.1'!B5</f>
        <v>TEST YEAR ENDING 9/30/2023</v>
      </c>
    </row>
    <row r="6" spans="1:145" ht="12" thickBot="1">
      <c r="B6" s="206" t="str">
        <f>+'II-H-1'!B6</f>
        <v>DOCKET 56165</v>
      </c>
    </row>
    <row r="7" spans="1:145">
      <c r="B7" s="369" t="s">
        <v>90</v>
      </c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27"/>
    </row>
    <row r="8" spans="1:145">
      <c r="B8" s="370" t="s">
        <v>38</v>
      </c>
      <c r="C8" s="370"/>
      <c r="D8" s="370"/>
      <c r="E8" s="370"/>
      <c r="F8" s="370"/>
      <c r="G8" s="370"/>
      <c r="H8" s="370"/>
      <c r="I8" s="370"/>
      <c r="J8" s="370"/>
      <c r="K8" s="370"/>
      <c r="L8" s="370"/>
      <c r="M8" s="370"/>
      <c r="N8" s="370"/>
      <c r="O8" s="370"/>
      <c r="P8" s="11" t="s">
        <v>1</v>
      </c>
    </row>
    <row r="9" spans="1:145">
      <c r="C9" s="134"/>
      <c r="D9" s="134"/>
      <c r="E9" s="134"/>
      <c r="F9" s="134"/>
      <c r="G9" s="134" t="s">
        <v>147</v>
      </c>
      <c r="I9" s="134"/>
      <c r="J9" s="134"/>
      <c r="K9" s="134"/>
      <c r="L9" s="217"/>
      <c r="M9" s="217"/>
      <c r="N9" s="217"/>
      <c r="O9" s="217"/>
      <c r="P9" s="4" t="s">
        <v>1</v>
      </c>
    </row>
    <row r="10" spans="1:145">
      <c r="B10" s="6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4"/>
    </row>
    <row r="11" spans="1:145">
      <c r="B11" s="13"/>
      <c r="D11" s="119"/>
      <c r="E11" s="19"/>
      <c r="F11" s="19"/>
      <c r="G11" s="119"/>
      <c r="M11" s="21"/>
      <c r="N11" s="21"/>
      <c r="O11" s="21"/>
      <c r="P11" s="20"/>
    </row>
    <row r="12" spans="1:145">
      <c r="A12" s="18" t="s">
        <v>8</v>
      </c>
      <c r="B12" s="8" t="s">
        <v>0</v>
      </c>
      <c r="C12" s="8" t="s">
        <v>7</v>
      </c>
      <c r="D12" s="219" t="s">
        <v>151</v>
      </c>
      <c r="E12" s="219" t="s">
        <v>152</v>
      </c>
      <c r="F12" s="219" t="s">
        <v>153</v>
      </c>
      <c r="G12" s="219" t="s">
        <v>154</v>
      </c>
      <c r="H12" s="219" t="s">
        <v>155</v>
      </c>
      <c r="I12" s="219" t="s">
        <v>156</v>
      </c>
      <c r="J12" s="219" t="s">
        <v>157</v>
      </c>
      <c r="K12" s="219" t="s">
        <v>158</v>
      </c>
      <c r="L12" s="219" t="s">
        <v>159</v>
      </c>
      <c r="M12" s="219" t="s">
        <v>160</v>
      </c>
      <c r="N12" s="219" t="s">
        <v>161</v>
      </c>
      <c r="O12" s="219" t="s">
        <v>162</v>
      </c>
      <c r="P12" s="22" t="s">
        <v>2</v>
      </c>
    </row>
    <row r="13" spans="1:145">
      <c r="B13" s="8"/>
      <c r="C13" s="8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2"/>
      <c r="P13" s="22"/>
      <c r="Q13" s="89" t="s">
        <v>76</v>
      </c>
      <c r="R13" s="89" t="s">
        <v>78</v>
      </c>
    </row>
    <row r="14" spans="1:145" s="34" customFormat="1">
      <c r="A14" s="46" t="s">
        <v>9</v>
      </c>
      <c r="B14" s="78" t="s">
        <v>17</v>
      </c>
      <c r="C14" s="85" t="s">
        <v>4</v>
      </c>
      <c r="D14" s="71" cm="1">
        <f t="array" ref="D14">SUMPRODUCT((H_Rate_Class=$B14)*[5]Energy!D$9:D$118)</f>
        <v>1030830606</v>
      </c>
      <c r="E14" s="71" cm="1">
        <f t="array" ref="E14">SUMPRODUCT((H_Rate_Class=$B14)*[5]Energy!E$9:E$118)</f>
        <v>795799107</v>
      </c>
      <c r="F14" s="71" cm="1">
        <f t="array" ref="F14">SUMPRODUCT((H_Rate_Class=$B14)*[5]Energy!F$9:F$118)</f>
        <v>926112371</v>
      </c>
      <c r="G14" s="71" cm="1">
        <f t="array" ref="G14">SUMPRODUCT((H_Rate_Class=$B14)*[5]Energy!G$9:G$118)</f>
        <v>993225833</v>
      </c>
      <c r="H14" s="71" cm="1">
        <f t="array" ref="H14">SUMPRODUCT((H_Rate_Class=$B14)*[5]Energy!H$9:H$118)</f>
        <v>874152468</v>
      </c>
      <c r="I14" s="71" cm="1">
        <f t="array" ref="I14">SUMPRODUCT((H_Rate_Class=$B14)*[5]Energy!I$9:I$118)</f>
        <v>802450848</v>
      </c>
      <c r="J14" s="71" cm="1">
        <f t="array" ref="J14">SUMPRODUCT((H_Rate_Class=$B14)*[5]Energy!J$9:J$118)</f>
        <v>790703542</v>
      </c>
      <c r="K14" s="71" cm="1">
        <f t="array" ref="K14">SUMPRODUCT((H_Rate_Class=$B14)*[5]Energy!K$9:K$118)</f>
        <v>863356125</v>
      </c>
      <c r="L14" s="71" cm="1">
        <f t="array" ref="L14">SUMPRODUCT((H_Rate_Class=$B14)*[5]Energy!L$9:L$118)</f>
        <v>1166326833</v>
      </c>
      <c r="M14" s="71" cm="1">
        <f t="array" ref="M14">SUMPRODUCT((H_Rate_Class=$B14)*[5]Energy!M$9:M$118)</f>
        <v>1523297212</v>
      </c>
      <c r="N14" s="71" cm="1">
        <f t="array" ref="N14">SUMPRODUCT((H_Rate_Class=$B14)*[5]Energy!N$9:N$118)</f>
        <v>1538580364</v>
      </c>
      <c r="O14" s="71" cm="1">
        <f t="array" ref="O14">SUMPRODUCT((H_Rate_Class=$B14)*[5]Energy!O$9:O$118)</f>
        <v>1492215334</v>
      </c>
      <c r="P14" s="93">
        <f>SUM(D14:O14)</f>
        <v>12797050643</v>
      </c>
      <c r="Q14" s="354">
        <f>'II-H-4.1 Functions'!F15/'II-H-1.2'!P14</f>
        <v>2.1785842013325681E-2</v>
      </c>
      <c r="R14" s="354">
        <f>'II-H-4.1 Functions'!I15/'II-H-1.2'!P14</f>
        <v>1.5254793310268215E-2</v>
      </c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</row>
    <row r="15" spans="1:145" s="34" customFormat="1">
      <c r="B15" s="78"/>
      <c r="C15" s="85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93"/>
      <c r="P15" s="93"/>
      <c r="Q15" s="355"/>
      <c r="R15" s="355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</row>
    <row r="16" spans="1:145" s="34" customFormat="1">
      <c r="A16" s="46">
        <v>2</v>
      </c>
      <c r="B16" s="78" t="s">
        <v>20</v>
      </c>
      <c r="C16" s="85" t="s">
        <v>4</v>
      </c>
      <c r="D16" s="71" cm="1">
        <f t="array" ref="D16">SUMPRODUCT((H_Rate_Class=$B16)*[5]Energy!D$9:D$118)</f>
        <v>57029485</v>
      </c>
      <c r="E16" s="71" cm="1">
        <f t="array" ref="E16">SUMPRODUCT((H_Rate_Class=$B16)*[5]Energy!E$9:E$118)</f>
        <v>50491315</v>
      </c>
      <c r="F16" s="71" cm="1">
        <f t="array" ref="F16">SUMPRODUCT((H_Rate_Class=$B16)*[5]Energy!F$9:F$118)</f>
        <v>53528583</v>
      </c>
      <c r="G16" s="71" cm="1">
        <f t="array" ref="G16">SUMPRODUCT((H_Rate_Class=$B16)*[5]Energy!G$9:G$118)</f>
        <v>54161558</v>
      </c>
      <c r="H16" s="71" cm="1">
        <f t="array" ref="H16">SUMPRODUCT((H_Rate_Class=$B16)*[5]Energy!H$9:H$118)</f>
        <v>49615650</v>
      </c>
      <c r="I16" s="71" cm="1">
        <f t="array" ref="I16">SUMPRODUCT((H_Rate_Class=$B16)*[5]Energy!I$9:I$118)</f>
        <v>48863762</v>
      </c>
      <c r="J16" s="71" cm="1">
        <f t="array" ref="J16">SUMPRODUCT((H_Rate_Class=$B16)*[5]Energy!J$9:J$118)</f>
        <v>48592645</v>
      </c>
      <c r="K16" s="71" cm="1">
        <f t="array" ref="K16">SUMPRODUCT((H_Rate_Class=$B16)*[5]Energy!K$9:K$118)</f>
        <v>50905532</v>
      </c>
      <c r="L16" s="71" cm="1">
        <f t="array" ref="L16">SUMPRODUCT((H_Rate_Class=$B16)*[5]Energy!L$9:L$118)</f>
        <v>58183673</v>
      </c>
      <c r="M16" s="71" cm="1">
        <f t="array" ref="M16">SUMPRODUCT((H_Rate_Class=$B16)*[5]Energy!M$9:M$118)</f>
        <v>67814236</v>
      </c>
      <c r="N16" s="71" cm="1">
        <f t="array" ref="N16">SUMPRODUCT((H_Rate_Class=$B16)*[5]Energy!N$9:N$118)</f>
        <v>70113857</v>
      </c>
      <c r="O16" s="71" cm="1">
        <f t="array" ref="O16">SUMPRODUCT((H_Rate_Class=$B16)*[5]Energy!O$9:O$118)</f>
        <v>69458368</v>
      </c>
      <c r="P16" s="93">
        <f>SUM(D16:O16)</f>
        <v>678758664</v>
      </c>
      <c r="Q16" s="354">
        <f>'II-H-4.1 Functions'!F17/'II-H-1.2'!P16</f>
        <v>2.1063902080389604E-2</v>
      </c>
      <c r="R16" s="354">
        <f>'II-H-4.1 Functions'!I17/'II-H-1.2'!P16</f>
        <v>9.6223640100747219E-3</v>
      </c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</row>
    <row r="17" spans="1:145" s="34" customFormat="1">
      <c r="A17" s="46"/>
      <c r="B17" s="78"/>
      <c r="C17" s="85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93"/>
      <c r="Q17" s="355"/>
      <c r="R17" s="355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</row>
    <row r="18" spans="1:145" s="34" customFormat="1">
      <c r="A18" s="46">
        <v>3</v>
      </c>
      <c r="B18" s="87" t="s">
        <v>84</v>
      </c>
      <c r="C18" s="74" t="s">
        <v>4</v>
      </c>
      <c r="D18" s="84" cm="1">
        <f t="array" ref="D18">SUMPRODUCT((H_Rate_Class=$B18)*[5]Energy!D$9:D$118)</f>
        <v>677255540</v>
      </c>
      <c r="E18" s="84" cm="1">
        <f t="array" ref="E18">SUMPRODUCT((H_Rate_Class=$B18)*[5]Energy!E$9:E$118)</f>
        <v>581315754</v>
      </c>
      <c r="F18" s="84" cm="1">
        <f t="array" ref="F18">SUMPRODUCT((H_Rate_Class=$B18)*[5]Energy!F$9:F$118)</f>
        <v>584049090</v>
      </c>
      <c r="G18" s="84" cm="1">
        <f t="array" ref="G18">SUMPRODUCT((H_Rate_Class=$B18)*[5]Energy!G$9:G$118)</f>
        <v>586060179</v>
      </c>
      <c r="H18" s="84" cm="1">
        <f t="array" ref="H18">SUMPRODUCT((H_Rate_Class=$B18)*[5]Energy!H$9:H$118)</f>
        <v>535341103</v>
      </c>
      <c r="I18" s="84" cm="1">
        <f t="array" ref="I18">SUMPRODUCT((H_Rate_Class=$B18)*[5]Energy!I$9:I$118)</f>
        <v>564700229</v>
      </c>
      <c r="J18" s="84" cm="1">
        <f t="array" ref="J18">SUMPRODUCT((H_Rate_Class=$B18)*[5]Energy!J$9:J$118)</f>
        <v>580527274</v>
      </c>
      <c r="K18" s="84" cm="1">
        <f t="array" ref="K18">SUMPRODUCT((H_Rate_Class=$B18)*[5]Energy!K$9:K$118)</f>
        <v>612828213</v>
      </c>
      <c r="L18" s="84" cm="1">
        <f t="array" ref="L18">SUMPRODUCT((H_Rate_Class=$B18)*[5]Energy!L$9:L$118)</f>
        <v>716030631</v>
      </c>
      <c r="M18" s="84" cm="1">
        <f t="array" ref="M18">SUMPRODUCT((H_Rate_Class=$B18)*[5]Energy!M$9:M$118)</f>
        <v>829449738</v>
      </c>
      <c r="N18" s="84" cm="1">
        <f t="array" ref="N18">SUMPRODUCT((H_Rate_Class=$B18)*[5]Energy!N$9:N$118)</f>
        <v>841526157</v>
      </c>
      <c r="O18" s="84" cm="1">
        <f t="array" ref="O18">SUMPRODUCT((H_Rate_Class=$B18)*[5]Energy!O$9:O$118)</f>
        <v>847276494</v>
      </c>
      <c r="P18" s="93">
        <f>SUM(D18:O18)</f>
        <v>7956360402</v>
      </c>
      <c r="Q18" s="355"/>
      <c r="R18" s="355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</row>
    <row r="19" spans="1:145" s="34" customFormat="1">
      <c r="A19" s="46">
        <v>4</v>
      </c>
      <c r="B19" s="87" t="s">
        <v>85</v>
      </c>
      <c r="C19" s="74" t="s">
        <v>4</v>
      </c>
      <c r="D19" s="72" cm="1">
        <f t="array" ref="D19">SUMPRODUCT((H_Rate_Class=$B19)*[5]Energy!D$9:D$118)</f>
        <v>112154601</v>
      </c>
      <c r="E19" s="72" cm="1">
        <f t="array" ref="E19">SUMPRODUCT((H_Rate_Class=$B19)*[5]Energy!E$9:E$118)</f>
        <v>99177738</v>
      </c>
      <c r="F19" s="72" cm="1">
        <f t="array" ref="F19">SUMPRODUCT((H_Rate_Class=$B19)*[5]Energy!F$9:F$118)</f>
        <v>103548456</v>
      </c>
      <c r="G19" s="72" cm="1">
        <f t="array" ref="G19">SUMPRODUCT((H_Rate_Class=$B19)*[5]Energy!G$9:G$118)</f>
        <v>98923977</v>
      </c>
      <c r="H19" s="72" cm="1">
        <f t="array" ref="H19">SUMPRODUCT((H_Rate_Class=$B19)*[5]Energy!H$9:H$118)</f>
        <v>90170835</v>
      </c>
      <c r="I19" s="72" cm="1">
        <f t="array" ref="I19">SUMPRODUCT((H_Rate_Class=$B19)*[5]Energy!I$9:I$118)</f>
        <v>95019133</v>
      </c>
      <c r="J19" s="72" cm="1">
        <f t="array" ref="J19">SUMPRODUCT((H_Rate_Class=$B19)*[5]Energy!J$9:J$118)</f>
        <v>101144648</v>
      </c>
      <c r="K19" s="72" cm="1">
        <f t="array" ref="K19">SUMPRODUCT((H_Rate_Class=$B19)*[5]Energy!K$9:K$118)</f>
        <v>101827371</v>
      </c>
      <c r="L19" s="72" cm="1">
        <f t="array" ref="L19">SUMPRODUCT((H_Rate_Class=$B19)*[5]Energy!L$9:L$118)</f>
        <v>114590756</v>
      </c>
      <c r="M19" s="72" cm="1">
        <f t="array" ref="M19">SUMPRODUCT((H_Rate_Class=$B19)*[5]Energy!M$9:M$118)</f>
        <v>123811776</v>
      </c>
      <c r="N19" s="72" cm="1">
        <f t="array" ref="N19">SUMPRODUCT((H_Rate_Class=$B19)*[5]Energy!N$9:N$118)</f>
        <v>128995468</v>
      </c>
      <c r="O19" s="72" cm="1">
        <f t="array" ref="O19">SUMPRODUCT((H_Rate_Class=$B19)*[5]Energy!O$9:O$118)</f>
        <v>138130242</v>
      </c>
      <c r="P19" s="72">
        <f>SUM(D19:O19)</f>
        <v>1307495001</v>
      </c>
      <c r="Q19" s="355"/>
      <c r="R19" s="355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</row>
    <row r="20" spans="1:145" s="34" customFormat="1">
      <c r="A20" s="46">
        <v>5</v>
      </c>
      <c r="B20" s="96" t="s">
        <v>18</v>
      </c>
      <c r="C20" s="85"/>
      <c r="D20" s="94">
        <f>SUM(D18:D19)</f>
        <v>789410141</v>
      </c>
      <c r="E20" s="94">
        <f t="shared" ref="E20:P20" si="0">SUM(E18:E19)</f>
        <v>680493492</v>
      </c>
      <c r="F20" s="94">
        <f t="shared" si="0"/>
        <v>687597546</v>
      </c>
      <c r="G20" s="94">
        <f t="shared" si="0"/>
        <v>684984156</v>
      </c>
      <c r="H20" s="94">
        <f t="shared" si="0"/>
        <v>625511938</v>
      </c>
      <c r="I20" s="94">
        <f t="shared" si="0"/>
        <v>659719362</v>
      </c>
      <c r="J20" s="94">
        <f t="shared" si="0"/>
        <v>681671922</v>
      </c>
      <c r="K20" s="94">
        <f t="shared" si="0"/>
        <v>714655584</v>
      </c>
      <c r="L20" s="94">
        <f t="shared" si="0"/>
        <v>830621387</v>
      </c>
      <c r="M20" s="94">
        <f t="shared" si="0"/>
        <v>953261514</v>
      </c>
      <c r="N20" s="94">
        <f t="shared" si="0"/>
        <v>970521625</v>
      </c>
      <c r="O20" s="94">
        <f t="shared" si="0"/>
        <v>985406736</v>
      </c>
      <c r="P20" s="94">
        <f t="shared" si="0"/>
        <v>9263855403</v>
      </c>
      <c r="Q20" s="355"/>
      <c r="R20" s="355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</row>
    <row r="21" spans="1:145" s="34" customFormat="1">
      <c r="B21" s="146"/>
      <c r="C21" s="85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71"/>
      <c r="P21" s="71"/>
      <c r="Q21" s="355"/>
      <c r="R21" s="355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</row>
    <row r="22" spans="1:145" s="34" customFormat="1">
      <c r="A22" s="46">
        <v>6</v>
      </c>
      <c r="B22" s="87" t="s">
        <v>82</v>
      </c>
      <c r="C22" s="74" t="s">
        <v>5</v>
      </c>
      <c r="D22" s="71" cm="1">
        <f t="array" ref="D22">SUMPRODUCT((H_Rate_Class=$B22)*[5]Energy!D$9:D$118)-D24</f>
        <v>19380025</v>
      </c>
      <c r="E22" s="71" cm="1">
        <f t="array" ref="E22">SUMPRODUCT((H_Rate_Class=$B22)*[5]Energy!E$9:E$118)-E24</f>
        <v>19173997</v>
      </c>
      <c r="F22" s="71" cm="1">
        <f t="array" ref="F22">SUMPRODUCT((H_Rate_Class=$B22)*[5]Energy!F$9:F$118)-F24</f>
        <v>21118424</v>
      </c>
      <c r="G22" s="71" cm="1">
        <f t="array" ref="G22">SUMPRODUCT((H_Rate_Class=$B22)*[5]Energy!G$9:G$118)-G24</f>
        <v>19277379</v>
      </c>
      <c r="H22" s="71" cm="1">
        <f t="array" ref="H22">SUMPRODUCT((H_Rate_Class=$B22)*[5]Energy!H$9:H$118)-H24</f>
        <v>19145834</v>
      </c>
      <c r="I22" s="71" cm="1">
        <f t="array" ref="I22">SUMPRODUCT((H_Rate_Class=$B22)*[5]Energy!I$9:I$118)-I24</f>
        <v>20878902</v>
      </c>
      <c r="J22" s="71" cm="1">
        <f t="array" ref="J22">SUMPRODUCT((H_Rate_Class=$B22)*[5]Energy!J$9:J$118)-J24</f>
        <v>22537497</v>
      </c>
      <c r="K22" s="71" cm="1">
        <f t="array" ref="K22">SUMPRODUCT((H_Rate_Class=$B22)*[5]Energy!K$9:K$118)-K24</f>
        <v>24721739</v>
      </c>
      <c r="L22" s="71" cm="1">
        <f t="array" ref="L22">SUMPRODUCT((H_Rate_Class=$B22)*[5]Energy!L$9:L$118)-L24</f>
        <v>23302341</v>
      </c>
      <c r="M22" s="71" cm="1">
        <f t="array" ref="M22">SUMPRODUCT((H_Rate_Class=$B22)*[5]Energy!M$9:M$118)-M24</f>
        <v>24401703</v>
      </c>
      <c r="N22" s="71" cm="1">
        <f t="array" ref="N22">SUMPRODUCT((H_Rate_Class=$B22)*[5]Energy!N$9:N$118)-N24</f>
        <v>24586959</v>
      </c>
      <c r="O22" s="71" cm="1">
        <f t="array" ref="O22">SUMPRODUCT((H_Rate_Class=$B22)*[5]Energy!O$9:O$118)-O24</f>
        <v>25271869</v>
      </c>
      <c r="P22" s="93">
        <f>SUM(D22:O22)</f>
        <v>263796669</v>
      </c>
      <c r="Q22" s="355"/>
      <c r="R22" s="355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</row>
    <row r="23" spans="1:145" s="34" customFormat="1">
      <c r="A23" s="46">
        <v>7</v>
      </c>
      <c r="B23" s="87" t="s">
        <v>83</v>
      </c>
      <c r="C23" s="74" t="s">
        <v>5</v>
      </c>
      <c r="D23" s="84" cm="1">
        <f t="array" ref="D23">SUMPRODUCT((H_Rate_Class=$B23)*[5]Energy!D$9:D$118)-D25</f>
        <v>308798023</v>
      </c>
      <c r="E23" s="84" cm="1">
        <f t="array" ref="E23">SUMPRODUCT((H_Rate_Class=$B23)*[5]Energy!E$9:E$118)-E25</f>
        <v>300702542</v>
      </c>
      <c r="F23" s="84" cm="1">
        <f t="array" ref="F23">SUMPRODUCT((H_Rate_Class=$B23)*[5]Energy!F$9:F$118)-F25</f>
        <v>309414261</v>
      </c>
      <c r="G23" s="84" cm="1">
        <f t="array" ref="G23">SUMPRODUCT((H_Rate_Class=$B23)*[5]Energy!G$9:G$118)-G25</f>
        <v>317946576</v>
      </c>
      <c r="H23" s="84" cm="1">
        <f t="array" ref="H23">SUMPRODUCT((H_Rate_Class=$B23)*[5]Energy!H$9:H$118)-H25</f>
        <v>290350982</v>
      </c>
      <c r="I23" s="84" cm="1">
        <f t="array" ref="I23">SUMPRODUCT((H_Rate_Class=$B23)*[5]Energy!I$9:I$118)-I25</f>
        <v>296423645</v>
      </c>
      <c r="J23" s="84" cm="1">
        <f t="array" ref="J23">SUMPRODUCT((H_Rate_Class=$B23)*[5]Energy!J$9:J$118)-J25</f>
        <v>308572852</v>
      </c>
      <c r="K23" s="84" cm="1">
        <f t="array" ref="K23">SUMPRODUCT((H_Rate_Class=$B23)*[5]Energy!K$9:K$118)-K25</f>
        <v>312036499</v>
      </c>
      <c r="L23" s="84" cm="1">
        <f t="array" ref="L23">SUMPRODUCT((H_Rate_Class=$B23)*[5]Energy!L$9:L$118)-L25</f>
        <v>334858516</v>
      </c>
      <c r="M23" s="84" cm="1">
        <f t="array" ref="M23">SUMPRODUCT((H_Rate_Class=$B23)*[5]Energy!M$9:M$118)-M25</f>
        <v>342716193</v>
      </c>
      <c r="N23" s="84" cm="1">
        <f t="array" ref="N23">SUMPRODUCT((H_Rate_Class=$B23)*[5]Energy!N$9:N$118)-N25</f>
        <v>355973274</v>
      </c>
      <c r="O23" s="84" cm="1">
        <f t="array" ref="O23">SUMPRODUCT((H_Rate_Class=$B23)*[5]Energy!O$9:O$118)-O25</f>
        <v>350324818</v>
      </c>
      <c r="P23" s="103">
        <f>SUM(D23:O23)</f>
        <v>3828118181</v>
      </c>
      <c r="Q23" s="355"/>
      <c r="R23" s="355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</row>
    <row r="24" spans="1:145" s="34" customFormat="1">
      <c r="A24" s="46">
        <v>8</v>
      </c>
      <c r="B24" s="87" t="s">
        <v>148</v>
      </c>
      <c r="C24" s="74" t="s">
        <v>5</v>
      </c>
      <c r="D24" s="299">
        <f>+'Primary Sub'!C18</f>
        <v>431400</v>
      </c>
      <c r="E24" s="299">
        <f>+'Primary Sub'!D18</f>
        <v>410400</v>
      </c>
      <c r="F24" s="299">
        <f>+'Primary Sub'!E18</f>
        <v>467000</v>
      </c>
      <c r="G24" s="299">
        <f>+'Primary Sub'!F18</f>
        <v>366800</v>
      </c>
      <c r="H24" s="299">
        <f>+'Primary Sub'!G18</f>
        <v>371400</v>
      </c>
      <c r="I24" s="299">
        <f>+'Primary Sub'!H18</f>
        <v>472200</v>
      </c>
      <c r="J24" s="299">
        <f>+'Primary Sub'!I18</f>
        <v>495400</v>
      </c>
      <c r="K24" s="299">
        <f>+'Primary Sub'!J18</f>
        <v>550400</v>
      </c>
      <c r="L24" s="299">
        <f>+'Primary Sub'!K18</f>
        <v>592800</v>
      </c>
      <c r="M24" s="299">
        <f>+'Primary Sub'!L18</f>
        <v>591600</v>
      </c>
      <c r="N24" s="299">
        <f>+'Primary Sub'!M18</f>
        <v>553200</v>
      </c>
      <c r="O24" s="299">
        <f>+'Primary Sub'!N18</f>
        <v>578000</v>
      </c>
      <c r="P24" s="103">
        <f>IF(SUM(D24:O24)='Primary Sub'!O18,SUM(D24:O24),0)</f>
        <v>5880600</v>
      </c>
      <c r="Q24" s="355"/>
      <c r="R24" s="355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</row>
    <row r="25" spans="1:145" s="34" customFormat="1">
      <c r="A25" s="46">
        <v>9</v>
      </c>
      <c r="B25" s="87" t="s">
        <v>149</v>
      </c>
      <c r="C25" s="74" t="s">
        <v>5</v>
      </c>
      <c r="D25" s="299">
        <f>+'Primary Sub'!C19</f>
        <v>47509460</v>
      </c>
      <c r="E25" s="299">
        <f>+'Primary Sub'!D19</f>
        <v>42370760</v>
      </c>
      <c r="F25" s="299">
        <f>+'Primary Sub'!E19</f>
        <v>45245780</v>
      </c>
      <c r="G25" s="299">
        <f>+'Primary Sub'!F19</f>
        <v>48271520</v>
      </c>
      <c r="H25" s="299">
        <f>+'Primary Sub'!G19</f>
        <v>46462940</v>
      </c>
      <c r="I25" s="299">
        <f>+'Primary Sub'!H19</f>
        <v>39455100</v>
      </c>
      <c r="J25" s="299">
        <f>+'Primary Sub'!I19</f>
        <v>44769280</v>
      </c>
      <c r="K25" s="299">
        <f>+'Primary Sub'!J19</f>
        <v>41432480</v>
      </c>
      <c r="L25" s="299">
        <f>+'Primary Sub'!K19</f>
        <v>41083840</v>
      </c>
      <c r="M25" s="299">
        <f>+'Primary Sub'!L19</f>
        <v>34412140</v>
      </c>
      <c r="N25" s="299">
        <f>+'Primary Sub'!M19</f>
        <v>31610100</v>
      </c>
      <c r="O25" s="299">
        <f>+'Primary Sub'!N19</f>
        <v>37295980</v>
      </c>
      <c r="P25" s="103">
        <f>IF(SUM(D25:O25)='Primary Sub'!O19,SUM(D25:O25),0)</f>
        <v>499919380</v>
      </c>
      <c r="Q25" s="355"/>
      <c r="R25" s="355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</row>
    <row r="26" spans="1:145" s="34" customFormat="1">
      <c r="A26" s="46">
        <v>10</v>
      </c>
      <c r="B26" s="78" t="s">
        <v>19</v>
      </c>
      <c r="C26" s="74"/>
      <c r="D26" s="218">
        <f>SUM(D22:D25)</f>
        <v>376118908</v>
      </c>
      <c r="E26" s="218">
        <f t="shared" ref="E26:P26" si="1">SUM(E22:E25)</f>
        <v>362657699</v>
      </c>
      <c r="F26" s="218">
        <f t="shared" si="1"/>
        <v>376245465</v>
      </c>
      <c r="G26" s="218">
        <f t="shared" si="1"/>
        <v>385862275</v>
      </c>
      <c r="H26" s="218">
        <f t="shared" si="1"/>
        <v>356331156</v>
      </c>
      <c r="I26" s="218">
        <f t="shared" si="1"/>
        <v>357229847</v>
      </c>
      <c r="J26" s="218">
        <f t="shared" si="1"/>
        <v>376375029</v>
      </c>
      <c r="K26" s="218">
        <f t="shared" si="1"/>
        <v>378741118</v>
      </c>
      <c r="L26" s="218">
        <f t="shared" si="1"/>
        <v>399837497</v>
      </c>
      <c r="M26" s="218">
        <f t="shared" si="1"/>
        <v>402121636</v>
      </c>
      <c r="N26" s="218">
        <f t="shared" si="1"/>
        <v>412723533</v>
      </c>
      <c r="O26" s="218">
        <f t="shared" si="1"/>
        <v>413470667</v>
      </c>
      <c r="P26" s="218">
        <f t="shared" si="1"/>
        <v>4597714830</v>
      </c>
      <c r="Q26" s="355"/>
      <c r="R26" s="355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</row>
    <row r="27" spans="1:145" s="34" customFormat="1">
      <c r="A27" s="46"/>
      <c r="B27" s="78"/>
      <c r="C27" s="74"/>
      <c r="D27" s="175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93"/>
      <c r="Q27" s="355"/>
      <c r="R27" s="355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</row>
    <row r="28" spans="1:145" s="34" customFormat="1">
      <c r="A28" s="46">
        <v>11</v>
      </c>
      <c r="B28" s="96" t="s">
        <v>86</v>
      </c>
      <c r="C28" s="74" t="s">
        <v>6</v>
      </c>
      <c r="D28" s="71" cm="1">
        <f t="array" ref="D28">SUMPRODUCT((H_Rate_Class=$B28)*[5]Energy!D$9:D$118)</f>
        <v>748095972</v>
      </c>
      <c r="E28" s="71" cm="1">
        <f t="array" ref="E28">SUMPRODUCT((H_Rate_Class=$B28)*[5]Energy!E$9:E$118)</f>
        <v>953393948</v>
      </c>
      <c r="F28" s="71" cm="1">
        <f t="array" ref="F28">SUMPRODUCT((H_Rate_Class=$B28)*[5]Energy!F$9:F$118)</f>
        <v>832830028</v>
      </c>
      <c r="G28" s="71" cm="1">
        <f t="array" ref="G28">SUMPRODUCT((H_Rate_Class=$B28)*[5]Energy!G$9:G$118)</f>
        <v>982961652</v>
      </c>
      <c r="H28" s="71" cm="1">
        <f t="array" ref="H28">SUMPRODUCT((H_Rate_Class=$B28)*[5]Energy!H$9:H$118)</f>
        <v>900610195</v>
      </c>
      <c r="I28" s="71" cm="1">
        <f t="array" ref="I28">SUMPRODUCT((H_Rate_Class=$B28)*[5]Energy!I$9:I$118)</f>
        <v>959433826</v>
      </c>
      <c r="J28" s="71" cm="1">
        <f t="array" ref="J28">SUMPRODUCT((H_Rate_Class=$B28)*[5]Energy!J$9:J$118)</f>
        <v>908905693</v>
      </c>
      <c r="K28" s="71" cm="1">
        <f t="array" ref="K28">SUMPRODUCT((H_Rate_Class=$B28)*[5]Energy!K$9:K$118)</f>
        <v>967240722</v>
      </c>
      <c r="L28" s="71" cm="1">
        <f t="array" ref="L28">SUMPRODUCT((H_Rate_Class=$B28)*[5]Energy!L$9:L$118)</f>
        <v>1019062462</v>
      </c>
      <c r="M28" s="71" cm="1">
        <f t="array" ref="M28">SUMPRODUCT((H_Rate_Class=$B28)*[5]Energy!M$9:M$118)</f>
        <v>969600905</v>
      </c>
      <c r="N28" s="71" cm="1">
        <f t="array" ref="N28">SUMPRODUCT((H_Rate_Class=$B28)*[5]Energy!N$9:N$118)</f>
        <v>988221556</v>
      </c>
      <c r="O28" s="71" cm="1">
        <f t="array" ref="O28">SUMPRODUCT((H_Rate_Class=$B28)*[5]Energy!O$9:O$118)</f>
        <v>976672890</v>
      </c>
      <c r="P28" s="93">
        <f>SUM(D28:O28)</f>
        <v>11207029849</v>
      </c>
      <c r="Q28" s="355"/>
      <c r="R28" s="355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</row>
    <row r="29" spans="1:145" s="34" customFormat="1">
      <c r="B29" s="78"/>
      <c r="C29" s="85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71"/>
      <c r="Q29" s="355"/>
      <c r="R29" s="355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</row>
    <row r="30" spans="1:145" s="34" customFormat="1">
      <c r="A30" s="46">
        <v>12</v>
      </c>
      <c r="B30" s="68" t="s">
        <v>21</v>
      </c>
      <c r="C30" s="74" t="s">
        <v>4</v>
      </c>
      <c r="D30" s="71" cm="1">
        <f t="array" ref="D30">SUMPRODUCT((H_Rate_Class=$B30)*[5]Energy!D$9:D$118)</f>
        <v>20205776</v>
      </c>
      <c r="E30" s="71" cm="1">
        <f t="array" ref="E30">SUMPRODUCT((H_Rate_Class=$B30)*[5]Energy!E$9:E$118)</f>
        <v>20288043</v>
      </c>
      <c r="F30" s="71" cm="1">
        <f t="array" ref="F30">SUMPRODUCT((H_Rate_Class=$B30)*[5]Energy!F$9:F$118)</f>
        <v>20121015</v>
      </c>
      <c r="G30" s="71" cm="1">
        <f t="array" ref="G30">SUMPRODUCT((H_Rate_Class=$B30)*[5]Energy!G$9:G$118)</f>
        <v>20163075</v>
      </c>
      <c r="H30" s="71" cm="1">
        <f t="array" ref="H30">SUMPRODUCT((H_Rate_Class=$B30)*[5]Energy!H$9:H$118)</f>
        <v>20042292</v>
      </c>
      <c r="I30" s="71" cm="1">
        <f t="array" ref="I30">SUMPRODUCT((H_Rate_Class=$B30)*[5]Energy!I$9:I$118)</f>
        <v>20100508</v>
      </c>
      <c r="J30" s="71" cm="1">
        <f t="array" ref="J30">SUMPRODUCT((H_Rate_Class=$B30)*[5]Energy!J$9:J$118)</f>
        <v>20075515</v>
      </c>
      <c r="K30" s="71" cm="1">
        <f t="array" ref="K30">SUMPRODUCT((H_Rate_Class=$B30)*[5]Energy!K$9:K$118)</f>
        <v>20064594</v>
      </c>
      <c r="L30" s="71" cm="1">
        <f t="array" ref="L30">SUMPRODUCT((H_Rate_Class=$B30)*[5]Energy!L$9:L$118)</f>
        <v>19992762</v>
      </c>
      <c r="M30" s="71" cm="1">
        <f t="array" ref="M30">SUMPRODUCT((H_Rate_Class=$B30)*[5]Energy!M$9:M$118)</f>
        <v>20049934</v>
      </c>
      <c r="N30" s="71" cm="1">
        <f t="array" ref="N30">SUMPRODUCT((H_Rate_Class=$B30)*[5]Energy!N$9:N$118)</f>
        <v>19905564</v>
      </c>
      <c r="O30" s="71" cm="1">
        <f t="array" ref="O30">SUMPRODUCT((H_Rate_Class=$B30)*[5]Energy!O$9:O$118)</f>
        <v>19927259</v>
      </c>
      <c r="P30" s="93">
        <f>SUM(D30:O30)</f>
        <v>240936337</v>
      </c>
      <c r="Q30" s="354">
        <f>'II-H-4.1 Functions'!F31/'II-H-1.2'!P30</f>
        <v>8.9806651578868094E-2</v>
      </c>
      <c r="R30" s="354">
        <f>'II-H-4.1 Functions'!I31/'II-H-1.2'!P30</f>
        <v>9.5956343438557377E-3</v>
      </c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/>
      <c r="EJ30" s="37"/>
      <c r="EK30" s="37"/>
      <c r="EL30" s="37"/>
      <c r="EM30" s="37"/>
      <c r="EN30" s="37"/>
      <c r="EO30" s="37"/>
    </row>
    <row r="31" spans="1:145" s="34" customFormat="1">
      <c r="A31" s="46"/>
      <c r="B31" s="78"/>
      <c r="C31" s="85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71"/>
      <c r="P31" s="71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7"/>
      <c r="EI31" s="37"/>
      <c r="EJ31" s="37"/>
      <c r="EK31" s="37"/>
      <c r="EL31" s="37"/>
      <c r="EM31" s="37"/>
      <c r="EN31" s="37"/>
      <c r="EO31" s="37"/>
    </row>
    <row r="32" spans="1:145" s="34" customFormat="1">
      <c r="A32" s="46">
        <v>13</v>
      </c>
      <c r="B32" s="114" t="s">
        <v>22</v>
      </c>
      <c r="C32" s="143"/>
      <c r="D32" s="115">
        <f>D30+D28+D26+D20+D16+D14</f>
        <v>3021690888</v>
      </c>
      <c r="E32" s="115">
        <f t="shared" ref="E32:P32" si="2">E30+E28+E26+E20+E16+E14</f>
        <v>2863123604</v>
      </c>
      <c r="F32" s="115">
        <f t="shared" si="2"/>
        <v>2896435008</v>
      </c>
      <c r="G32" s="115">
        <f t="shared" si="2"/>
        <v>3121358549</v>
      </c>
      <c r="H32" s="115">
        <f t="shared" si="2"/>
        <v>2826263699</v>
      </c>
      <c r="I32" s="115">
        <f t="shared" si="2"/>
        <v>2847798153</v>
      </c>
      <c r="J32" s="115">
        <f t="shared" si="2"/>
        <v>2826324346</v>
      </c>
      <c r="K32" s="115">
        <f t="shared" si="2"/>
        <v>2994963675</v>
      </c>
      <c r="L32" s="115">
        <f t="shared" si="2"/>
        <v>3494024614</v>
      </c>
      <c r="M32" s="115">
        <f t="shared" si="2"/>
        <v>3936145437</v>
      </c>
      <c r="N32" s="115">
        <f t="shared" si="2"/>
        <v>4000066499</v>
      </c>
      <c r="O32" s="115">
        <f t="shared" si="2"/>
        <v>3957151254</v>
      </c>
      <c r="P32" s="115">
        <f t="shared" si="2"/>
        <v>38785345726</v>
      </c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  <c r="EF32" s="37"/>
      <c r="EG32" s="37"/>
      <c r="EH32" s="37"/>
      <c r="EI32" s="37"/>
      <c r="EJ32" s="37"/>
      <c r="EK32" s="37"/>
      <c r="EL32" s="37"/>
      <c r="EM32" s="37"/>
      <c r="EN32" s="37"/>
      <c r="EO32" s="37"/>
    </row>
    <row r="33" spans="1:145" s="34" customFormat="1">
      <c r="B33" s="143"/>
      <c r="C33" s="143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93"/>
      <c r="P33" s="93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</row>
    <row r="34" spans="1:145" s="34" customFormat="1">
      <c r="A34" s="46">
        <v>14</v>
      </c>
      <c r="B34" s="89" t="s">
        <v>69</v>
      </c>
      <c r="C34" s="74" t="s">
        <v>5</v>
      </c>
      <c r="D34" s="71">
        <v>0</v>
      </c>
      <c r="E34" s="71">
        <v>0</v>
      </c>
      <c r="F34" s="71">
        <v>0</v>
      </c>
      <c r="G34" s="71">
        <v>0</v>
      </c>
      <c r="H34" s="71">
        <v>0</v>
      </c>
      <c r="I34" s="71">
        <v>0</v>
      </c>
      <c r="J34" s="71">
        <v>0</v>
      </c>
      <c r="K34" s="71">
        <v>0</v>
      </c>
      <c r="L34" s="71">
        <v>0</v>
      </c>
      <c r="M34" s="71">
        <v>0</v>
      </c>
      <c r="N34" s="71">
        <v>0</v>
      </c>
      <c r="O34" s="71">
        <v>0</v>
      </c>
      <c r="P34" s="93">
        <f>SUM(D34:O34)</f>
        <v>0</v>
      </c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</row>
    <row r="35" spans="1:145" s="34" customFormat="1">
      <c r="A35" s="46">
        <v>15</v>
      </c>
      <c r="B35" s="89" t="s">
        <v>70</v>
      </c>
      <c r="C35" s="74" t="s">
        <v>6</v>
      </c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104">
        <f>SUM(D35:O35)</f>
        <v>0</v>
      </c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</row>
    <row r="36" spans="1:145" s="34" customFormat="1">
      <c r="A36" s="46">
        <v>16</v>
      </c>
      <c r="B36" s="114" t="s">
        <v>23</v>
      </c>
      <c r="C36" s="145"/>
      <c r="D36" s="100">
        <f t="shared" ref="D36:P36" si="3">SUM(D34:D35)</f>
        <v>0</v>
      </c>
      <c r="E36" s="100">
        <f t="shared" si="3"/>
        <v>0</v>
      </c>
      <c r="F36" s="100">
        <f t="shared" si="3"/>
        <v>0</v>
      </c>
      <c r="G36" s="100">
        <f t="shared" si="3"/>
        <v>0</v>
      </c>
      <c r="H36" s="100">
        <f t="shared" si="3"/>
        <v>0</v>
      </c>
      <c r="I36" s="100">
        <f t="shared" si="3"/>
        <v>0</v>
      </c>
      <c r="J36" s="100">
        <f t="shared" si="3"/>
        <v>0</v>
      </c>
      <c r="K36" s="100">
        <f t="shared" si="3"/>
        <v>0</v>
      </c>
      <c r="L36" s="100">
        <f t="shared" si="3"/>
        <v>0</v>
      </c>
      <c r="M36" s="100">
        <f t="shared" si="3"/>
        <v>0</v>
      </c>
      <c r="N36" s="100">
        <f t="shared" si="3"/>
        <v>0</v>
      </c>
      <c r="O36" s="93">
        <f t="shared" si="3"/>
        <v>0</v>
      </c>
      <c r="P36" s="93">
        <f t="shared" si="3"/>
        <v>0</v>
      </c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</row>
    <row r="37" spans="1:145" s="34" customFormat="1">
      <c r="A37" s="46"/>
      <c r="B37" s="78"/>
      <c r="C37" s="116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71"/>
      <c r="P37" s="71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/>
      <c r="EJ37" s="37"/>
      <c r="EK37" s="37"/>
      <c r="EL37" s="37"/>
      <c r="EM37" s="37"/>
      <c r="EN37" s="37"/>
      <c r="EO37" s="37"/>
    </row>
    <row r="38" spans="1:145" s="34" customFormat="1" ht="12" thickBot="1">
      <c r="A38" s="46">
        <v>17</v>
      </c>
      <c r="B38" s="147" t="s">
        <v>92</v>
      </c>
      <c r="C38" s="145"/>
      <c r="D38" s="148">
        <f t="shared" ref="D38:P38" si="4">+D36+D32</f>
        <v>3021690888</v>
      </c>
      <c r="E38" s="148">
        <f t="shared" si="4"/>
        <v>2863123604</v>
      </c>
      <c r="F38" s="148">
        <f t="shared" si="4"/>
        <v>2896435008</v>
      </c>
      <c r="G38" s="148">
        <f t="shared" si="4"/>
        <v>3121358549</v>
      </c>
      <c r="H38" s="148">
        <f t="shared" si="4"/>
        <v>2826263699</v>
      </c>
      <c r="I38" s="148">
        <f t="shared" si="4"/>
        <v>2847798153</v>
      </c>
      <c r="J38" s="148">
        <f t="shared" si="4"/>
        <v>2826324346</v>
      </c>
      <c r="K38" s="148">
        <f t="shared" si="4"/>
        <v>2994963675</v>
      </c>
      <c r="L38" s="148">
        <f t="shared" si="4"/>
        <v>3494024614</v>
      </c>
      <c r="M38" s="148">
        <f t="shared" si="4"/>
        <v>3936145437</v>
      </c>
      <c r="N38" s="148">
        <f t="shared" si="4"/>
        <v>4000066499</v>
      </c>
      <c r="O38" s="148">
        <f t="shared" si="4"/>
        <v>3957151254</v>
      </c>
      <c r="P38" s="148">
        <f t="shared" si="4"/>
        <v>38785345726</v>
      </c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  <c r="EB38" s="37"/>
      <c r="EC38" s="37"/>
      <c r="ED38" s="37"/>
      <c r="EE38" s="37"/>
      <c r="EF38" s="37"/>
      <c r="EG38" s="37"/>
      <c r="EH38" s="37"/>
      <c r="EI38" s="37"/>
      <c r="EJ38" s="37"/>
      <c r="EK38" s="37"/>
      <c r="EL38" s="37"/>
      <c r="EM38" s="37"/>
      <c r="EN38" s="37"/>
      <c r="EO38" s="37"/>
    </row>
    <row r="39" spans="1:145" s="40" customFormat="1" ht="12" thickTop="1">
      <c r="B39" s="368" t="str">
        <f>+B7</f>
        <v>AEP TEXAS</v>
      </c>
      <c r="C39" s="368"/>
      <c r="D39" s="368"/>
      <c r="E39" s="368"/>
      <c r="F39" s="368"/>
      <c r="G39" s="368"/>
      <c r="H39" s="368"/>
      <c r="I39" s="368"/>
      <c r="J39" s="368"/>
      <c r="K39" s="368"/>
      <c r="L39" s="368"/>
      <c r="M39" s="368"/>
      <c r="N39" s="368"/>
      <c r="O39" s="368"/>
      <c r="P39" s="152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M39" s="59"/>
      <c r="CN39" s="59"/>
      <c r="CO39" s="59"/>
      <c r="CP39" s="59"/>
      <c r="CQ39" s="59"/>
      <c r="CR39" s="59"/>
      <c r="CS39" s="59"/>
      <c r="CT39" s="59"/>
      <c r="CU39" s="59"/>
      <c r="CV39" s="59"/>
      <c r="CW39" s="59"/>
      <c r="CX39" s="59"/>
      <c r="CY39" s="59"/>
      <c r="CZ39" s="59"/>
      <c r="DA39" s="59"/>
      <c r="DB39" s="59"/>
      <c r="DC39" s="59"/>
      <c r="DD39" s="59"/>
      <c r="DE39" s="59"/>
      <c r="DF39" s="59"/>
      <c r="DG39" s="59"/>
      <c r="DH39" s="59"/>
      <c r="DI39" s="59"/>
      <c r="DJ39" s="59"/>
      <c r="DK39" s="59"/>
      <c r="DL39" s="59"/>
      <c r="DM39" s="59"/>
      <c r="DN39" s="59"/>
      <c r="DO39" s="59"/>
      <c r="DP39" s="59"/>
      <c r="DQ39" s="59"/>
      <c r="DR39" s="59"/>
      <c r="DS39" s="59"/>
      <c r="DT39" s="59"/>
      <c r="DU39" s="59"/>
      <c r="DV39" s="59"/>
      <c r="DW39" s="59"/>
      <c r="DX39" s="59"/>
      <c r="DY39" s="59"/>
      <c r="DZ39" s="59"/>
      <c r="EA39" s="59"/>
      <c r="EB39" s="59"/>
      <c r="EC39" s="59"/>
      <c r="ED39" s="59"/>
      <c r="EE39" s="59"/>
      <c r="EF39" s="59"/>
      <c r="EG39" s="59"/>
      <c r="EH39" s="59"/>
      <c r="EI39" s="59"/>
      <c r="EJ39" s="59"/>
      <c r="EK39" s="59"/>
      <c r="EL39" s="59"/>
      <c r="EM39" s="59"/>
      <c r="EN39" s="59"/>
      <c r="EO39" s="59"/>
    </row>
    <row r="40" spans="1:145" s="78" customFormat="1" ht="12.75" customHeight="1">
      <c r="B40" s="368" t="s">
        <v>54</v>
      </c>
      <c r="C40" s="368"/>
      <c r="D40" s="368"/>
      <c r="E40" s="368"/>
      <c r="F40" s="368"/>
      <c r="G40" s="368"/>
      <c r="H40" s="368"/>
      <c r="I40" s="368"/>
      <c r="J40" s="368"/>
      <c r="K40" s="368"/>
      <c r="L40" s="368"/>
      <c r="M40" s="368"/>
      <c r="N40" s="368"/>
      <c r="O40" s="368"/>
      <c r="P40" s="79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8"/>
      <c r="BW40" s="68"/>
      <c r="BX40" s="68"/>
      <c r="BY40" s="68"/>
      <c r="BZ40" s="68"/>
      <c r="CA40" s="68"/>
      <c r="CB40" s="68"/>
      <c r="CC40" s="68"/>
      <c r="CD40" s="68"/>
      <c r="CE40" s="68"/>
      <c r="CF40" s="68"/>
      <c r="CG40" s="68"/>
      <c r="CH40" s="68"/>
      <c r="CI40" s="68"/>
      <c r="CJ40" s="68"/>
      <c r="CK40" s="68"/>
      <c r="CL40" s="68"/>
      <c r="CM40" s="68"/>
      <c r="CN40" s="68"/>
      <c r="CO40" s="68"/>
      <c r="CP40" s="68"/>
      <c r="CQ40" s="68"/>
      <c r="CR40" s="68"/>
      <c r="CS40" s="68"/>
      <c r="CT40" s="68"/>
      <c r="CU40" s="68"/>
      <c r="CV40" s="68"/>
      <c r="CW40" s="68"/>
      <c r="CX40" s="68"/>
      <c r="CY40" s="68"/>
      <c r="CZ40" s="68"/>
      <c r="DA40" s="68"/>
      <c r="DB40" s="68"/>
      <c r="DC40" s="68"/>
      <c r="DD40" s="68"/>
      <c r="DE40" s="68"/>
      <c r="DF40" s="68"/>
      <c r="DG40" s="68"/>
      <c r="DH40" s="68"/>
      <c r="DI40" s="68"/>
      <c r="DJ40" s="68"/>
      <c r="DK40" s="68"/>
      <c r="DL40" s="68"/>
      <c r="DM40" s="68"/>
      <c r="DN40" s="68"/>
      <c r="DO40" s="68"/>
      <c r="DP40" s="68"/>
      <c r="DQ40" s="68"/>
      <c r="DR40" s="68"/>
      <c r="DS40" s="68"/>
      <c r="DT40" s="68"/>
      <c r="DU40" s="68"/>
      <c r="DV40" s="68"/>
      <c r="DW40" s="68"/>
      <c r="DX40" s="68"/>
      <c r="DY40" s="68"/>
      <c r="DZ40" s="68"/>
      <c r="EA40" s="68"/>
      <c r="EB40" s="68"/>
      <c r="EC40" s="68"/>
      <c r="ED40" s="68"/>
      <c r="EE40" s="68"/>
      <c r="EF40" s="68"/>
      <c r="EG40" s="68"/>
      <c r="EH40" s="68"/>
      <c r="EI40" s="68"/>
      <c r="EJ40" s="68"/>
      <c r="EK40" s="68"/>
      <c r="EL40" s="68"/>
      <c r="EM40" s="68"/>
      <c r="EN40" s="68"/>
      <c r="EO40" s="68"/>
    </row>
    <row r="41" spans="1:145" s="34" customFormat="1">
      <c r="B41" s="368" t="str">
        <f>+G9</f>
        <v>FOR TEST YEAR ENDED SEPTEMBER 30, 2023</v>
      </c>
      <c r="C41" s="368"/>
      <c r="D41" s="368"/>
      <c r="E41" s="368"/>
      <c r="F41" s="368"/>
      <c r="G41" s="368"/>
      <c r="H41" s="368"/>
      <c r="I41" s="368"/>
      <c r="J41" s="368"/>
      <c r="K41" s="368"/>
      <c r="L41" s="368"/>
      <c r="M41" s="368"/>
      <c r="N41" s="368"/>
      <c r="O41" s="368"/>
      <c r="P41" s="78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  <c r="DI41" s="37"/>
      <c r="DJ41" s="37"/>
      <c r="DK41" s="37"/>
      <c r="DL41" s="37"/>
      <c r="DM41" s="37"/>
      <c r="DN41" s="37"/>
      <c r="DO41" s="37"/>
      <c r="DP41" s="37"/>
      <c r="DQ41" s="37"/>
      <c r="DR41" s="37"/>
      <c r="DS41" s="37"/>
      <c r="DT41" s="37"/>
      <c r="DU41" s="37"/>
      <c r="DV41" s="37"/>
      <c r="DW41" s="37"/>
      <c r="DX41" s="37"/>
      <c r="DY41" s="37"/>
      <c r="DZ41" s="37"/>
      <c r="EA41" s="37"/>
      <c r="EB41" s="37"/>
      <c r="EC41" s="37"/>
      <c r="ED41" s="37"/>
      <c r="EE41" s="37"/>
      <c r="EF41" s="37"/>
      <c r="EG41" s="37"/>
      <c r="EH41" s="37"/>
      <c r="EI41" s="37"/>
      <c r="EJ41" s="37"/>
      <c r="EK41" s="37"/>
      <c r="EL41" s="37"/>
      <c r="EM41" s="37"/>
      <c r="EN41" s="37"/>
      <c r="EO41" s="37"/>
    </row>
    <row r="42" spans="1:145" s="34" customFormat="1"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78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7"/>
      <c r="EB42" s="37"/>
      <c r="EC42" s="37"/>
      <c r="ED42" s="37"/>
      <c r="EE42" s="37"/>
      <c r="EF42" s="37"/>
      <c r="EG42" s="37"/>
      <c r="EH42" s="37"/>
      <c r="EI42" s="37"/>
      <c r="EJ42" s="37"/>
      <c r="EK42" s="37"/>
      <c r="EL42" s="37"/>
      <c r="EM42" s="37"/>
      <c r="EN42" s="37"/>
      <c r="EO42" s="37"/>
    </row>
    <row r="43" spans="1:145" s="34" customFormat="1">
      <c r="B43" s="146"/>
      <c r="C43" s="85"/>
      <c r="D43" s="167"/>
      <c r="E43" s="167"/>
      <c r="F43" s="167"/>
      <c r="G43" s="167"/>
      <c r="H43" s="167"/>
      <c r="I43" s="167"/>
      <c r="J43" s="78"/>
      <c r="K43" s="167"/>
      <c r="L43" s="167"/>
      <c r="M43" s="167"/>
      <c r="N43" s="167"/>
      <c r="O43" s="167"/>
      <c r="P43" s="109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/>
      <c r="DH43" s="37"/>
      <c r="DI43" s="37"/>
      <c r="DJ43" s="37"/>
      <c r="DK43" s="37"/>
      <c r="DL43" s="37"/>
      <c r="DM43" s="37"/>
      <c r="DN43" s="37"/>
      <c r="DO43" s="37"/>
      <c r="DP43" s="37"/>
      <c r="DQ43" s="37"/>
      <c r="DR43" s="37"/>
      <c r="DS43" s="37"/>
      <c r="DT43" s="37"/>
      <c r="DU43" s="37"/>
      <c r="DV43" s="37"/>
      <c r="DW43" s="37"/>
      <c r="DX43" s="37"/>
      <c r="DY43" s="37"/>
      <c r="DZ43" s="37"/>
      <c r="EA43" s="37"/>
      <c r="EB43" s="37"/>
      <c r="EC43" s="37"/>
      <c r="ED43" s="37"/>
      <c r="EE43" s="37"/>
      <c r="EF43" s="37"/>
      <c r="EG43" s="37"/>
      <c r="EH43" s="37"/>
      <c r="EI43" s="37"/>
      <c r="EJ43" s="37"/>
      <c r="EK43" s="37"/>
      <c r="EL43" s="37"/>
      <c r="EM43" s="37"/>
      <c r="EN43" s="37"/>
      <c r="EO43" s="37"/>
    </row>
    <row r="44" spans="1:145" s="40" customFormat="1">
      <c r="A44" s="18" t="s">
        <v>8</v>
      </c>
      <c r="B44" s="145" t="s">
        <v>0</v>
      </c>
      <c r="C44" s="145" t="s">
        <v>7</v>
      </c>
      <c r="D44" s="97" t="str">
        <f>D12</f>
        <v>Oct-22</v>
      </c>
      <c r="E44" s="97" t="str">
        <f>E12</f>
        <v>Nov-22</v>
      </c>
      <c r="F44" s="97" t="str">
        <f>F12</f>
        <v>Dec-22</v>
      </c>
      <c r="G44" s="97" t="str">
        <f>G12</f>
        <v>Jan-23</v>
      </c>
      <c r="H44" s="97" t="str">
        <f t="shared" ref="H44:O44" si="5">H12</f>
        <v>Feb-23</v>
      </c>
      <c r="I44" s="97" t="str">
        <f t="shared" si="5"/>
        <v>Mar-23</v>
      </c>
      <c r="J44" s="97" t="str">
        <f t="shared" si="5"/>
        <v>Apr-23</v>
      </c>
      <c r="K44" s="97" t="str">
        <f t="shared" si="5"/>
        <v>May-23</v>
      </c>
      <c r="L44" s="97" t="str">
        <f t="shared" si="5"/>
        <v>Jun-23</v>
      </c>
      <c r="M44" s="97" t="str">
        <f t="shared" si="5"/>
        <v>Jul-23</v>
      </c>
      <c r="N44" s="97" t="str">
        <f t="shared" si="5"/>
        <v>Aug-23</v>
      </c>
      <c r="O44" s="97" t="str">
        <f t="shared" si="5"/>
        <v>Sep-23</v>
      </c>
      <c r="P44" s="97" t="str">
        <f>+P12</f>
        <v>TOTAL</v>
      </c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  <c r="CZ44" s="59"/>
      <c r="DA44" s="59"/>
      <c r="DB44" s="59"/>
      <c r="DC44" s="59"/>
      <c r="DD44" s="59"/>
      <c r="DE44" s="59"/>
      <c r="DF44" s="59"/>
      <c r="DG44" s="59"/>
      <c r="DH44" s="59"/>
      <c r="DI44" s="59"/>
      <c r="DJ44" s="59"/>
      <c r="DK44" s="59"/>
      <c r="DL44" s="59"/>
      <c r="DM44" s="59"/>
      <c r="DN44" s="59"/>
      <c r="DO44" s="59"/>
      <c r="DP44" s="59"/>
      <c r="DQ44" s="59"/>
      <c r="DR44" s="59"/>
      <c r="DS44" s="59"/>
      <c r="DT44" s="59"/>
      <c r="DU44" s="59"/>
      <c r="DV44" s="59"/>
      <c r="DW44" s="59"/>
      <c r="DX44" s="59"/>
      <c r="DY44" s="59"/>
      <c r="DZ44" s="59"/>
      <c r="EA44" s="59"/>
      <c r="EB44" s="59"/>
      <c r="EC44" s="59"/>
      <c r="ED44" s="59"/>
      <c r="EE44" s="59"/>
      <c r="EF44" s="59"/>
      <c r="EG44" s="59"/>
      <c r="EH44" s="59"/>
      <c r="EI44" s="59"/>
      <c r="EJ44" s="59"/>
      <c r="EK44" s="59"/>
      <c r="EL44" s="59"/>
      <c r="EM44" s="59"/>
      <c r="EN44" s="59"/>
      <c r="EO44" s="59"/>
    </row>
    <row r="45" spans="1:145" s="34" customFormat="1">
      <c r="B45" s="78"/>
      <c r="C45" s="85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93"/>
      <c r="P45" s="93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7"/>
      <c r="DX45" s="37"/>
      <c r="DY45" s="37"/>
      <c r="DZ45" s="37"/>
      <c r="EA45" s="37"/>
      <c r="EB45" s="37"/>
      <c r="EC45" s="37"/>
      <c r="ED45" s="37"/>
      <c r="EE45" s="37"/>
      <c r="EF45" s="37"/>
      <c r="EG45" s="37"/>
      <c r="EH45" s="37"/>
      <c r="EI45" s="37"/>
      <c r="EJ45" s="37"/>
      <c r="EK45" s="37"/>
      <c r="EL45" s="37"/>
      <c r="EM45" s="37"/>
      <c r="EN45" s="37"/>
      <c r="EO45" s="37"/>
    </row>
    <row r="46" spans="1:145" s="78" customFormat="1">
      <c r="A46" s="83" t="s">
        <v>9</v>
      </c>
      <c r="B46" s="78" t="s">
        <v>17</v>
      </c>
      <c r="C46" s="85" t="s">
        <v>4</v>
      </c>
      <c r="D46" s="71" cm="1">
        <f t="array" ref="D46">SUMPRODUCT((H_Rate_Class=$B46)*[5]Energy!D$249:D$358)</f>
        <v>17189147.99999994</v>
      </c>
      <c r="E46" s="71" cm="1">
        <f t="array" ref="E46">SUMPRODUCT((H_Rate_Class=$B46)*[5]Energy!E$249:E$358)</f>
        <v>15633310</v>
      </c>
      <c r="F46" s="71" cm="1">
        <f t="array" ref="F46">SUMPRODUCT((H_Rate_Class=$B46)*[5]Energy!F$249:F$358)</f>
        <v>-47947372.999999963</v>
      </c>
      <c r="G46" s="71" cm="1">
        <f t="array" ref="G46">SUMPRODUCT((H_Rate_Class=$B46)*[5]Energy!G$249:G$358)</f>
        <v>-27919850.999999985</v>
      </c>
      <c r="H46" s="71" cm="1">
        <f t="array" ref="H46">SUMPRODUCT((H_Rate_Class=$B46)*[5]Energy!H$249:H$358)</f>
        <v>26733188.000000037</v>
      </c>
      <c r="I46" s="71" cm="1">
        <f t="array" ref="I46">SUMPRODUCT((H_Rate_Class=$B46)*[5]Energy!I$249:I$358)</f>
        <v>-14331353.999999963</v>
      </c>
      <c r="J46" s="71" cm="1">
        <f t="array" ref="J46">SUMPRODUCT((H_Rate_Class=$B46)*[5]Energy!J$249:J$358)</f>
        <v>-37905949.999999978</v>
      </c>
      <c r="K46" s="71" cm="1">
        <f t="array" ref="K46">SUMPRODUCT((H_Rate_Class=$B46)*[5]Energy!K$249:K$358)</f>
        <v>39401719.999999963</v>
      </c>
      <c r="L46" s="71" cm="1">
        <f t="array" ref="L46">SUMPRODUCT((H_Rate_Class=$B46)*[5]Energy!L$249:L$358)</f>
        <v>25859006.000000134</v>
      </c>
      <c r="M46" s="71" cm="1">
        <f t="array" ref="M46">SUMPRODUCT((H_Rate_Class=$B46)*[5]Energy!M$249:M$358)</f>
        <v>-109326932.00000003</v>
      </c>
      <c r="N46" s="71" cm="1">
        <f t="array" ref="N46">SUMPRODUCT((H_Rate_Class=$B46)*[5]Energy!N$249:N$358)</f>
        <v>-100201225.99999997</v>
      </c>
      <c r="O46" s="71" cm="1">
        <f t="array" ref="O46">SUMPRODUCT((H_Rate_Class=$B46)*[5]Energy!O$249:O$358)</f>
        <v>-100252402.00000001</v>
      </c>
      <c r="P46" s="93">
        <f>SUM(D46:O46)</f>
        <v>-313068715.99999982</v>
      </c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  <c r="BW46" s="68"/>
      <c r="BX46" s="68"/>
      <c r="BY46" s="68"/>
      <c r="BZ46" s="68"/>
      <c r="CA46" s="68"/>
      <c r="CB46" s="68"/>
      <c r="CC46" s="68"/>
      <c r="CD46" s="68"/>
      <c r="CE46" s="68"/>
      <c r="CF46" s="68"/>
      <c r="CG46" s="68"/>
      <c r="CH46" s="68"/>
      <c r="CI46" s="68"/>
      <c r="CJ46" s="68"/>
      <c r="CK46" s="68"/>
      <c r="CL46" s="68"/>
      <c r="CM46" s="68"/>
      <c r="CN46" s="68"/>
      <c r="CO46" s="68"/>
      <c r="CP46" s="68"/>
      <c r="CQ46" s="68"/>
      <c r="CR46" s="68"/>
      <c r="CS46" s="68"/>
      <c r="CT46" s="68"/>
      <c r="CU46" s="68"/>
      <c r="CV46" s="68"/>
      <c r="CW46" s="68"/>
      <c r="CX46" s="68"/>
      <c r="CY46" s="68"/>
      <c r="CZ46" s="68"/>
      <c r="DA46" s="68"/>
      <c r="DB46" s="68"/>
      <c r="DC46" s="68"/>
      <c r="DD46" s="68"/>
      <c r="DE46" s="68"/>
      <c r="DF46" s="68"/>
      <c r="DG46" s="68"/>
      <c r="DH46" s="68"/>
      <c r="DI46" s="68"/>
      <c r="DJ46" s="68"/>
      <c r="DK46" s="68"/>
      <c r="DL46" s="68"/>
      <c r="DM46" s="68"/>
      <c r="DN46" s="68"/>
      <c r="DO46" s="68"/>
      <c r="DP46" s="68"/>
      <c r="DQ46" s="68"/>
      <c r="DR46" s="68"/>
      <c r="DS46" s="68"/>
      <c r="DT46" s="68"/>
      <c r="DU46" s="68"/>
      <c r="DV46" s="68"/>
      <c r="DW46" s="68"/>
      <c r="DX46" s="68"/>
      <c r="DY46" s="68"/>
      <c r="DZ46" s="68"/>
      <c r="EA46" s="68"/>
      <c r="EB46" s="68"/>
      <c r="EC46" s="68"/>
      <c r="ED46" s="68"/>
      <c r="EE46" s="68"/>
      <c r="EF46" s="68"/>
      <c r="EG46" s="68"/>
      <c r="EH46" s="68"/>
      <c r="EI46" s="68"/>
      <c r="EJ46" s="68"/>
      <c r="EK46" s="68"/>
      <c r="EL46" s="68"/>
      <c r="EM46" s="68"/>
      <c r="EN46" s="68"/>
      <c r="EO46" s="68"/>
    </row>
    <row r="47" spans="1:145" s="34" customFormat="1">
      <c r="B47" s="78"/>
      <c r="C47" s="85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93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  <c r="DF47" s="37"/>
      <c r="DG47" s="37"/>
      <c r="DH47" s="37"/>
      <c r="DI47" s="37"/>
      <c r="DJ47" s="37"/>
      <c r="DK47" s="37"/>
      <c r="DL47" s="37"/>
      <c r="DM47" s="37"/>
      <c r="DN47" s="37"/>
      <c r="DO47" s="37"/>
      <c r="DP47" s="37"/>
      <c r="DQ47" s="37"/>
      <c r="DR47" s="37"/>
      <c r="DS47" s="37"/>
      <c r="DT47" s="37"/>
      <c r="DU47" s="37"/>
      <c r="DV47" s="37"/>
      <c r="DW47" s="37"/>
      <c r="DX47" s="37"/>
      <c r="DY47" s="37"/>
      <c r="DZ47" s="37"/>
      <c r="EA47" s="37"/>
      <c r="EB47" s="37"/>
      <c r="EC47" s="37"/>
      <c r="ED47" s="37"/>
      <c r="EE47" s="37"/>
      <c r="EF47" s="37"/>
      <c r="EG47" s="37"/>
      <c r="EH47" s="37"/>
      <c r="EI47" s="37"/>
      <c r="EJ47" s="37"/>
      <c r="EK47" s="37"/>
      <c r="EL47" s="37"/>
      <c r="EM47" s="37"/>
      <c r="EN47" s="37"/>
      <c r="EO47" s="37"/>
    </row>
    <row r="48" spans="1:145" s="34" customFormat="1">
      <c r="A48" s="46">
        <v>2</v>
      </c>
      <c r="B48" s="78" t="s">
        <v>150</v>
      </c>
      <c r="C48" s="85" t="s">
        <v>4</v>
      </c>
      <c r="D48" s="71" cm="1">
        <f t="array" ref="D48">SUMPRODUCT((H_Rate_Class=$B48)*[5]Energy!D$249:D$358)</f>
        <v>394320.47230001626</v>
      </c>
      <c r="E48" s="71" cm="1">
        <f t="array" ref="E48">SUMPRODUCT((H_Rate_Class=$B48)*[5]Energy!E$249:E$358)</f>
        <v>557596.02232926374</v>
      </c>
      <c r="F48" s="71" cm="1">
        <f t="array" ref="F48">SUMPRODUCT((H_Rate_Class=$B48)*[5]Energy!F$249:F$358)</f>
        <v>-465909.78334756423</v>
      </c>
      <c r="G48" s="71" cm="1">
        <f t="array" ref="G48">SUMPRODUCT((H_Rate_Class=$B48)*[5]Energy!G$249:G$358)</f>
        <v>-207014.55059445099</v>
      </c>
      <c r="H48" s="71" cm="1">
        <f t="array" ref="H48">SUMPRODUCT((H_Rate_Class=$B48)*[5]Energy!H$249:H$358)</f>
        <v>30275.713474040036</v>
      </c>
      <c r="I48" s="71" cm="1">
        <f t="array" ref="I48">SUMPRODUCT((H_Rate_Class=$B48)*[5]Energy!I$249:I$358)</f>
        <v>-1450271.6865970816</v>
      </c>
      <c r="J48" s="71" cm="1">
        <f t="array" ref="J48">SUMPRODUCT((H_Rate_Class=$B48)*[5]Energy!J$249:J$358)</f>
        <v>-669167.43641094142</v>
      </c>
      <c r="K48" s="71" cm="1">
        <f t="array" ref="K48">SUMPRODUCT((H_Rate_Class=$B48)*[5]Energy!K$249:K$358)</f>
        <v>826854.57853791048</v>
      </c>
      <c r="L48" s="71" cm="1">
        <f t="array" ref="L48">SUMPRODUCT((H_Rate_Class=$B48)*[5]Energy!L$249:L$358)</f>
        <v>702970.7217446845</v>
      </c>
      <c r="M48" s="71" cm="1">
        <f t="array" ref="M48">SUMPRODUCT((H_Rate_Class=$B48)*[5]Energy!M$249:M$358)</f>
        <v>-2822758.3800664777</v>
      </c>
      <c r="N48" s="71" cm="1">
        <f t="array" ref="N48">SUMPRODUCT((H_Rate_Class=$B48)*[5]Energy!N$249:N$358)</f>
        <v>-2848966.2436247077</v>
      </c>
      <c r="O48" s="71" cm="1">
        <f t="array" ref="O48">SUMPRODUCT((H_Rate_Class=$B48)*[5]Energy!O$249:O$358)</f>
        <v>-2815636.1935755066</v>
      </c>
      <c r="P48" s="93">
        <f>SUM(D48:O48)</f>
        <v>-8767706.7658308148</v>
      </c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7"/>
      <c r="DQ48" s="37"/>
      <c r="DR48" s="37"/>
      <c r="DS48" s="37"/>
      <c r="DT48" s="37"/>
      <c r="DU48" s="37"/>
      <c r="DV48" s="37"/>
      <c r="DW48" s="37"/>
      <c r="DX48" s="37"/>
      <c r="DY48" s="37"/>
      <c r="DZ48" s="37"/>
      <c r="EA48" s="37"/>
      <c r="EB48" s="37"/>
      <c r="EC48" s="37"/>
      <c r="ED48" s="37"/>
      <c r="EE48" s="37"/>
      <c r="EF48" s="37"/>
      <c r="EG48" s="37"/>
      <c r="EH48" s="37"/>
      <c r="EI48" s="37"/>
      <c r="EJ48" s="37"/>
      <c r="EK48" s="37"/>
      <c r="EL48" s="37"/>
      <c r="EM48" s="37"/>
      <c r="EN48" s="37"/>
      <c r="EO48" s="37"/>
    </row>
    <row r="49" spans="1:145" s="34" customFormat="1">
      <c r="A49" s="46"/>
      <c r="B49" s="78"/>
      <c r="C49" s="85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93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  <c r="DC49" s="37"/>
      <c r="DD49" s="37"/>
      <c r="DE49" s="37"/>
      <c r="DF49" s="37"/>
      <c r="DG49" s="37"/>
      <c r="DH49" s="37"/>
      <c r="DI49" s="37"/>
      <c r="DJ49" s="37"/>
      <c r="DK49" s="37"/>
      <c r="DL49" s="37"/>
      <c r="DM49" s="37"/>
      <c r="DN49" s="37"/>
      <c r="DO49" s="37"/>
      <c r="DP49" s="37"/>
      <c r="DQ49" s="37"/>
      <c r="DR49" s="37"/>
      <c r="DS49" s="37"/>
      <c r="DT49" s="37"/>
      <c r="DU49" s="37"/>
      <c r="DV49" s="37"/>
      <c r="DW49" s="37"/>
      <c r="DX49" s="37"/>
      <c r="DY49" s="37"/>
      <c r="DZ49" s="37"/>
      <c r="EA49" s="37"/>
      <c r="EB49" s="37"/>
      <c r="EC49" s="37"/>
      <c r="ED49" s="37"/>
      <c r="EE49" s="37"/>
      <c r="EF49" s="37"/>
      <c r="EG49" s="37"/>
      <c r="EH49" s="37"/>
      <c r="EI49" s="37"/>
      <c r="EJ49" s="37"/>
      <c r="EK49" s="37"/>
      <c r="EL49" s="37"/>
      <c r="EM49" s="37"/>
      <c r="EN49" s="37"/>
      <c r="EO49" s="37"/>
    </row>
    <row r="50" spans="1:145" s="34" customFormat="1">
      <c r="A50" s="46">
        <v>3</v>
      </c>
      <c r="B50" s="87" t="s">
        <v>81</v>
      </c>
      <c r="C50" s="74" t="s">
        <v>4</v>
      </c>
      <c r="D50" s="84" cm="1">
        <f t="array" ref="D50">SUMPRODUCT((H_Rate_Class=$B50)*[5]Energy!D$249:D$358)</f>
        <v>5817363.5617987113</v>
      </c>
      <c r="E50" s="84" cm="1">
        <f t="array" ref="E50">SUMPRODUCT((H_Rate_Class=$B50)*[5]Energy!E$249:E$358)</f>
        <v>7553430.9044722747</v>
      </c>
      <c r="F50" s="84" cm="1">
        <f t="array" ref="F50">SUMPRODUCT((H_Rate_Class=$B50)*[5]Energy!F$249:F$358)</f>
        <v>-5625246.1255729189</v>
      </c>
      <c r="G50" s="84" cm="1">
        <f t="array" ref="G50">SUMPRODUCT((H_Rate_Class=$B50)*[5]Energy!G$249:G$358)</f>
        <v>-3726325.8103828453</v>
      </c>
      <c r="H50" s="84" cm="1">
        <f t="array" ref="H50">SUMPRODUCT((H_Rate_Class=$B50)*[5]Energy!H$249:H$358)</f>
        <v>104767.89803416515</v>
      </c>
      <c r="I50" s="84" cm="1">
        <f t="array" ref="I50">SUMPRODUCT((H_Rate_Class=$B50)*[5]Energy!I$249:I$358)</f>
        <v>-21904165.179357529</v>
      </c>
      <c r="J50" s="84" cm="1">
        <f t="array" ref="J50">SUMPRODUCT((H_Rate_Class=$B50)*[5]Energy!J$249:J$358)</f>
        <v>-9875784.2414940372</v>
      </c>
      <c r="K50" s="84" cm="1">
        <f t="array" ref="K50">SUMPRODUCT((H_Rate_Class=$B50)*[5]Energy!K$249:K$358)</f>
        <v>12362464.900063798</v>
      </c>
      <c r="L50" s="84" cm="1">
        <f t="array" ref="L50">SUMPRODUCT((H_Rate_Class=$B50)*[5]Energy!L$249:L$358)</f>
        <v>8911485.9570248593</v>
      </c>
      <c r="M50" s="84" cm="1">
        <f t="array" ref="M50">SUMPRODUCT((H_Rate_Class=$B50)*[5]Energy!M$249:M$358)</f>
        <v>-36761667.995617144</v>
      </c>
      <c r="N50" s="84" cm="1">
        <f t="array" ref="N50">SUMPRODUCT((H_Rate_Class=$B50)*[5]Energy!N$249:N$358)</f>
        <v>-34361477.663829684</v>
      </c>
      <c r="O50" s="84" cm="1">
        <f t="array" ref="O50">SUMPRODUCT((H_Rate_Class=$B50)*[5]Energy!O$249:O$358)</f>
        <v>-34765279.937707886</v>
      </c>
      <c r="P50" s="93">
        <f t="shared" ref="P50:P51" si="6">SUM(D50:O50)</f>
        <v>-112270433.73256823</v>
      </c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  <c r="DC50" s="37"/>
      <c r="DD50" s="37"/>
      <c r="DE50" s="37"/>
      <c r="DF50" s="37"/>
      <c r="DG50" s="37"/>
      <c r="DH50" s="37"/>
      <c r="DI50" s="37"/>
      <c r="DJ50" s="37"/>
      <c r="DK50" s="37"/>
      <c r="DL50" s="37"/>
      <c r="DM50" s="37"/>
      <c r="DN50" s="37"/>
      <c r="DO50" s="37"/>
      <c r="DP50" s="37"/>
      <c r="DQ50" s="37"/>
      <c r="DR50" s="37"/>
      <c r="DS50" s="37"/>
      <c r="DT50" s="37"/>
      <c r="DU50" s="37"/>
      <c r="DV50" s="37"/>
      <c r="DW50" s="37"/>
      <c r="DX50" s="37"/>
      <c r="DY50" s="37"/>
      <c r="DZ50" s="37"/>
      <c r="EA50" s="37"/>
      <c r="EB50" s="37"/>
      <c r="EC50" s="37"/>
      <c r="ED50" s="37"/>
      <c r="EE50" s="37"/>
      <c r="EF50" s="37"/>
      <c r="EG50" s="37"/>
      <c r="EH50" s="37"/>
      <c r="EI50" s="37"/>
      <c r="EJ50" s="37"/>
      <c r="EK50" s="37"/>
      <c r="EL50" s="37"/>
      <c r="EM50" s="37"/>
      <c r="EN50" s="37"/>
      <c r="EO50" s="37"/>
    </row>
    <row r="51" spans="1:145" s="34" customFormat="1">
      <c r="A51" s="46">
        <v>4</v>
      </c>
      <c r="B51" s="87" t="s">
        <v>85</v>
      </c>
      <c r="C51" s="74" t="s">
        <v>4</v>
      </c>
      <c r="D51" s="72" cm="1">
        <f t="array" ref="D51">SUMPRODUCT((H_Rate_Class=$B51)*[5]Energy!D$249:D$358)</f>
        <v>966162.22352547757</v>
      </c>
      <c r="E51" s="72" cm="1">
        <f t="array" ref="E51">SUMPRODUCT((H_Rate_Class=$B51)*[5]Energy!E$249:E$358)</f>
        <v>1070592.0074327788</v>
      </c>
      <c r="F51" s="72" cm="1">
        <f t="array" ref="F51">SUMPRODUCT((H_Rate_Class=$B51)*[5]Energy!F$249:F$358)</f>
        <v>-454323.46223952994</v>
      </c>
      <c r="G51" s="72" cm="1">
        <f t="array" ref="G51">SUMPRODUCT((H_Rate_Class=$B51)*[5]Energy!G$249:G$358)</f>
        <v>-555951.68205362232</v>
      </c>
      <c r="H51" s="72" cm="1">
        <f t="array" ref="H51">SUMPRODUCT((H_Rate_Class=$B51)*[5]Energy!H$249:H$358)</f>
        <v>98748.563173223287</v>
      </c>
      <c r="I51" s="72" cm="1">
        <f t="array" ref="I51">SUMPRODUCT((H_Rate_Class=$B51)*[5]Energy!I$249:I$358)</f>
        <v>-2960432.504004756</v>
      </c>
      <c r="J51" s="72" cm="1">
        <f t="array" ref="J51">SUMPRODUCT((H_Rate_Class=$B51)*[5]Energy!J$249:J$358)</f>
        <v>-1165612.6396616315</v>
      </c>
      <c r="K51" s="72" cm="1">
        <f t="array" ref="K51">SUMPRODUCT((H_Rate_Class=$B51)*[5]Energy!K$249:K$358)</f>
        <v>1886488.7597893248</v>
      </c>
      <c r="L51" s="72" cm="1">
        <f t="array" ref="L51">SUMPRODUCT((H_Rate_Class=$B51)*[5]Energy!L$249:L$358)</f>
        <v>847347.64867891185</v>
      </c>
      <c r="M51" s="72" cm="1">
        <f t="array" ref="M51">SUMPRODUCT((H_Rate_Class=$B51)*[5]Energy!M$249:M$358)</f>
        <v>-3266540.2092409194</v>
      </c>
      <c r="N51" s="72" cm="1">
        <f t="array" ref="N51">SUMPRODUCT((H_Rate_Class=$B51)*[5]Energy!N$249:N$358)</f>
        <v>-2502547.7788309739</v>
      </c>
      <c r="O51" s="72" cm="1">
        <f t="array" ref="O51">SUMPRODUCT((H_Rate_Class=$B51)*[5]Energy!O$249:O$358)</f>
        <v>-2488630.0571278827</v>
      </c>
      <c r="P51" s="104">
        <f t="shared" si="6"/>
        <v>-8524699.1305596009</v>
      </c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  <c r="DC51" s="37"/>
      <c r="DD51" s="37"/>
      <c r="DE51" s="37"/>
      <c r="DF51" s="37"/>
      <c r="DG51" s="37"/>
      <c r="DH51" s="37"/>
      <c r="DI51" s="37"/>
      <c r="DJ51" s="37"/>
      <c r="DK51" s="37"/>
      <c r="DL51" s="37"/>
      <c r="DM51" s="37"/>
      <c r="DN51" s="37"/>
      <c r="DO51" s="37"/>
      <c r="DP51" s="37"/>
      <c r="DQ51" s="37"/>
      <c r="DR51" s="37"/>
      <c r="DS51" s="37"/>
      <c r="DT51" s="37"/>
      <c r="DU51" s="37"/>
      <c r="DV51" s="37"/>
      <c r="DW51" s="37"/>
      <c r="DX51" s="37"/>
      <c r="DY51" s="37"/>
      <c r="DZ51" s="37"/>
      <c r="EA51" s="37"/>
      <c r="EB51" s="37"/>
      <c r="EC51" s="37"/>
      <c r="ED51" s="37"/>
      <c r="EE51" s="37"/>
      <c r="EF51" s="37"/>
      <c r="EG51" s="37"/>
      <c r="EH51" s="37"/>
      <c r="EI51" s="37"/>
      <c r="EJ51" s="37"/>
      <c r="EK51" s="37"/>
      <c r="EL51" s="37"/>
      <c r="EM51" s="37"/>
      <c r="EN51" s="37"/>
      <c r="EO51" s="37"/>
    </row>
    <row r="52" spans="1:145" s="34" customFormat="1">
      <c r="A52" s="46">
        <v>5</v>
      </c>
      <c r="B52" s="96" t="s">
        <v>18</v>
      </c>
      <c r="C52" s="85"/>
      <c r="D52" s="94">
        <f>SUM(D50:D51)</f>
        <v>6783525.7853241889</v>
      </c>
      <c r="E52" s="94">
        <f t="shared" ref="E52:O52" si="7">SUM(E50:E51)</f>
        <v>8624022.911905054</v>
      </c>
      <c r="F52" s="94">
        <f t="shared" si="7"/>
        <v>-6079569.5878124489</v>
      </c>
      <c r="G52" s="94">
        <f t="shared" si="7"/>
        <v>-4282277.4924364677</v>
      </c>
      <c r="H52" s="94">
        <f t="shared" si="7"/>
        <v>203516.46120738843</v>
      </c>
      <c r="I52" s="94">
        <f t="shared" si="7"/>
        <v>-24864597.683362283</v>
      </c>
      <c r="J52" s="94">
        <f t="shared" si="7"/>
        <v>-11041396.88115567</v>
      </c>
      <c r="K52" s="94">
        <f t="shared" si="7"/>
        <v>14248953.659853123</v>
      </c>
      <c r="L52" s="94">
        <f t="shared" si="7"/>
        <v>9758833.6057037711</v>
      </c>
      <c r="M52" s="94">
        <f t="shared" si="7"/>
        <v>-40028208.204858065</v>
      </c>
      <c r="N52" s="94">
        <f t="shared" si="7"/>
        <v>-36864025.44266066</v>
      </c>
      <c r="O52" s="94">
        <f t="shared" si="7"/>
        <v>-37253909.994835772</v>
      </c>
      <c r="P52" s="94">
        <f>SUM(P50:P51)</f>
        <v>-120795132.86312783</v>
      </c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  <c r="DH52" s="37"/>
      <c r="DI52" s="37"/>
      <c r="DJ52" s="37"/>
      <c r="DK52" s="37"/>
      <c r="DL52" s="37"/>
      <c r="DM52" s="37"/>
      <c r="DN52" s="37"/>
      <c r="DO52" s="37"/>
      <c r="DP52" s="37"/>
      <c r="DQ52" s="37"/>
      <c r="DR52" s="37"/>
      <c r="DS52" s="37"/>
      <c r="DT52" s="37"/>
      <c r="DU52" s="37"/>
      <c r="DV52" s="37"/>
      <c r="DW52" s="37"/>
      <c r="DX52" s="37"/>
      <c r="DY52" s="37"/>
      <c r="DZ52" s="37"/>
      <c r="EA52" s="37"/>
      <c r="EB52" s="37"/>
      <c r="EC52" s="37"/>
      <c r="ED52" s="37"/>
      <c r="EE52" s="37"/>
      <c r="EF52" s="37"/>
      <c r="EG52" s="37"/>
      <c r="EH52" s="37"/>
      <c r="EI52" s="37"/>
      <c r="EJ52" s="37"/>
      <c r="EK52" s="37"/>
      <c r="EL52" s="37"/>
      <c r="EM52" s="37"/>
      <c r="EN52" s="37"/>
      <c r="EO52" s="37"/>
    </row>
    <row r="53" spans="1:145" s="34" customFormat="1">
      <c r="B53" s="146"/>
      <c r="C53" s="85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71"/>
      <c r="P53" s="71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  <c r="DF53" s="37"/>
      <c r="DG53" s="37"/>
      <c r="DH53" s="37"/>
      <c r="DI53" s="37"/>
      <c r="DJ53" s="37"/>
      <c r="DK53" s="37"/>
      <c r="DL53" s="37"/>
      <c r="DM53" s="37"/>
      <c r="DN53" s="37"/>
      <c r="DO53" s="37"/>
      <c r="DP53" s="37"/>
      <c r="DQ53" s="37"/>
      <c r="DR53" s="37"/>
      <c r="DS53" s="37"/>
      <c r="DT53" s="37"/>
      <c r="DU53" s="37"/>
      <c r="DV53" s="37"/>
      <c r="DW53" s="37"/>
      <c r="DX53" s="37"/>
      <c r="DY53" s="37"/>
      <c r="DZ53" s="37"/>
      <c r="EA53" s="37"/>
      <c r="EB53" s="37"/>
      <c r="EC53" s="37"/>
      <c r="ED53" s="37"/>
      <c r="EE53" s="37"/>
      <c r="EF53" s="37"/>
      <c r="EG53" s="37"/>
      <c r="EH53" s="37"/>
      <c r="EI53" s="37"/>
      <c r="EJ53" s="37"/>
      <c r="EK53" s="37"/>
      <c r="EL53" s="37"/>
      <c r="EM53" s="37"/>
      <c r="EN53" s="37"/>
      <c r="EO53" s="37"/>
    </row>
    <row r="54" spans="1:145" s="34" customFormat="1">
      <c r="A54" s="46">
        <v>6</v>
      </c>
      <c r="B54" s="87" t="s">
        <v>82</v>
      </c>
      <c r="C54" s="74" t="s">
        <v>5</v>
      </c>
      <c r="D54" s="71" cm="1">
        <f t="array" ref="D54">SUMPRODUCT((H_Rate_Class=$B54)*[5]Energy!D$249:D$358)</f>
        <v>31000.271362509578</v>
      </c>
      <c r="E54" s="71" cm="1">
        <f t="array" ref="E54">SUMPRODUCT((H_Rate_Class=$B54)*[5]Energy!E$249:E$358)</f>
        <v>46161.732355609536</v>
      </c>
      <c r="F54" s="71" cm="1">
        <f t="array" ref="F54">SUMPRODUCT((H_Rate_Class=$B54)*[5]Energy!F$249:F$358)</f>
        <v>-119421.46672442928</v>
      </c>
      <c r="G54" s="71" cm="1">
        <f t="array" ref="G54">SUMPRODUCT((H_Rate_Class=$B54)*[5]Energy!G$249:G$358)</f>
        <v>-134194.54042805359</v>
      </c>
      <c r="H54" s="71" cm="1">
        <f t="array" ref="H54">SUMPRODUCT((H_Rate_Class=$B54)*[5]Energy!H$249:H$358)</f>
        <v>-54882.844958625734</v>
      </c>
      <c r="I54" s="71" cm="1">
        <f t="array" ref="I54">SUMPRODUCT((H_Rate_Class=$B54)*[5]Energy!I$249:I$358)</f>
        <v>-515031.1143848002</v>
      </c>
      <c r="J54" s="71" cm="1">
        <f t="array" ref="J54">SUMPRODUCT((H_Rate_Class=$B54)*[5]Energy!J$249:J$358)</f>
        <v>-275766.07478173822</v>
      </c>
      <c r="K54" s="71" cm="1">
        <f t="array" ref="K54">SUMPRODUCT((H_Rate_Class=$B54)*[5]Energy!K$249:K$358)</f>
        <v>284859.3520847708</v>
      </c>
      <c r="L54" s="71" cm="1">
        <f t="array" ref="L54">SUMPRODUCT((H_Rate_Class=$B54)*[5]Energy!L$249:L$358)</f>
        <v>42884.143043927848</v>
      </c>
      <c r="M54" s="71" cm="1">
        <f t="array" ref="M54">SUMPRODUCT((H_Rate_Class=$B54)*[5]Energy!M$249:M$358)</f>
        <v>-564685.73354717344</v>
      </c>
      <c r="N54" s="71" cm="1">
        <f t="array" ref="N54">SUMPRODUCT((H_Rate_Class=$B54)*[5]Energy!N$249:N$358)</f>
        <v>-447864.71281839907</v>
      </c>
      <c r="O54" s="71" cm="1">
        <f t="array" ref="O54">SUMPRODUCT((H_Rate_Class=$B54)*[5]Energy!O$249:O$358)</f>
        <v>-417713.56098528579</v>
      </c>
      <c r="P54" s="93">
        <f>SUM(D54:O54)</f>
        <v>-2124654.5497816876</v>
      </c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  <c r="DI54" s="37"/>
      <c r="DJ54" s="37"/>
      <c r="DK54" s="37"/>
      <c r="DL54" s="37"/>
      <c r="DM54" s="37"/>
      <c r="DN54" s="37"/>
      <c r="DO54" s="37"/>
      <c r="DP54" s="37"/>
      <c r="DQ54" s="37"/>
      <c r="DR54" s="37"/>
      <c r="DS54" s="37"/>
      <c r="DT54" s="37"/>
      <c r="DU54" s="37"/>
      <c r="DV54" s="37"/>
      <c r="DW54" s="37"/>
      <c r="DX54" s="37"/>
      <c r="DY54" s="37"/>
      <c r="DZ54" s="37"/>
      <c r="EA54" s="37"/>
      <c r="EB54" s="37"/>
      <c r="EC54" s="37"/>
      <c r="ED54" s="37"/>
      <c r="EE54" s="37"/>
      <c r="EF54" s="37"/>
      <c r="EG54" s="37"/>
      <c r="EH54" s="37"/>
      <c r="EI54" s="37"/>
      <c r="EJ54" s="37"/>
      <c r="EK54" s="37"/>
      <c r="EL54" s="37"/>
      <c r="EM54" s="37"/>
      <c r="EN54" s="37"/>
      <c r="EO54" s="37"/>
    </row>
    <row r="55" spans="1:145" s="34" customFormat="1">
      <c r="A55" s="46">
        <v>7</v>
      </c>
      <c r="B55" s="87" t="s">
        <v>83</v>
      </c>
      <c r="C55" s="74" t="s">
        <v>5</v>
      </c>
      <c r="D55" s="84" cm="1">
        <f t="array" ref="D55">SUMPRODUCT((H_Rate_Class=$B55)*[5]Energy!D$249:D$358)</f>
        <v>697003.47101330035</v>
      </c>
      <c r="E55" s="84" cm="1">
        <f t="array" ref="E55">SUMPRODUCT((H_Rate_Class=$B55)*[5]Energy!E$249:E$358)</f>
        <v>1138237.333410135</v>
      </c>
      <c r="F55" s="84" cm="1">
        <f t="array" ref="F55">SUMPRODUCT((H_Rate_Class=$B55)*[5]Energy!F$249:F$358)</f>
        <v>-1770534.162115545</v>
      </c>
      <c r="G55" s="84" cm="1">
        <f t="array" ref="G55">SUMPRODUCT((H_Rate_Class=$B55)*[5]Energy!G$249:G$358)</f>
        <v>-1775289.4165410614</v>
      </c>
      <c r="H55" s="84" cm="1">
        <f t="array" ref="H55">SUMPRODUCT((H_Rate_Class=$B55)*[5]Energy!H$249:H$358)</f>
        <v>-332037.32972281857</v>
      </c>
      <c r="I55" s="84" cm="1">
        <f t="array" ref="I55">SUMPRODUCT((H_Rate_Class=$B55)*[5]Energy!I$249:I$358)</f>
        <v>-5834055.5156558184</v>
      </c>
      <c r="J55" s="84" cm="1">
        <f t="array" ref="J55">SUMPRODUCT((H_Rate_Class=$B55)*[5]Energy!J$249:J$358)</f>
        <v>-2861691.6076517198</v>
      </c>
      <c r="K55" s="84" cm="1">
        <f t="array" ref="K55">SUMPRODUCT((H_Rate_Class=$B55)*[5]Energy!K$249:K$358)</f>
        <v>2342914.4095242443</v>
      </c>
      <c r="L55" s="84" cm="1">
        <f t="array" ref="L55">SUMPRODUCT((H_Rate_Class=$B55)*[5]Energy!L$249:L$358)</f>
        <v>1192758.5295076706</v>
      </c>
      <c r="M55" s="84" cm="1">
        <f t="array" ref="M55">SUMPRODUCT((H_Rate_Class=$B55)*[5]Energy!M$249:M$358)</f>
        <v>-7836297.681528274</v>
      </c>
      <c r="N55" s="84" cm="1">
        <f t="array" ref="N55">SUMPRODUCT((H_Rate_Class=$B55)*[5]Energy!N$249:N$358)</f>
        <v>-7408287.600896202</v>
      </c>
      <c r="O55" s="84" cm="1">
        <f t="array" ref="O55">SUMPRODUCT((H_Rate_Class=$B55)*[5]Energy!O$249:O$358)</f>
        <v>-7127486.250603348</v>
      </c>
      <c r="P55" s="103">
        <f>SUM(D55:O55)</f>
        <v>-29574765.821259439</v>
      </c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  <c r="DI55" s="37"/>
      <c r="DJ55" s="37"/>
      <c r="DK55" s="37"/>
      <c r="DL55" s="37"/>
      <c r="DM55" s="37"/>
      <c r="DN55" s="37"/>
      <c r="DO55" s="37"/>
      <c r="DP55" s="37"/>
      <c r="DQ55" s="37"/>
      <c r="DR55" s="37"/>
      <c r="DS55" s="37"/>
      <c r="DT55" s="37"/>
      <c r="DU55" s="37"/>
      <c r="DV55" s="37"/>
      <c r="DW55" s="37"/>
      <c r="DX55" s="37"/>
      <c r="DY55" s="37"/>
      <c r="DZ55" s="37"/>
      <c r="EA55" s="37"/>
      <c r="EB55" s="37"/>
      <c r="EC55" s="37"/>
      <c r="ED55" s="37"/>
      <c r="EE55" s="37"/>
      <c r="EF55" s="37"/>
      <c r="EG55" s="37"/>
      <c r="EH55" s="37"/>
      <c r="EI55" s="37"/>
      <c r="EJ55" s="37"/>
      <c r="EK55" s="37"/>
      <c r="EL55" s="37"/>
      <c r="EM55" s="37"/>
      <c r="EN55" s="37"/>
      <c r="EO55" s="37"/>
    </row>
    <row r="56" spans="1:145" s="34" customFormat="1">
      <c r="A56" s="46">
        <v>8</v>
      </c>
      <c r="B56" s="87" t="s">
        <v>148</v>
      </c>
      <c r="C56" s="74" t="s">
        <v>5</v>
      </c>
      <c r="D56" s="84" cm="1">
        <f t="array" ref="D56">SUMPRODUCT((H_Rate_Class=$B56)*[5]Energy!D$249:D$358)</f>
        <v>0</v>
      </c>
      <c r="E56" s="84" cm="1">
        <f t="array" ref="E56">SUMPRODUCT((H_Rate_Class=$B56)*[5]Energy!E$249:E$358)</f>
        <v>0</v>
      </c>
      <c r="F56" s="84" cm="1">
        <f t="array" ref="F56">SUMPRODUCT((H_Rate_Class=$B56)*[5]Energy!F$249:F$358)</f>
        <v>0</v>
      </c>
      <c r="G56" s="84" cm="1">
        <f t="array" ref="G56">SUMPRODUCT((H_Rate_Class=$B56)*[5]Energy!G$249:G$358)</f>
        <v>0</v>
      </c>
      <c r="H56" s="84" cm="1">
        <f t="array" ref="H56">SUMPRODUCT((H_Rate_Class=$B56)*[5]Energy!H$249:H$358)</f>
        <v>0</v>
      </c>
      <c r="I56" s="84" cm="1">
        <f t="array" ref="I56">SUMPRODUCT((H_Rate_Class=$B56)*[5]Energy!I$249:I$358)</f>
        <v>0</v>
      </c>
      <c r="J56" s="84" cm="1">
        <f t="array" ref="J56">SUMPRODUCT((H_Rate_Class=$B56)*[5]Energy!J$249:J$358)</f>
        <v>0</v>
      </c>
      <c r="K56" s="84" cm="1">
        <f t="array" ref="K56">SUMPRODUCT((H_Rate_Class=$B56)*[5]Energy!K$249:K$358)</f>
        <v>0</v>
      </c>
      <c r="L56" s="84" cm="1">
        <f t="array" ref="L56">SUMPRODUCT((H_Rate_Class=$B56)*[5]Energy!L$249:L$358)</f>
        <v>0</v>
      </c>
      <c r="M56" s="84" cm="1">
        <f t="array" ref="M56">SUMPRODUCT((H_Rate_Class=$B56)*[5]Energy!M$249:M$358)</f>
        <v>0</v>
      </c>
      <c r="N56" s="84" cm="1">
        <f t="array" ref="N56">SUMPRODUCT((H_Rate_Class=$B56)*[5]Energy!N$249:N$358)</f>
        <v>0</v>
      </c>
      <c r="O56" s="84" cm="1">
        <f t="array" ref="O56">SUMPRODUCT((H_Rate_Class=$B56)*[5]Energy!O$249:O$358)</f>
        <v>0</v>
      </c>
      <c r="P56" s="103">
        <f t="shared" ref="P56:P57" si="8">SUM(D56:O56)</f>
        <v>0</v>
      </c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  <c r="DG56" s="37"/>
      <c r="DH56" s="37"/>
      <c r="DI56" s="37"/>
      <c r="DJ56" s="37"/>
      <c r="DK56" s="37"/>
      <c r="DL56" s="37"/>
      <c r="DM56" s="37"/>
      <c r="DN56" s="37"/>
      <c r="DO56" s="37"/>
      <c r="DP56" s="37"/>
      <c r="DQ56" s="37"/>
      <c r="DR56" s="37"/>
      <c r="DS56" s="37"/>
      <c r="DT56" s="37"/>
      <c r="DU56" s="37"/>
      <c r="DV56" s="37"/>
      <c r="DW56" s="37"/>
      <c r="DX56" s="37"/>
      <c r="DY56" s="37"/>
      <c r="DZ56" s="37"/>
      <c r="EA56" s="37"/>
      <c r="EB56" s="37"/>
      <c r="EC56" s="37"/>
      <c r="ED56" s="37"/>
      <c r="EE56" s="37"/>
      <c r="EF56" s="37"/>
      <c r="EG56" s="37"/>
      <c r="EH56" s="37"/>
      <c r="EI56" s="37"/>
      <c r="EJ56" s="37"/>
      <c r="EK56" s="37"/>
      <c r="EL56" s="37"/>
      <c r="EM56" s="37"/>
      <c r="EN56" s="37"/>
      <c r="EO56" s="37"/>
    </row>
    <row r="57" spans="1:145" s="34" customFormat="1">
      <c r="A57" s="46">
        <v>9</v>
      </c>
      <c r="B57" s="87" t="s">
        <v>149</v>
      </c>
      <c r="C57" s="74" t="s">
        <v>5</v>
      </c>
      <c r="D57" s="84" cm="1">
        <f t="array" ref="D57">SUMPRODUCT((H_Rate_Class=$B57)*[5]Energy!D$249:D$358)</f>
        <v>0</v>
      </c>
      <c r="E57" s="84" cm="1">
        <f t="array" ref="E57">SUMPRODUCT((H_Rate_Class=$B57)*[5]Energy!E$249:E$358)</f>
        <v>0</v>
      </c>
      <c r="F57" s="84" cm="1">
        <f t="array" ref="F57">SUMPRODUCT((H_Rate_Class=$B57)*[5]Energy!F$249:F$358)</f>
        <v>0</v>
      </c>
      <c r="G57" s="84" cm="1">
        <f t="array" ref="G57">SUMPRODUCT((H_Rate_Class=$B57)*[5]Energy!G$249:G$358)</f>
        <v>0</v>
      </c>
      <c r="H57" s="84" cm="1">
        <f t="array" ref="H57">SUMPRODUCT((H_Rate_Class=$B57)*[5]Energy!H$249:H$358)</f>
        <v>0</v>
      </c>
      <c r="I57" s="84" cm="1">
        <f t="array" ref="I57">SUMPRODUCT((H_Rate_Class=$B57)*[5]Energy!I$249:I$358)</f>
        <v>0</v>
      </c>
      <c r="J57" s="84" cm="1">
        <f t="array" ref="J57">SUMPRODUCT((H_Rate_Class=$B57)*[5]Energy!J$249:J$358)</f>
        <v>0</v>
      </c>
      <c r="K57" s="84" cm="1">
        <f t="array" ref="K57">SUMPRODUCT((H_Rate_Class=$B57)*[5]Energy!K$249:K$358)</f>
        <v>0</v>
      </c>
      <c r="L57" s="84" cm="1">
        <f t="array" ref="L57">SUMPRODUCT((H_Rate_Class=$B57)*[5]Energy!L$249:L$358)</f>
        <v>0</v>
      </c>
      <c r="M57" s="84" cm="1">
        <f t="array" ref="M57">SUMPRODUCT((H_Rate_Class=$B57)*[5]Energy!M$249:M$358)</f>
        <v>0</v>
      </c>
      <c r="N57" s="84" cm="1">
        <f t="array" ref="N57">SUMPRODUCT((H_Rate_Class=$B57)*[5]Energy!N$249:N$358)</f>
        <v>0</v>
      </c>
      <c r="O57" s="84" cm="1">
        <f t="array" ref="O57">SUMPRODUCT((H_Rate_Class=$B57)*[5]Energy!O$249:O$358)</f>
        <v>0</v>
      </c>
      <c r="P57" s="103">
        <f t="shared" si="8"/>
        <v>0</v>
      </c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  <c r="DD57" s="37"/>
      <c r="DE57" s="37"/>
      <c r="DF57" s="37"/>
      <c r="DG57" s="37"/>
      <c r="DH57" s="37"/>
      <c r="DI57" s="37"/>
      <c r="DJ57" s="37"/>
      <c r="DK57" s="37"/>
      <c r="DL57" s="37"/>
      <c r="DM57" s="37"/>
      <c r="DN57" s="37"/>
      <c r="DO57" s="37"/>
      <c r="DP57" s="37"/>
      <c r="DQ57" s="37"/>
      <c r="DR57" s="37"/>
      <c r="DS57" s="37"/>
      <c r="DT57" s="37"/>
      <c r="DU57" s="37"/>
      <c r="DV57" s="37"/>
      <c r="DW57" s="37"/>
      <c r="DX57" s="37"/>
      <c r="DY57" s="37"/>
      <c r="DZ57" s="37"/>
      <c r="EA57" s="37"/>
      <c r="EB57" s="37"/>
      <c r="EC57" s="37"/>
      <c r="ED57" s="37"/>
      <c r="EE57" s="37"/>
      <c r="EF57" s="37"/>
      <c r="EG57" s="37"/>
      <c r="EH57" s="37"/>
      <c r="EI57" s="37"/>
      <c r="EJ57" s="37"/>
      <c r="EK57" s="37"/>
      <c r="EL57" s="37"/>
      <c r="EM57" s="37"/>
      <c r="EN57" s="37"/>
      <c r="EO57" s="37"/>
    </row>
    <row r="58" spans="1:145" s="34" customFormat="1">
      <c r="A58" s="46">
        <v>10</v>
      </c>
      <c r="B58" s="78" t="s">
        <v>19</v>
      </c>
      <c r="C58" s="74"/>
      <c r="D58" s="218">
        <f>SUM(D54:D57)</f>
        <v>728003.74237580993</v>
      </c>
      <c r="E58" s="218">
        <f t="shared" ref="E58:P58" si="9">SUM(E54:E57)</f>
        <v>1184399.0657657445</v>
      </c>
      <c r="F58" s="218">
        <f t="shared" si="9"/>
        <v>-1889955.6288399743</v>
      </c>
      <c r="G58" s="218">
        <f t="shared" si="9"/>
        <v>-1909483.956969115</v>
      </c>
      <c r="H58" s="218">
        <f t="shared" si="9"/>
        <v>-386920.1746814443</v>
      </c>
      <c r="I58" s="218">
        <f t="shared" si="9"/>
        <v>-6349086.6300406186</v>
      </c>
      <c r="J58" s="218">
        <f t="shared" si="9"/>
        <v>-3137457.682433458</v>
      </c>
      <c r="K58" s="218">
        <f t="shared" si="9"/>
        <v>2627773.7616090151</v>
      </c>
      <c r="L58" s="218">
        <f t="shared" si="9"/>
        <v>1235642.6725515984</v>
      </c>
      <c r="M58" s="218">
        <f t="shared" si="9"/>
        <v>-8400983.4150754474</v>
      </c>
      <c r="N58" s="218">
        <f t="shared" si="9"/>
        <v>-7856152.3137146011</v>
      </c>
      <c r="O58" s="218">
        <f t="shared" si="9"/>
        <v>-7545199.8115886338</v>
      </c>
      <c r="P58" s="218">
        <f t="shared" si="9"/>
        <v>-31699420.371041127</v>
      </c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37"/>
      <c r="DU58" s="37"/>
      <c r="DV58" s="37"/>
      <c r="DW58" s="37"/>
      <c r="DX58" s="37"/>
      <c r="DY58" s="37"/>
      <c r="DZ58" s="37"/>
      <c r="EA58" s="37"/>
      <c r="EB58" s="37"/>
      <c r="EC58" s="37"/>
      <c r="ED58" s="37"/>
      <c r="EE58" s="37"/>
      <c r="EF58" s="37"/>
      <c r="EG58" s="37"/>
      <c r="EH58" s="37"/>
      <c r="EI58" s="37"/>
      <c r="EJ58" s="37"/>
      <c r="EK58" s="37"/>
      <c r="EL58" s="37"/>
      <c r="EM58" s="37"/>
      <c r="EN58" s="37"/>
      <c r="EO58" s="37"/>
    </row>
    <row r="59" spans="1:145" s="34" customFormat="1">
      <c r="A59" s="46"/>
      <c r="B59" s="78"/>
      <c r="C59" s="74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93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</row>
    <row r="60" spans="1:145" s="34" customFormat="1">
      <c r="A60" s="46">
        <v>11</v>
      </c>
      <c r="B60" s="96" t="s">
        <v>86</v>
      </c>
      <c r="C60" s="74" t="s">
        <v>6</v>
      </c>
      <c r="D60" s="71" cm="1">
        <f t="array" ref="D60">SUMPRODUCT((H_Rate_Class=$B60)*[5]Energy!D$249:D$358)</f>
        <v>-95380</v>
      </c>
      <c r="E60" s="71" cm="1">
        <f t="array" ref="E60">SUMPRODUCT((H_Rate_Class=$B60)*[5]Energy!E$249:E$358)</f>
        <v>-97792</v>
      </c>
      <c r="F60" s="71" cm="1">
        <f t="array" ref="F60">SUMPRODUCT((H_Rate_Class=$B60)*[5]Energy!F$249:F$358)</f>
        <v>-98166</v>
      </c>
      <c r="G60" s="71" cm="1">
        <f t="array" ref="G60">SUMPRODUCT((H_Rate_Class=$B60)*[5]Energy!G$249:G$358)</f>
        <v>-105190</v>
      </c>
      <c r="H60" s="71" cm="1">
        <f t="array" ref="H60">SUMPRODUCT((H_Rate_Class=$B60)*[5]Energy!H$249:H$358)</f>
        <v>-67134</v>
      </c>
      <c r="I60" s="71" cm="1">
        <f t="array" ref="I60">SUMPRODUCT((H_Rate_Class=$B60)*[5]Energy!I$249:I$358)</f>
        <v>-100186</v>
      </c>
      <c r="J60" s="71" cm="1">
        <f t="array" ref="J60">SUMPRODUCT((H_Rate_Class=$B60)*[5]Energy!J$249:J$358)</f>
        <v>-123000</v>
      </c>
      <c r="K60" s="71" cm="1">
        <f t="array" ref="K60">SUMPRODUCT((H_Rate_Class=$B60)*[5]Energy!K$249:K$358)</f>
        <v>-106492</v>
      </c>
      <c r="L60" s="71" cm="1">
        <f t="array" ref="L60">SUMPRODUCT((H_Rate_Class=$B60)*[5]Energy!L$249:L$358)</f>
        <v>-121086.00000000001</v>
      </c>
      <c r="M60" s="71" cm="1">
        <f t="array" ref="M60">SUMPRODUCT((H_Rate_Class=$B60)*[5]Energy!M$249:M$358)</f>
        <v>-118712</v>
      </c>
      <c r="N60" s="71" cm="1">
        <f t="array" ref="N60">SUMPRODUCT((H_Rate_Class=$B60)*[5]Energy!N$249:N$358)</f>
        <v>-126334</v>
      </c>
      <c r="O60" s="71" cm="1">
        <f t="array" ref="O60">SUMPRODUCT((H_Rate_Class=$B60)*[5]Energy!O$249:O$358)</f>
        <v>-123458</v>
      </c>
      <c r="P60" s="93">
        <f>SUM(D60:O60)</f>
        <v>-1282930</v>
      </c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37"/>
      <c r="DD60" s="37"/>
      <c r="DE60" s="37"/>
      <c r="DF60" s="37"/>
      <c r="DG60" s="37"/>
      <c r="DH60" s="37"/>
      <c r="DI60" s="37"/>
      <c r="DJ60" s="37"/>
      <c r="DK60" s="37"/>
      <c r="DL60" s="37"/>
      <c r="DM60" s="37"/>
      <c r="DN60" s="37"/>
      <c r="DO60" s="37"/>
      <c r="DP60" s="37"/>
      <c r="DQ60" s="37"/>
      <c r="DR60" s="37"/>
      <c r="DS60" s="37"/>
      <c r="DT60" s="37"/>
      <c r="DU60" s="37"/>
      <c r="DV60" s="37"/>
      <c r="DW60" s="37"/>
      <c r="DX60" s="37"/>
      <c r="DY60" s="37"/>
      <c r="DZ60" s="37"/>
      <c r="EA60" s="37"/>
      <c r="EB60" s="37"/>
      <c r="EC60" s="37"/>
      <c r="ED60" s="37"/>
      <c r="EE60" s="37"/>
      <c r="EF60" s="37"/>
      <c r="EG60" s="37"/>
      <c r="EH60" s="37"/>
      <c r="EI60" s="37"/>
      <c r="EJ60" s="37"/>
      <c r="EK60" s="37"/>
      <c r="EL60" s="37"/>
      <c r="EM60" s="37"/>
      <c r="EN60" s="37"/>
      <c r="EO60" s="37"/>
    </row>
    <row r="61" spans="1:145" s="34" customFormat="1">
      <c r="B61" s="78"/>
      <c r="C61" s="85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71"/>
      <c r="P61" s="71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  <c r="DG61" s="37"/>
      <c r="DH61" s="37"/>
      <c r="DI61" s="37"/>
      <c r="DJ61" s="37"/>
      <c r="DK61" s="37"/>
      <c r="DL61" s="37"/>
      <c r="DM61" s="37"/>
      <c r="DN61" s="37"/>
      <c r="DO61" s="37"/>
      <c r="DP61" s="37"/>
      <c r="DQ61" s="37"/>
      <c r="DR61" s="37"/>
      <c r="DS61" s="37"/>
      <c r="DT61" s="37"/>
      <c r="DU61" s="37"/>
      <c r="DV61" s="37"/>
      <c r="DW61" s="37"/>
      <c r="DX61" s="37"/>
      <c r="DY61" s="37"/>
      <c r="DZ61" s="37"/>
      <c r="EA61" s="37"/>
      <c r="EB61" s="37"/>
      <c r="EC61" s="37"/>
      <c r="ED61" s="37"/>
      <c r="EE61" s="37"/>
      <c r="EF61" s="37"/>
      <c r="EG61" s="37"/>
      <c r="EH61" s="37"/>
      <c r="EI61" s="37"/>
      <c r="EJ61" s="37"/>
      <c r="EK61" s="37"/>
      <c r="EL61" s="37"/>
      <c r="EM61" s="37"/>
      <c r="EN61" s="37"/>
      <c r="EO61" s="37"/>
    </row>
    <row r="62" spans="1:145" s="34" customFormat="1">
      <c r="A62" s="46">
        <v>12</v>
      </c>
      <c r="B62" s="68" t="s">
        <v>21</v>
      </c>
      <c r="C62" s="74" t="s">
        <v>4</v>
      </c>
      <c r="D62" s="71" cm="1">
        <f t="array" ref="D62">SUMPRODUCT((H_Rate_Class=$B62)*[5]Energy!D$249:D$358)</f>
        <v>0</v>
      </c>
      <c r="E62" s="71" cm="1">
        <f t="array" ref="E62">SUMPRODUCT((H_Rate_Class=$B62)*[5]Energy!E$249:E$358)</f>
        <v>0</v>
      </c>
      <c r="F62" s="71" cm="1">
        <f t="array" ref="F62">SUMPRODUCT((H_Rate_Class=$B62)*[5]Energy!F$249:F$358)</f>
        <v>0</v>
      </c>
      <c r="G62" s="71" cm="1">
        <f t="array" ref="G62">SUMPRODUCT((H_Rate_Class=$B62)*[5]Energy!G$249:G$358)</f>
        <v>0</v>
      </c>
      <c r="H62" s="71" cm="1">
        <f t="array" ref="H62">SUMPRODUCT((H_Rate_Class=$B62)*[5]Energy!H$249:H$358)</f>
        <v>0</v>
      </c>
      <c r="I62" s="71" cm="1">
        <f t="array" ref="I62">SUMPRODUCT((H_Rate_Class=$B62)*[5]Energy!I$249:I$358)</f>
        <v>0</v>
      </c>
      <c r="J62" s="71" cm="1">
        <f t="array" ref="J62">SUMPRODUCT((H_Rate_Class=$B62)*[5]Energy!J$249:J$358)</f>
        <v>0</v>
      </c>
      <c r="K62" s="71" cm="1">
        <f t="array" ref="K62">SUMPRODUCT((H_Rate_Class=$B62)*[5]Energy!K$249:K$358)</f>
        <v>0</v>
      </c>
      <c r="L62" s="71" cm="1">
        <f t="array" ref="L62">SUMPRODUCT((H_Rate_Class=$B62)*[5]Energy!L$249:L$358)</f>
        <v>0</v>
      </c>
      <c r="M62" s="71" cm="1">
        <f t="array" ref="M62">SUMPRODUCT((H_Rate_Class=$B62)*[5]Energy!M$249:M$358)</f>
        <v>39</v>
      </c>
      <c r="N62" s="71" cm="1">
        <f t="array" ref="N62">SUMPRODUCT((H_Rate_Class=$B62)*[5]Energy!N$249:N$358)</f>
        <v>0</v>
      </c>
      <c r="O62" s="71" cm="1">
        <f t="array" ref="O62">SUMPRODUCT((H_Rate_Class=$B62)*[5]Energy!O$249:O$358)</f>
        <v>0</v>
      </c>
      <c r="P62" s="93">
        <f>SUM(D62:O62)</f>
        <v>39</v>
      </c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  <c r="DI62" s="37"/>
      <c r="DJ62" s="37"/>
      <c r="DK62" s="37"/>
      <c r="DL62" s="37"/>
      <c r="DM62" s="37"/>
      <c r="DN62" s="37"/>
      <c r="DO62" s="37"/>
      <c r="DP62" s="37"/>
      <c r="DQ62" s="37"/>
      <c r="DR62" s="37"/>
      <c r="DS62" s="37"/>
      <c r="DT62" s="37"/>
      <c r="DU62" s="37"/>
      <c r="DV62" s="37"/>
      <c r="DW62" s="37"/>
      <c r="DX62" s="37"/>
      <c r="DY62" s="37"/>
      <c r="DZ62" s="37"/>
      <c r="EA62" s="37"/>
      <c r="EB62" s="37"/>
      <c r="EC62" s="37"/>
      <c r="ED62" s="37"/>
      <c r="EE62" s="37"/>
      <c r="EF62" s="37"/>
      <c r="EG62" s="37"/>
      <c r="EH62" s="37"/>
      <c r="EI62" s="37"/>
      <c r="EJ62" s="37"/>
      <c r="EK62" s="37"/>
      <c r="EL62" s="37"/>
      <c r="EM62" s="37"/>
      <c r="EN62" s="37"/>
      <c r="EO62" s="37"/>
    </row>
    <row r="63" spans="1:145" s="34" customFormat="1">
      <c r="A63" s="46"/>
      <c r="B63" s="78"/>
      <c r="C63" s="85"/>
      <c r="D63" s="94"/>
      <c r="E63" s="94"/>
      <c r="F63" s="94"/>
      <c r="G63" s="94">
        <v>0</v>
      </c>
      <c r="H63" s="94"/>
      <c r="I63" s="94"/>
      <c r="J63" s="94"/>
      <c r="K63" s="94"/>
      <c r="L63" s="94"/>
      <c r="M63" s="94"/>
      <c r="N63" s="94"/>
      <c r="O63" s="71"/>
      <c r="P63" s="71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7"/>
      <c r="DB63" s="37"/>
      <c r="DC63" s="37"/>
      <c r="DD63" s="37"/>
      <c r="DE63" s="37"/>
      <c r="DF63" s="37"/>
      <c r="DG63" s="37"/>
      <c r="DH63" s="37"/>
      <c r="DI63" s="37"/>
      <c r="DJ63" s="37"/>
      <c r="DK63" s="37"/>
      <c r="DL63" s="37"/>
      <c r="DM63" s="37"/>
      <c r="DN63" s="37"/>
      <c r="DO63" s="37"/>
      <c r="DP63" s="37"/>
      <c r="DQ63" s="37"/>
      <c r="DR63" s="37"/>
      <c r="DS63" s="37"/>
      <c r="DT63" s="37"/>
      <c r="DU63" s="37"/>
      <c r="DV63" s="37"/>
      <c r="DW63" s="37"/>
      <c r="DX63" s="37"/>
      <c r="DY63" s="37"/>
      <c r="DZ63" s="37"/>
      <c r="EA63" s="37"/>
      <c r="EB63" s="37"/>
      <c r="EC63" s="37"/>
      <c r="ED63" s="37"/>
      <c r="EE63" s="37"/>
      <c r="EF63" s="37"/>
      <c r="EG63" s="37"/>
      <c r="EH63" s="37"/>
      <c r="EI63" s="37"/>
      <c r="EJ63" s="37"/>
      <c r="EK63" s="37"/>
      <c r="EL63" s="37"/>
      <c r="EM63" s="37"/>
      <c r="EN63" s="37"/>
      <c r="EO63" s="37"/>
    </row>
    <row r="64" spans="1:145" s="34" customFormat="1">
      <c r="A64" s="46">
        <v>13</v>
      </c>
      <c r="B64" s="114" t="s">
        <v>22</v>
      </c>
      <c r="C64" s="143"/>
      <c r="D64" s="115">
        <f>D62+D60+D58+D52+D48+D46</f>
        <v>24999617.999999955</v>
      </c>
      <c r="E64" s="115">
        <f t="shared" ref="E64:P64" si="10">E62+E60+E58+E52+E48+E46</f>
        <v>25901536.00000006</v>
      </c>
      <c r="F64" s="115">
        <f t="shared" si="10"/>
        <v>-56480973.999999948</v>
      </c>
      <c r="G64" s="115">
        <f t="shared" si="10"/>
        <v>-34423817.000000015</v>
      </c>
      <c r="H64" s="115">
        <f t="shared" si="10"/>
        <v>26512926.000000022</v>
      </c>
      <c r="I64" s="115">
        <f t="shared" si="10"/>
        <v>-47095495.999999948</v>
      </c>
      <c r="J64" s="115">
        <f t="shared" si="10"/>
        <v>-52876972.000000045</v>
      </c>
      <c r="K64" s="115">
        <f t="shared" si="10"/>
        <v>56998810.000000015</v>
      </c>
      <c r="L64" s="115">
        <f t="shared" si="10"/>
        <v>37435367.000000186</v>
      </c>
      <c r="M64" s="115">
        <f t="shared" si="10"/>
        <v>-160697555.00000003</v>
      </c>
      <c r="N64" s="115">
        <f t="shared" si="10"/>
        <v>-147896703.99999994</v>
      </c>
      <c r="O64" s="115">
        <f t="shared" si="10"/>
        <v>-147990605.99999994</v>
      </c>
      <c r="P64" s="115">
        <f t="shared" si="10"/>
        <v>-475613866.99999958</v>
      </c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37"/>
      <c r="DC64" s="37"/>
      <c r="DD64" s="37"/>
      <c r="DE64" s="37"/>
      <c r="DF64" s="37"/>
      <c r="DG64" s="37"/>
      <c r="DH64" s="37"/>
      <c r="DI64" s="37"/>
      <c r="DJ64" s="37"/>
      <c r="DK64" s="37"/>
      <c r="DL64" s="37"/>
      <c r="DM64" s="37"/>
      <c r="DN64" s="37"/>
      <c r="DO64" s="37"/>
      <c r="DP64" s="37"/>
      <c r="DQ64" s="37"/>
      <c r="DR64" s="37"/>
      <c r="DS64" s="37"/>
      <c r="DT64" s="37"/>
      <c r="DU64" s="37"/>
      <c r="DV64" s="37"/>
      <c r="DW64" s="37"/>
      <c r="DX64" s="37"/>
      <c r="DY64" s="37"/>
      <c r="DZ64" s="37"/>
      <c r="EA64" s="37"/>
      <c r="EB64" s="37"/>
      <c r="EC64" s="37"/>
      <c r="ED64" s="37"/>
      <c r="EE64" s="37"/>
      <c r="EF64" s="37"/>
      <c r="EG64" s="37"/>
      <c r="EH64" s="37"/>
      <c r="EI64" s="37"/>
      <c r="EJ64" s="37"/>
      <c r="EK64" s="37"/>
      <c r="EL64" s="37"/>
      <c r="EM64" s="37"/>
      <c r="EN64" s="37"/>
      <c r="EO64" s="37"/>
    </row>
    <row r="65" spans="1:145" s="34" customFormat="1">
      <c r="B65" s="143"/>
      <c r="C65" s="143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93"/>
      <c r="P65" s="93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  <c r="DG65" s="37"/>
      <c r="DH65" s="37"/>
      <c r="DI65" s="37"/>
      <c r="DJ65" s="37"/>
      <c r="DK65" s="37"/>
      <c r="DL65" s="37"/>
      <c r="DM65" s="37"/>
      <c r="DN65" s="37"/>
      <c r="DO65" s="37"/>
      <c r="DP65" s="37"/>
      <c r="DQ65" s="37"/>
      <c r="DR65" s="37"/>
      <c r="DS65" s="37"/>
      <c r="DT65" s="37"/>
      <c r="DU65" s="37"/>
      <c r="DV65" s="37"/>
      <c r="DW65" s="37"/>
      <c r="DX65" s="37"/>
      <c r="DY65" s="37"/>
      <c r="DZ65" s="37"/>
      <c r="EA65" s="37"/>
      <c r="EB65" s="37"/>
      <c r="EC65" s="37"/>
      <c r="ED65" s="37"/>
      <c r="EE65" s="37"/>
      <c r="EF65" s="37"/>
      <c r="EG65" s="37"/>
      <c r="EH65" s="37"/>
      <c r="EI65" s="37"/>
      <c r="EJ65" s="37"/>
      <c r="EK65" s="37"/>
      <c r="EL65" s="37"/>
      <c r="EM65" s="37"/>
      <c r="EN65" s="37"/>
      <c r="EO65" s="37"/>
    </row>
    <row r="66" spans="1:145" s="34" customFormat="1">
      <c r="A66" s="46">
        <v>14</v>
      </c>
      <c r="B66" s="89" t="s">
        <v>69</v>
      </c>
      <c r="C66" s="74" t="s">
        <v>5</v>
      </c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93">
        <f>SUM(D66:O66)</f>
        <v>0</v>
      </c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  <c r="DI66" s="37"/>
      <c r="DJ66" s="37"/>
      <c r="DK66" s="37"/>
      <c r="DL66" s="37"/>
      <c r="DM66" s="37"/>
      <c r="DN66" s="37"/>
      <c r="DO66" s="37"/>
      <c r="DP66" s="37"/>
      <c r="DQ66" s="37"/>
      <c r="DR66" s="37"/>
      <c r="DS66" s="37"/>
      <c r="DT66" s="37"/>
      <c r="DU66" s="37"/>
      <c r="DV66" s="37"/>
      <c r="DW66" s="37"/>
      <c r="DX66" s="37"/>
      <c r="DY66" s="37"/>
      <c r="DZ66" s="37"/>
      <c r="EA66" s="37"/>
      <c r="EB66" s="37"/>
      <c r="EC66" s="37"/>
      <c r="ED66" s="37"/>
      <c r="EE66" s="37"/>
      <c r="EF66" s="37"/>
      <c r="EG66" s="37"/>
      <c r="EH66" s="37"/>
      <c r="EI66" s="37"/>
      <c r="EJ66" s="37"/>
      <c r="EK66" s="37"/>
      <c r="EL66" s="37"/>
      <c r="EM66" s="37"/>
      <c r="EN66" s="37"/>
      <c r="EO66" s="37"/>
    </row>
    <row r="67" spans="1:145" s="34" customFormat="1">
      <c r="A67" s="46">
        <v>15</v>
      </c>
      <c r="B67" s="89" t="s">
        <v>70</v>
      </c>
      <c r="C67" s="74" t="s">
        <v>6</v>
      </c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104">
        <f>SUM(D67:O67)</f>
        <v>0</v>
      </c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</row>
    <row r="68" spans="1:145" s="34" customFormat="1">
      <c r="A68" s="46">
        <v>16</v>
      </c>
      <c r="B68" s="114" t="s">
        <v>23</v>
      </c>
      <c r="C68" s="145"/>
      <c r="D68" s="100">
        <f t="shared" ref="D68:P68" si="11">SUM(D66:D67)</f>
        <v>0</v>
      </c>
      <c r="E68" s="100">
        <f t="shared" si="11"/>
        <v>0</v>
      </c>
      <c r="F68" s="100">
        <f t="shared" si="11"/>
        <v>0</v>
      </c>
      <c r="G68" s="100">
        <f t="shared" si="11"/>
        <v>0</v>
      </c>
      <c r="H68" s="100">
        <f t="shared" si="11"/>
        <v>0</v>
      </c>
      <c r="I68" s="100">
        <f t="shared" si="11"/>
        <v>0</v>
      </c>
      <c r="J68" s="100">
        <f t="shared" si="11"/>
        <v>0</v>
      </c>
      <c r="K68" s="100">
        <f t="shared" si="11"/>
        <v>0</v>
      </c>
      <c r="L68" s="100">
        <f t="shared" si="11"/>
        <v>0</v>
      </c>
      <c r="M68" s="100">
        <f t="shared" si="11"/>
        <v>0</v>
      </c>
      <c r="N68" s="100">
        <f t="shared" si="11"/>
        <v>0</v>
      </c>
      <c r="O68" s="93">
        <f t="shared" si="11"/>
        <v>0</v>
      </c>
      <c r="P68" s="93">
        <f t="shared" si="11"/>
        <v>0</v>
      </c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  <c r="DF68" s="37"/>
      <c r="DG68" s="37"/>
      <c r="DH68" s="37"/>
      <c r="DI68" s="37"/>
      <c r="DJ68" s="37"/>
      <c r="DK68" s="37"/>
      <c r="DL68" s="37"/>
      <c r="DM68" s="37"/>
      <c r="DN68" s="37"/>
      <c r="DO68" s="37"/>
      <c r="DP68" s="37"/>
      <c r="DQ68" s="37"/>
      <c r="DR68" s="37"/>
      <c r="DS68" s="37"/>
      <c r="DT68" s="37"/>
      <c r="DU68" s="37"/>
      <c r="DV68" s="37"/>
      <c r="DW68" s="37"/>
      <c r="DX68" s="37"/>
      <c r="DY68" s="37"/>
      <c r="DZ68" s="37"/>
      <c r="EA68" s="37"/>
      <c r="EB68" s="37"/>
      <c r="EC68" s="37"/>
      <c r="ED68" s="37"/>
      <c r="EE68" s="37"/>
      <c r="EF68" s="37"/>
      <c r="EG68" s="37"/>
      <c r="EH68" s="37"/>
      <c r="EI68" s="37"/>
      <c r="EJ68" s="37"/>
      <c r="EK68" s="37"/>
      <c r="EL68" s="37"/>
      <c r="EM68" s="37"/>
      <c r="EN68" s="37"/>
      <c r="EO68" s="37"/>
    </row>
    <row r="69" spans="1:145" s="34" customFormat="1">
      <c r="A69" s="46"/>
      <c r="B69" s="78"/>
      <c r="C69" s="116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71"/>
      <c r="P69" s="71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/>
      <c r="DF69" s="37"/>
      <c r="DG69" s="37"/>
      <c r="DH69" s="37"/>
      <c r="DI69" s="37"/>
      <c r="DJ69" s="37"/>
      <c r="DK69" s="37"/>
      <c r="DL69" s="37"/>
      <c r="DM69" s="37"/>
      <c r="DN69" s="37"/>
      <c r="DO69" s="37"/>
      <c r="DP69" s="37"/>
      <c r="DQ69" s="37"/>
      <c r="DR69" s="37"/>
      <c r="DS69" s="37"/>
      <c r="DT69" s="37"/>
      <c r="DU69" s="37"/>
      <c r="DV69" s="37"/>
      <c r="DW69" s="37"/>
      <c r="DX69" s="37"/>
      <c r="DY69" s="37"/>
      <c r="DZ69" s="37"/>
      <c r="EA69" s="37"/>
      <c r="EB69" s="37"/>
      <c r="EC69" s="37"/>
      <c r="ED69" s="37"/>
      <c r="EE69" s="37"/>
      <c r="EF69" s="37"/>
      <c r="EG69" s="37"/>
      <c r="EH69" s="37"/>
      <c r="EI69" s="37"/>
      <c r="EJ69" s="37"/>
      <c r="EK69" s="37"/>
      <c r="EL69" s="37"/>
      <c r="EM69" s="37"/>
      <c r="EN69" s="37"/>
      <c r="EO69" s="37"/>
    </row>
    <row r="70" spans="1:145" s="34" customFormat="1" ht="12" thickBot="1">
      <c r="A70" s="46">
        <v>17</v>
      </c>
      <c r="B70" s="147" t="s">
        <v>92</v>
      </c>
      <c r="C70" s="145"/>
      <c r="D70" s="148">
        <f t="shared" ref="D70:P70" si="12">+D68+D64</f>
        <v>24999617.999999955</v>
      </c>
      <c r="E70" s="148">
        <f t="shared" si="12"/>
        <v>25901536.00000006</v>
      </c>
      <c r="F70" s="148">
        <f t="shared" si="12"/>
        <v>-56480973.999999948</v>
      </c>
      <c r="G70" s="148">
        <f t="shared" si="12"/>
        <v>-34423817.000000015</v>
      </c>
      <c r="H70" s="148">
        <f t="shared" si="12"/>
        <v>26512926.000000022</v>
      </c>
      <c r="I70" s="148">
        <f t="shared" si="12"/>
        <v>-47095495.999999948</v>
      </c>
      <c r="J70" s="148">
        <f t="shared" si="12"/>
        <v>-52876972.000000045</v>
      </c>
      <c r="K70" s="148">
        <f t="shared" si="12"/>
        <v>56998810.000000015</v>
      </c>
      <c r="L70" s="148">
        <f t="shared" si="12"/>
        <v>37435367.000000186</v>
      </c>
      <c r="M70" s="148">
        <f t="shared" si="12"/>
        <v>-160697555.00000003</v>
      </c>
      <c r="N70" s="148">
        <f t="shared" si="12"/>
        <v>-147896703.99999994</v>
      </c>
      <c r="O70" s="148">
        <f t="shared" si="12"/>
        <v>-147990605.99999994</v>
      </c>
      <c r="P70" s="148">
        <f t="shared" si="12"/>
        <v>-475613866.99999958</v>
      </c>
      <c r="Q70" s="37"/>
      <c r="R70" s="42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  <c r="DB70" s="37"/>
      <c r="DC70" s="37"/>
      <c r="DD70" s="37"/>
      <c r="DE70" s="37"/>
      <c r="DF70" s="37"/>
      <c r="DG70" s="37"/>
      <c r="DH70" s="37"/>
      <c r="DI70" s="37"/>
      <c r="DJ70" s="37"/>
      <c r="DK70" s="37"/>
      <c r="DL70" s="37"/>
      <c r="DM70" s="37"/>
      <c r="DN70" s="37"/>
      <c r="DO70" s="37"/>
      <c r="DP70" s="37"/>
      <c r="DQ70" s="37"/>
      <c r="DR70" s="37"/>
      <c r="DS70" s="37"/>
      <c r="DT70" s="37"/>
      <c r="DU70" s="37"/>
      <c r="DV70" s="37"/>
      <c r="DW70" s="37"/>
      <c r="DX70" s="37"/>
      <c r="DY70" s="37"/>
      <c r="DZ70" s="37"/>
      <c r="EA70" s="37"/>
      <c r="EB70" s="37"/>
      <c r="EC70" s="37"/>
      <c r="ED70" s="37"/>
      <c r="EE70" s="37"/>
      <c r="EF70" s="37"/>
      <c r="EG70" s="37"/>
      <c r="EH70" s="37"/>
      <c r="EI70" s="37"/>
      <c r="EJ70" s="37"/>
      <c r="EK70" s="37"/>
      <c r="EL70" s="37"/>
      <c r="EM70" s="37"/>
      <c r="EN70" s="37"/>
      <c r="EO70" s="37"/>
    </row>
    <row r="71" spans="1:145" ht="12" thickTop="1">
      <c r="B71" s="366" t="str">
        <f>B7</f>
        <v>AEP TEXAS</v>
      </c>
      <c r="C71" s="366"/>
      <c r="D71" s="366"/>
      <c r="E71" s="366"/>
      <c r="F71" s="366"/>
      <c r="G71" s="366"/>
      <c r="H71" s="366"/>
      <c r="I71" s="366"/>
      <c r="J71" s="366"/>
      <c r="K71" s="366"/>
      <c r="L71" s="366"/>
      <c r="M71" s="366"/>
      <c r="N71" s="366"/>
      <c r="O71" s="366"/>
      <c r="P71" s="152"/>
    </row>
    <row r="72" spans="1:145" s="87" customFormat="1">
      <c r="B72" s="366" t="s">
        <v>13</v>
      </c>
      <c r="C72" s="366"/>
      <c r="D72" s="366"/>
      <c r="E72" s="366"/>
      <c r="F72" s="366"/>
      <c r="G72" s="366"/>
      <c r="H72" s="366"/>
      <c r="I72" s="366"/>
      <c r="J72" s="366"/>
      <c r="K72" s="366"/>
      <c r="L72" s="366"/>
      <c r="M72" s="366"/>
      <c r="N72" s="366"/>
      <c r="O72" s="366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89"/>
      <c r="AT72" s="89"/>
      <c r="AU72" s="89"/>
      <c r="AV72" s="89"/>
      <c r="AW72" s="89"/>
      <c r="AX72" s="89"/>
      <c r="AY72" s="89"/>
      <c r="AZ72" s="89"/>
      <c r="BA72" s="89"/>
      <c r="BB72" s="89"/>
      <c r="BC72" s="89"/>
      <c r="BD72" s="89"/>
      <c r="BE72" s="89"/>
      <c r="BF72" s="89"/>
      <c r="BG72" s="89"/>
      <c r="BH72" s="89"/>
      <c r="BI72" s="89"/>
      <c r="BJ72" s="89"/>
      <c r="BK72" s="89"/>
      <c r="BL72" s="89"/>
      <c r="BM72" s="89"/>
      <c r="BN72" s="89"/>
      <c r="BO72" s="89"/>
      <c r="BP72" s="89"/>
      <c r="BQ72" s="89"/>
      <c r="BR72" s="89"/>
      <c r="BS72" s="89"/>
      <c r="BT72" s="89"/>
      <c r="BU72" s="89"/>
      <c r="BV72" s="89"/>
      <c r="BW72" s="89"/>
      <c r="BX72" s="89"/>
      <c r="BY72" s="89"/>
      <c r="BZ72" s="89"/>
      <c r="CA72" s="89"/>
      <c r="CB72" s="89"/>
      <c r="CC72" s="89"/>
      <c r="CD72" s="89"/>
      <c r="CE72" s="89"/>
      <c r="CF72" s="89"/>
      <c r="CG72" s="89"/>
      <c r="CH72" s="89"/>
      <c r="CI72" s="89"/>
      <c r="CJ72" s="89"/>
      <c r="CK72" s="89"/>
      <c r="CL72" s="89"/>
      <c r="CM72" s="89"/>
      <c r="CN72" s="89"/>
      <c r="CO72" s="89"/>
      <c r="CP72" s="89"/>
      <c r="CQ72" s="89"/>
      <c r="CR72" s="89"/>
      <c r="CS72" s="89"/>
      <c r="CT72" s="89"/>
      <c r="CU72" s="89"/>
      <c r="CV72" s="89"/>
      <c r="CW72" s="89"/>
      <c r="CX72" s="89"/>
      <c r="CY72" s="89"/>
      <c r="CZ72" s="89"/>
      <c r="DA72" s="89"/>
      <c r="DB72" s="89"/>
      <c r="DC72" s="89"/>
      <c r="DD72" s="89"/>
      <c r="DE72" s="89"/>
      <c r="DF72" s="89"/>
      <c r="DG72" s="89"/>
      <c r="DH72" s="89"/>
      <c r="DI72" s="89"/>
      <c r="DJ72" s="89"/>
      <c r="DK72" s="89"/>
      <c r="DL72" s="89"/>
      <c r="DM72" s="89"/>
      <c r="DN72" s="89"/>
      <c r="DO72" s="89"/>
      <c r="DP72" s="89"/>
      <c r="DQ72" s="89"/>
      <c r="DR72" s="89"/>
      <c r="DS72" s="89"/>
      <c r="DT72" s="89"/>
      <c r="DU72" s="89"/>
      <c r="DV72" s="89"/>
      <c r="DW72" s="89"/>
      <c r="DX72" s="89"/>
      <c r="DY72" s="89"/>
      <c r="DZ72" s="89"/>
      <c r="EA72" s="89"/>
      <c r="EB72" s="89"/>
      <c r="EC72" s="89"/>
      <c r="ED72" s="89"/>
      <c r="EE72" s="89"/>
      <c r="EF72" s="89"/>
      <c r="EG72" s="89"/>
      <c r="EH72" s="89"/>
      <c r="EI72" s="89"/>
      <c r="EJ72" s="89"/>
      <c r="EK72" s="89"/>
      <c r="EL72" s="89"/>
      <c r="EM72" s="89"/>
      <c r="EN72" s="89"/>
      <c r="EO72" s="89"/>
    </row>
    <row r="73" spans="1:145">
      <c r="B73" s="366" t="str">
        <f>+B41</f>
        <v>FOR TEST YEAR ENDED SEPTEMBER 30, 2023</v>
      </c>
      <c r="C73" s="366"/>
      <c r="D73" s="366"/>
      <c r="E73" s="366"/>
      <c r="F73" s="366"/>
      <c r="G73" s="366"/>
      <c r="H73" s="366"/>
      <c r="I73" s="366"/>
      <c r="J73" s="366"/>
      <c r="K73" s="366"/>
      <c r="L73" s="366"/>
      <c r="M73" s="366"/>
      <c r="N73" s="366"/>
      <c r="O73" s="366"/>
      <c r="P73" s="87"/>
    </row>
    <row r="74" spans="1:145"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87"/>
    </row>
    <row r="75" spans="1:145">
      <c r="B75" s="106"/>
      <c r="C75" s="99"/>
      <c r="D75" s="97"/>
      <c r="E75" s="108"/>
      <c r="F75" s="108"/>
      <c r="G75" s="167"/>
      <c r="H75" s="108"/>
      <c r="I75" s="108"/>
      <c r="J75" s="94"/>
      <c r="K75" s="108"/>
      <c r="L75" s="108"/>
      <c r="M75" s="108"/>
      <c r="N75" s="108"/>
      <c r="O75" s="109"/>
      <c r="P75" s="109"/>
    </row>
    <row r="76" spans="1:145" s="10" customFormat="1">
      <c r="A76" s="144" t="s">
        <v>8</v>
      </c>
      <c r="B76" s="144" t="s">
        <v>0</v>
      </c>
      <c r="C76" s="144" t="s">
        <v>7</v>
      </c>
      <c r="D76" s="97" t="str">
        <f>D12</f>
        <v>Oct-22</v>
      </c>
      <c r="E76" s="97" t="str">
        <f>E12</f>
        <v>Nov-22</v>
      </c>
      <c r="F76" s="97" t="str">
        <f>F12</f>
        <v>Dec-22</v>
      </c>
      <c r="G76" s="97" t="str">
        <f>G12</f>
        <v>Jan-23</v>
      </c>
      <c r="H76" s="97" t="str">
        <f t="shared" ref="H76:O76" si="13">H12</f>
        <v>Feb-23</v>
      </c>
      <c r="I76" s="97" t="str">
        <f t="shared" si="13"/>
        <v>Mar-23</v>
      </c>
      <c r="J76" s="97" t="str">
        <f t="shared" si="13"/>
        <v>Apr-23</v>
      </c>
      <c r="K76" s="97" t="str">
        <f t="shared" si="13"/>
        <v>May-23</v>
      </c>
      <c r="L76" s="97" t="str">
        <f t="shared" si="13"/>
        <v>Jun-23</v>
      </c>
      <c r="M76" s="97" t="str">
        <f t="shared" si="13"/>
        <v>Jul-23</v>
      </c>
      <c r="N76" s="97" t="str">
        <f t="shared" si="13"/>
        <v>Aug-23</v>
      </c>
      <c r="O76" s="97" t="str">
        <f t="shared" si="13"/>
        <v>Sep-23</v>
      </c>
      <c r="P76" s="97" t="str">
        <f>+P12</f>
        <v>TOTAL</v>
      </c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0"/>
      <c r="CO76" s="60"/>
      <c r="CP76" s="60"/>
      <c r="CQ76" s="60"/>
      <c r="CR76" s="60"/>
      <c r="CS76" s="60"/>
      <c r="CT76" s="60"/>
      <c r="CU76" s="60"/>
      <c r="CV76" s="60"/>
      <c r="CW76" s="60"/>
      <c r="CX76" s="60"/>
      <c r="CY76" s="60"/>
      <c r="CZ76" s="60"/>
      <c r="DA76" s="60"/>
      <c r="DB76" s="60"/>
      <c r="DC76" s="60"/>
      <c r="DD76" s="60"/>
      <c r="DE76" s="60"/>
      <c r="DF76" s="60"/>
      <c r="DG76" s="60"/>
      <c r="DH76" s="60"/>
      <c r="DI76" s="60"/>
      <c r="DJ76" s="60"/>
      <c r="DK76" s="60"/>
      <c r="DL76" s="60"/>
      <c r="DM76" s="60"/>
      <c r="DN76" s="60"/>
      <c r="DO76" s="60"/>
      <c r="DP76" s="60"/>
      <c r="DQ76" s="60"/>
      <c r="DR76" s="60"/>
      <c r="DS76" s="60"/>
      <c r="DT76" s="60"/>
      <c r="DU76" s="60"/>
      <c r="DV76" s="60"/>
      <c r="DW76" s="60"/>
      <c r="DX76" s="60"/>
      <c r="DY76" s="60"/>
      <c r="DZ76" s="60"/>
      <c r="EA76" s="60"/>
      <c r="EB76" s="60"/>
      <c r="EC76" s="60"/>
      <c r="ED76" s="60"/>
      <c r="EE76" s="60"/>
      <c r="EF76" s="60"/>
      <c r="EG76" s="60"/>
      <c r="EH76" s="60"/>
      <c r="EI76" s="60"/>
      <c r="EJ76" s="60"/>
      <c r="EK76" s="60"/>
      <c r="EL76" s="60"/>
      <c r="EM76" s="60"/>
      <c r="EN76" s="60"/>
      <c r="EO76" s="60"/>
    </row>
    <row r="77" spans="1:145">
      <c r="A77" s="87"/>
      <c r="B77" s="87"/>
      <c r="C77" s="99"/>
      <c r="D77" s="94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93"/>
      <c r="P77" s="101"/>
      <c r="Q77" s="37"/>
      <c r="R77" s="26"/>
    </row>
    <row r="78" spans="1:145" s="34" customFormat="1">
      <c r="A78" s="83" t="s">
        <v>9</v>
      </c>
      <c r="B78" s="78" t="s">
        <v>17</v>
      </c>
      <c r="C78" s="85" t="s">
        <v>4</v>
      </c>
      <c r="D78" s="71" cm="1">
        <f t="array" ref="D78">SUMPRODUCT((H_Rate_Class=$B78)*[5]Energy!D$129:D$238)</f>
        <v>19960536.664678976</v>
      </c>
      <c r="E78" s="93" cm="1">
        <f t="array" ref="E78">SUMPRODUCT((H_Rate_Class=$B78)*[5]Energy!E$129:E$238)</f>
        <v>14284317.332705207</v>
      </c>
      <c r="F78" s="93" cm="1">
        <f t="array" ref="F78">SUMPRODUCT((H_Rate_Class=$B78)*[5]Energy!F$129:F$238)</f>
        <v>15681792.835431278</v>
      </c>
      <c r="G78" s="93" cm="1">
        <f t="array" ref="G78">SUMPRODUCT((H_Rate_Class=$B78)*[5]Energy!G$129:G$238)</f>
        <v>15640049.830725018</v>
      </c>
      <c r="H78" s="93" cm="1">
        <f t="array" ref="H78">SUMPRODUCT((H_Rate_Class=$B78)*[5]Energy!H$129:H$238)</f>
        <v>12549689.836213086</v>
      </c>
      <c r="I78" s="93" cm="1">
        <f t="array" ref="I78">SUMPRODUCT((H_Rate_Class=$B78)*[5]Energy!I$129:I$238)</f>
        <v>10448080.124917911</v>
      </c>
      <c r="J78" s="93" cm="1">
        <f t="array" ref="J78">SUMPRODUCT((H_Rate_Class=$B78)*[5]Energy!J$129:J$238)</f>
        <v>8515307.9546552077</v>
      </c>
      <c r="K78" s="93" cm="1">
        <f t="array" ref="K78">SUMPRODUCT((H_Rate_Class=$B78)*[5]Energy!K$129:K$238)</f>
        <v>5323658.1865406977</v>
      </c>
      <c r="L78" s="93" cm="1">
        <f t="array" ref="L78">SUMPRODUCT((H_Rate_Class=$B78)*[5]Energy!L$129:L$238)</f>
        <v>4066634.4214728922</v>
      </c>
      <c r="M78" s="93" cm="1">
        <f t="array" ref="M78">SUMPRODUCT((H_Rate_Class=$B78)*[5]Energy!M$129:M$238)</f>
        <v>511407.82027759054</v>
      </c>
      <c r="N78" s="93" cm="1">
        <f t="array" ref="N78">SUMPRODUCT((H_Rate_Class=$B78)*[5]Energy!N$129:N$238)</f>
        <v>-1080846.4684094822</v>
      </c>
      <c r="O78" s="93" cm="1">
        <f t="array" ref="O78">SUMPRODUCT((H_Rate_Class=$B78)*[5]Energy!O$129:O$238)</f>
        <v>0</v>
      </c>
      <c r="P78" s="93">
        <f>SUM(D78:O78)</f>
        <v>105900628.53920838</v>
      </c>
      <c r="Q78" s="93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C78" s="37"/>
      <c r="DD78" s="37"/>
      <c r="DE78" s="37"/>
      <c r="DF78" s="37"/>
      <c r="DG78" s="37"/>
      <c r="DH78" s="37"/>
      <c r="DI78" s="37"/>
      <c r="DJ78" s="37"/>
      <c r="DK78" s="37"/>
      <c r="DL78" s="37"/>
      <c r="DM78" s="37"/>
      <c r="DN78" s="37"/>
      <c r="DO78" s="37"/>
      <c r="DP78" s="37"/>
      <c r="DQ78" s="37"/>
      <c r="DR78" s="37"/>
      <c r="DS78" s="37"/>
      <c r="DT78" s="37"/>
      <c r="DU78" s="37"/>
      <c r="DV78" s="37"/>
      <c r="DW78" s="37"/>
      <c r="DX78" s="37"/>
      <c r="DY78" s="37"/>
      <c r="DZ78" s="37"/>
      <c r="EA78" s="37"/>
      <c r="EB78" s="37"/>
      <c r="EC78" s="37"/>
      <c r="ED78" s="37"/>
      <c r="EE78" s="37"/>
      <c r="EF78" s="37"/>
      <c r="EG78" s="37"/>
      <c r="EH78" s="37"/>
      <c r="EI78" s="37"/>
      <c r="EJ78" s="37"/>
      <c r="EK78" s="37"/>
      <c r="EL78" s="37"/>
      <c r="EM78" s="37"/>
      <c r="EN78" s="37"/>
      <c r="EO78" s="37"/>
    </row>
    <row r="79" spans="1:145" s="34" customFormat="1">
      <c r="A79" s="78"/>
      <c r="B79" s="78"/>
      <c r="C79" s="85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37"/>
      <c r="R79" s="26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C79" s="37"/>
      <c r="DD79" s="37"/>
      <c r="DE79" s="37"/>
      <c r="DF79" s="37"/>
      <c r="DG79" s="37"/>
      <c r="DH79" s="37"/>
      <c r="DI79" s="37"/>
      <c r="DJ79" s="37"/>
      <c r="DK79" s="37"/>
      <c r="DL79" s="37"/>
      <c r="DM79" s="37"/>
      <c r="DN79" s="37"/>
      <c r="DO79" s="37"/>
      <c r="DP79" s="37"/>
      <c r="DQ79" s="37"/>
      <c r="DR79" s="37"/>
      <c r="DS79" s="37"/>
      <c r="DT79" s="37"/>
      <c r="DU79" s="37"/>
      <c r="DV79" s="37"/>
      <c r="DW79" s="37"/>
      <c r="DX79" s="37"/>
      <c r="DY79" s="37"/>
      <c r="DZ79" s="37"/>
      <c r="EA79" s="37"/>
      <c r="EB79" s="37"/>
      <c r="EC79" s="37"/>
      <c r="ED79" s="37"/>
      <c r="EE79" s="37"/>
      <c r="EF79" s="37"/>
      <c r="EG79" s="37"/>
      <c r="EH79" s="37"/>
      <c r="EI79" s="37"/>
      <c r="EJ79" s="37"/>
      <c r="EK79" s="37"/>
      <c r="EL79" s="37"/>
      <c r="EM79" s="37"/>
      <c r="EN79" s="37"/>
      <c r="EO79" s="37"/>
    </row>
    <row r="80" spans="1:145" s="34" customFormat="1">
      <c r="A80" s="83">
        <v>2</v>
      </c>
      <c r="B80" s="78" t="s">
        <v>150</v>
      </c>
      <c r="C80" s="85" t="s">
        <v>4</v>
      </c>
      <c r="D80" s="93" cm="1">
        <f t="array" ref="D80">SUMPRODUCT((H_Rate_Class=$B80)*[5]Energy!D$129:D$238)</f>
        <v>6473.4921734744639</v>
      </c>
      <c r="E80" s="93" cm="1">
        <f t="array" ref="E80">SUMPRODUCT((H_Rate_Class=$B80)*[5]Energy!E$129:E$238)</f>
        <v>-111757.37659026367</v>
      </c>
      <c r="F80" s="93" cm="1">
        <f t="array" ref="F80">SUMPRODUCT((H_Rate_Class=$B80)*[5]Energy!F$129:F$238)</f>
        <v>-27088.66447299525</v>
      </c>
      <c r="G80" s="93" cm="1">
        <f t="array" ref="G80">SUMPRODUCT((H_Rate_Class=$B80)*[5]Energy!G$129:G$238)</f>
        <v>507216.00395874539</v>
      </c>
      <c r="H80" s="93" cm="1">
        <f t="array" ref="H80">SUMPRODUCT((H_Rate_Class=$B80)*[5]Energy!H$129:H$238)</f>
        <v>683496.07523963111</v>
      </c>
      <c r="I80" s="93" cm="1">
        <f t="array" ref="I80">SUMPRODUCT((H_Rate_Class=$B80)*[5]Energy!I$129:I$238)</f>
        <v>582455.70161965373</v>
      </c>
      <c r="J80" s="93" cm="1">
        <f t="array" ref="J80">SUMPRODUCT((H_Rate_Class=$B80)*[5]Energy!J$129:J$238)</f>
        <v>315811.54657293751</v>
      </c>
      <c r="K80" s="93" cm="1">
        <f t="array" ref="K80">SUMPRODUCT((H_Rate_Class=$B80)*[5]Energy!K$129:K$238)</f>
        <v>92913.925897026333</v>
      </c>
      <c r="L80" s="93" cm="1">
        <f t="array" ref="L80">SUMPRODUCT((H_Rate_Class=$B80)*[5]Energy!L$129:L$238)</f>
        <v>62959.043288859844</v>
      </c>
      <c r="M80" s="93" cm="1">
        <f t="array" ref="M80">SUMPRODUCT((H_Rate_Class=$B80)*[5]Energy!M$129:M$238)</f>
        <v>59597.829290217021</v>
      </c>
      <c r="N80" s="93" cm="1">
        <f t="array" ref="N80">SUMPRODUCT((H_Rate_Class=$B80)*[5]Energy!N$129:N$238)</f>
        <v>-62928.696021684264</v>
      </c>
      <c r="O80" s="93" cm="1">
        <f t="array" ref="O80">SUMPRODUCT((H_Rate_Class=$B80)*[5]Energy!O$129:O$238)</f>
        <v>0</v>
      </c>
      <c r="P80" s="93">
        <f>SUM(D80:O80)</f>
        <v>2109148.880955602</v>
      </c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  <c r="DI80" s="37"/>
      <c r="DJ80" s="37"/>
      <c r="DK80" s="37"/>
      <c r="DL80" s="37"/>
      <c r="DM80" s="37"/>
      <c r="DN80" s="37"/>
      <c r="DO80" s="37"/>
      <c r="DP80" s="37"/>
      <c r="DQ80" s="37"/>
      <c r="DR80" s="37"/>
      <c r="DS80" s="37"/>
      <c r="DT80" s="37"/>
      <c r="DU80" s="37"/>
      <c r="DV80" s="37"/>
      <c r="DW80" s="37"/>
      <c r="DX80" s="37"/>
      <c r="DY80" s="37"/>
      <c r="DZ80" s="37"/>
      <c r="EA80" s="37"/>
      <c r="EB80" s="37"/>
      <c r="EC80" s="37"/>
      <c r="ED80" s="37"/>
      <c r="EE80" s="37"/>
      <c r="EF80" s="37"/>
      <c r="EG80" s="37"/>
      <c r="EH80" s="37"/>
      <c r="EI80" s="37"/>
      <c r="EJ80" s="37"/>
      <c r="EK80" s="37"/>
      <c r="EL80" s="37"/>
      <c r="EM80" s="37"/>
      <c r="EN80" s="37"/>
      <c r="EO80" s="37"/>
    </row>
    <row r="81" spans="1:145" s="34" customFormat="1">
      <c r="A81" s="83"/>
      <c r="B81" s="78"/>
      <c r="C81" s="85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37"/>
      <c r="R81" s="26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C81" s="37"/>
      <c r="DD81" s="37"/>
      <c r="DE81" s="37"/>
      <c r="DF81" s="37"/>
      <c r="DG81" s="37"/>
      <c r="DH81" s="37"/>
      <c r="DI81" s="37"/>
      <c r="DJ81" s="37"/>
      <c r="DK81" s="37"/>
      <c r="DL81" s="37"/>
      <c r="DM81" s="37"/>
      <c r="DN81" s="37"/>
      <c r="DO81" s="37"/>
      <c r="DP81" s="37"/>
      <c r="DQ81" s="37"/>
      <c r="DR81" s="37"/>
      <c r="DS81" s="37"/>
      <c r="DT81" s="37"/>
      <c r="DU81" s="37"/>
      <c r="DV81" s="37"/>
      <c r="DW81" s="37"/>
      <c r="DX81" s="37"/>
      <c r="DY81" s="37"/>
      <c r="DZ81" s="37"/>
      <c r="EA81" s="37"/>
      <c r="EB81" s="37"/>
      <c r="EC81" s="37"/>
      <c r="ED81" s="37"/>
      <c r="EE81" s="37"/>
      <c r="EF81" s="37"/>
      <c r="EG81" s="37"/>
      <c r="EH81" s="37"/>
      <c r="EI81" s="37"/>
      <c r="EJ81" s="37"/>
      <c r="EK81" s="37"/>
      <c r="EL81" s="37"/>
      <c r="EM81" s="37"/>
      <c r="EN81" s="37"/>
      <c r="EO81" s="37"/>
    </row>
    <row r="82" spans="1:145" s="34" customFormat="1">
      <c r="A82" s="83">
        <v>3</v>
      </c>
      <c r="B82" s="87" t="s">
        <v>81</v>
      </c>
      <c r="C82" s="74" t="s">
        <v>4</v>
      </c>
      <c r="D82" s="93" cm="1">
        <f t="array" ref="D82">SUMPRODUCT((H_Rate_Class=$B82)*[5]Energy!D$129:D$238)</f>
        <v>14581039.637528133</v>
      </c>
      <c r="E82" s="93" cm="1">
        <f t="array" ref="E82">SUMPRODUCT((H_Rate_Class=$B82)*[5]Energy!E$129:E$238)</f>
        <v>14141230.795225635</v>
      </c>
      <c r="F82" s="93" cm="1">
        <f t="array" ref="F82">SUMPRODUCT((H_Rate_Class=$B82)*[5]Energy!F$129:F$238)</f>
        <v>13059059.201348897</v>
      </c>
      <c r="G82" s="93" cm="1">
        <f t="array" ref="G82">SUMPRODUCT((H_Rate_Class=$B82)*[5]Energy!G$129:G$238)</f>
        <v>3395042.2650641194</v>
      </c>
      <c r="H82" s="93" cm="1">
        <f t="array" ref="H82">SUMPRODUCT((H_Rate_Class=$B82)*[5]Energy!H$129:H$238)</f>
        <v>-847648.41434214707</v>
      </c>
      <c r="I82" s="93" cm="1">
        <f t="array" ref="I82">SUMPRODUCT((H_Rate_Class=$B82)*[5]Energy!I$129:I$238)</f>
        <v>-1323212.65646102</v>
      </c>
      <c r="J82" s="93" cm="1">
        <f t="array" ref="J82">SUMPRODUCT((H_Rate_Class=$B82)*[5]Energy!J$129:J$238)</f>
        <v>3301435.4772956567</v>
      </c>
      <c r="K82" s="93" cm="1">
        <f t="array" ref="K82">SUMPRODUCT((H_Rate_Class=$B82)*[5]Energy!K$129:K$238)</f>
        <v>2838817.9704159754</v>
      </c>
      <c r="L82" s="93" cm="1">
        <f t="array" ref="L82">SUMPRODUCT((H_Rate_Class=$B82)*[5]Energy!L$129:L$238)</f>
        <v>2169575.5403611814</v>
      </c>
      <c r="M82" s="93" cm="1">
        <f t="array" ref="M82">SUMPRODUCT((H_Rate_Class=$B82)*[5]Energy!M$129:M$238)</f>
        <v>1269751.9776883433</v>
      </c>
      <c r="N82" s="93" cm="1">
        <f t="array" ref="N82">SUMPRODUCT((H_Rate_Class=$B82)*[5]Energy!N$129:N$238)</f>
        <v>-1184635.4031656089</v>
      </c>
      <c r="O82" s="93" cm="1">
        <f t="array" ref="O82">SUMPRODUCT((H_Rate_Class=$B82)*[5]Energy!O$129:O$238)</f>
        <v>0</v>
      </c>
      <c r="P82" s="93">
        <f>SUM(D82:O82)</f>
        <v>51400456.390959159</v>
      </c>
      <c r="Q82" s="37"/>
      <c r="R82" s="26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C82" s="37"/>
      <c r="DD82" s="37"/>
      <c r="DE82" s="37"/>
      <c r="DF82" s="37"/>
      <c r="DG82" s="37"/>
      <c r="DH82" s="37"/>
      <c r="DI82" s="37"/>
      <c r="DJ82" s="37"/>
      <c r="DK82" s="37"/>
      <c r="DL82" s="37"/>
      <c r="DM82" s="37"/>
      <c r="DN82" s="37"/>
      <c r="DO82" s="37"/>
      <c r="DP82" s="37"/>
      <c r="DQ82" s="37"/>
      <c r="DR82" s="37"/>
      <c r="DS82" s="37"/>
      <c r="DT82" s="37"/>
      <c r="DU82" s="37"/>
      <c r="DV82" s="37"/>
      <c r="DW82" s="37"/>
      <c r="DX82" s="37"/>
      <c r="DY82" s="37"/>
      <c r="DZ82" s="37"/>
      <c r="EA82" s="37"/>
      <c r="EB82" s="37"/>
      <c r="EC82" s="37"/>
      <c r="ED82" s="37"/>
      <c r="EE82" s="37"/>
      <c r="EF82" s="37"/>
      <c r="EG82" s="37"/>
      <c r="EH82" s="37"/>
      <c r="EI82" s="37"/>
      <c r="EJ82" s="37"/>
      <c r="EK82" s="37"/>
      <c r="EL82" s="37"/>
      <c r="EM82" s="37"/>
      <c r="EN82" s="37"/>
      <c r="EO82" s="37"/>
    </row>
    <row r="83" spans="1:145" s="34" customFormat="1">
      <c r="A83" s="83">
        <v>4</v>
      </c>
      <c r="B83" s="87" t="s">
        <v>85</v>
      </c>
      <c r="C83" s="74" t="s">
        <v>4</v>
      </c>
      <c r="D83" s="104" cm="1">
        <f t="array" ref="D83">SUMPRODUCT((H_Rate_Class=$B83)*[5]Energy!D$129:D$238)</f>
        <v>3645124.1530456832</v>
      </c>
      <c r="E83" s="104" cm="1">
        <f t="array" ref="E83">SUMPRODUCT((H_Rate_Class=$B83)*[5]Energy!E$129:E$238)</f>
        <v>2037091.9755080082</v>
      </c>
      <c r="F83" s="104" cm="1">
        <f t="array" ref="F83">SUMPRODUCT((H_Rate_Class=$B83)*[5]Energy!F$129:F$238)</f>
        <v>1893472.1052856452</v>
      </c>
      <c r="G83" s="104" cm="1">
        <f t="array" ref="G83">SUMPRODUCT((H_Rate_Class=$B83)*[5]Energy!G$129:G$238)</f>
        <v>1988271.722480946</v>
      </c>
      <c r="H83" s="104" cm="1">
        <f t="array" ref="H83">SUMPRODUCT((H_Rate_Class=$B83)*[5]Energy!H$129:H$238)</f>
        <v>1256470.6603956688</v>
      </c>
      <c r="I83" s="104" cm="1">
        <f t="array" ref="I83">SUMPRODUCT((H_Rate_Class=$B83)*[5]Energy!I$129:I$238)</f>
        <v>1097270.6635329914</v>
      </c>
      <c r="J83" s="104" cm="1">
        <f t="array" ref="J83">SUMPRODUCT((H_Rate_Class=$B83)*[5]Energy!J$129:J$238)</f>
        <v>734239.39419006684</v>
      </c>
      <c r="K83" s="104" cm="1">
        <f t="array" ref="K83">SUMPRODUCT((H_Rate_Class=$B83)*[5]Energy!K$129:K$238)</f>
        <v>-11757.993788371881</v>
      </c>
      <c r="L83" s="104" cm="1">
        <f t="array" ref="L83">SUMPRODUCT((H_Rate_Class=$B83)*[5]Energy!L$129:L$238)</f>
        <v>-493156.01255411562</v>
      </c>
      <c r="M83" s="104" cm="1">
        <f t="array" ref="M83">SUMPRODUCT((H_Rate_Class=$B83)*[5]Energy!M$129:M$238)</f>
        <v>-440710.56363636692</v>
      </c>
      <c r="N83" s="104" cm="1">
        <f t="array" ref="N83">SUMPRODUCT((H_Rate_Class=$B83)*[5]Energy!N$129:N$238)</f>
        <v>-1109835.3056054104</v>
      </c>
      <c r="O83" s="104" cm="1">
        <f t="array" ref="O83">SUMPRODUCT((H_Rate_Class=$B83)*[5]Energy!O$129:O$238)</f>
        <v>0</v>
      </c>
      <c r="P83" s="72">
        <f>SUM(D83:O83)</f>
        <v>10596480.798854744</v>
      </c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  <c r="DI83" s="37"/>
      <c r="DJ83" s="37"/>
      <c r="DK83" s="37"/>
      <c r="DL83" s="37"/>
      <c r="DM83" s="37"/>
      <c r="DN83" s="37"/>
      <c r="DO83" s="37"/>
      <c r="DP83" s="37"/>
      <c r="DQ83" s="37"/>
      <c r="DR83" s="37"/>
      <c r="DS83" s="37"/>
      <c r="DT83" s="37"/>
      <c r="DU83" s="37"/>
      <c r="DV83" s="37"/>
      <c r="DW83" s="37"/>
      <c r="DX83" s="37"/>
      <c r="DY83" s="37"/>
      <c r="DZ83" s="37"/>
      <c r="EA83" s="37"/>
      <c r="EB83" s="37"/>
      <c r="EC83" s="37"/>
      <c r="ED83" s="37"/>
      <c r="EE83" s="37"/>
      <c r="EF83" s="37"/>
      <c r="EG83" s="37"/>
      <c r="EH83" s="37"/>
      <c r="EI83" s="37"/>
      <c r="EJ83" s="37"/>
      <c r="EK83" s="37"/>
      <c r="EL83" s="37"/>
      <c r="EM83" s="37"/>
      <c r="EN83" s="37"/>
      <c r="EO83" s="37"/>
    </row>
    <row r="84" spans="1:145" s="34" customFormat="1">
      <c r="A84" s="83">
        <v>5</v>
      </c>
      <c r="B84" s="96" t="s">
        <v>18</v>
      </c>
      <c r="C84" s="85"/>
      <c r="D84" s="94">
        <f>SUM(D82:D83)</f>
        <v>18226163.790573817</v>
      </c>
      <c r="E84" s="94">
        <f t="shared" ref="E84:O84" si="14">SUM(E82:E83)</f>
        <v>16178322.770733643</v>
      </c>
      <c r="F84" s="94">
        <f t="shared" si="14"/>
        <v>14952531.306634542</v>
      </c>
      <c r="G84" s="94">
        <f t="shared" si="14"/>
        <v>5383313.9875450656</v>
      </c>
      <c r="H84" s="94">
        <f t="shared" si="14"/>
        <v>408822.24605352175</v>
      </c>
      <c r="I84" s="94">
        <f t="shared" si="14"/>
        <v>-225941.99292802857</v>
      </c>
      <c r="J84" s="94">
        <f t="shared" si="14"/>
        <v>4035674.8714857236</v>
      </c>
      <c r="K84" s="94">
        <f t="shared" si="14"/>
        <v>2827059.9766276036</v>
      </c>
      <c r="L84" s="94">
        <f t="shared" si="14"/>
        <v>1676419.5278070658</v>
      </c>
      <c r="M84" s="94">
        <f t="shared" si="14"/>
        <v>829041.41405197629</v>
      </c>
      <c r="N84" s="94">
        <f t="shared" si="14"/>
        <v>-2294470.7087710192</v>
      </c>
      <c r="O84" s="94">
        <f t="shared" si="14"/>
        <v>0</v>
      </c>
      <c r="P84" s="94">
        <f>SUM(P82:P83)</f>
        <v>61996937.189813904</v>
      </c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  <c r="DF84" s="37"/>
      <c r="DG84" s="37"/>
      <c r="DH84" s="37"/>
      <c r="DI84" s="37"/>
      <c r="DJ84" s="37"/>
      <c r="DK84" s="37"/>
      <c r="DL84" s="37"/>
      <c r="DM84" s="37"/>
      <c r="DN84" s="37"/>
      <c r="DO84" s="37"/>
      <c r="DP84" s="37"/>
      <c r="DQ84" s="37"/>
      <c r="DR84" s="37"/>
      <c r="DS84" s="37"/>
      <c r="DT84" s="37"/>
      <c r="DU84" s="37"/>
      <c r="DV84" s="37"/>
      <c r="DW84" s="37"/>
      <c r="DX84" s="37"/>
      <c r="DY84" s="37"/>
      <c r="DZ84" s="37"/>
      <c r="EA84" s="37"/>
      <c r="EB84" s="37"/>
      <c r="EC84" s="37"/>
      <c r="ED84" s="37"/>
      <c r="EE84" s="37"/>
      <c r="EF84" s="37"/>
      <c r="EG84" s="37"/>
      <c r="EH84" s="37"/>
      <c r="EI84" s="37"/>
      <c r="EJ84" s="37"/>
      <c r="EK84" s="37"/>
      <c r="EL84" s="37"/>
      <c r="EM84" s="37"/>
      <c r="EN84" s="37"/>
      <c r="EO84" s="37"/>
    </row>
    <row r="85" spans="1:145" s="34" customFormat="1">
      <c r="A85" s="78"/>
      <c r="B85" s="146"/>
      <c r="C85" s="85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71"/>
      <c r="P85" s="71"/>
      <c r="Q85" s="37"/>
      <c r="R85" s="26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C85" s="37"/>
      <c r="DD85" s="37"/>
      <c r="DE85" s="37"/>
      <c r="DF85" s="37"/>
      <c r="DG85" s="37"/>
      <c r="DH85" s="37"/>
      <c r="DI85" s="37"/>
      <c r="DJ85" s="37"/>
      <c r="DK85" s="37"/>
      <c r="DL85" s="37"/>
      <c r="DM85" s="37"/>
      <c r="DN85" s="37"/>
      <c r="DO85" s="37"/>
      <c r="DP85" s="37"/>
      <c r="DQ85" s="37"/>
      <c r="DR85" s="37"/>
      <c r="DS85" s="37"/>
      <c r="DT85" s="37"/>
      <c r="DU85" s="37"/>
      <c r="DV85" s="37"/>
      <c r="DW85" s="37"/>
      <c r="DX85" s="37"/>
      <c r="DY85" s="37"/>
      <c r="DZ85" s="37"/>
      <c r="EA85" s="37"/>
      <c r="EB85" s="37"/>
      <c r="EC85" s="37"/>
      <c r="ED85" s="37"/>
      <c r="EE85" s="37"/>
      <c r="EF85" s="37"/>
      <c r="EG85" s="37"/>
      <c r="EH85" s="37"/>
      <c r="EI85" s="37"/>
      <c r="EJ85" s="37"/>
      <c r="EK85" s="37"/>
      <c r="EL85" s="37"/>
      <c r="EM85" s="37"/>
      <c r="EN85" s="37"/>
      <c r="EO85" s="37"/>
    </row>
    <row r="86" spans="1:145" s="34" customFormat="1">
      <c r="A86" s="83">
        <v>6</v>
      </c>
      <c r="B86" s="87" t="s">
        <v>82</v>
      </c>
      <c r="C86" s="74" t="s">
        <v>5</v>
      </c>
      <c r="D86" s="93" cm="1">
        <f t="array" ref="D86">SUMPRODUCT((H_Rate_Class=$B86)*[5]Energy!D$129:D$238)</f>
        <v>-66981.409785933793</v>
      </c>
      <c r="E86" s="93" cm="1">
        <f t="array" ref="E86">SUMPRODUCT((H_Rate_Class=$B86)*[5]Energy!E$129:E$238)</f>
        <v>-84307.822018349689</v>
      </c>
      <c r="F86" s="93" cm="1">
        <f t="array" ref="F86">SUMPRODUCT((H_Rate_Class=$B86)*[5]Energy!F$129:F$238)</f>
        <v>-76939.014067279451</v>
      </c>
      <c r="G86" s="93" cm="1">
        <f t="array" ref="G86">SUMPRODUCT((H_Rate_Class=$B86)*[5]Energy!G$129:G$238)</f>
        <v>-40331.940672783938</v>
      </c>
      <c r="H86" s="93" cm="1">
        <f t="array" ref="H86">SUMPRODUCT((H_Rate_Class=$B86)*[5]Energy!H$129:H$238)</f>
        <v>-22058.134803921843</v>
      </c>
      <c r="I86" s="93" cm="1">
        <f t="array" ref="I86">SUMPRODUCT((H_Rate_Class=$B86)*[5]Energy!I$129:I$238)</f>
        <v>73082.654411764452</v>
      </c>
      <c r="J86" s="93" cm="1">
        <f t="array" ref="J86">SUMPRODUCT((H_Rate_Class=$B86)*[5]Energy!J$129:J$238)</f>
        <v>0</v>
      </c>
      <c r="K86" s="93" cm="1">
        <f t="array" ref="K86">SUMPRODUCT((H_Rate_Class=$B86)*[5]Energy!K$129:K$238)</f>
        <v>-87616.273722628961</v>
      </c>
      <c r="L86" s="93" cm="1">
        <f t="array" ref="L86">SUMPRODUCT((H_Rate_Class=$B86)*[5]Energy!L$129:L$238)</f>
        <v>-124154.21311475424</v>
      </c>
      <c r="M86" s="93" cm="1">
        <f t="array" ref="M86">SUMPRODUCT((H_Rate_Class=$B86)*[5]Energy!M$129:M$238)</f>
        <v>-127704.93442622965</v>
      </c>
      <c r="N86" s="93" cm="1">
        <f t="array" ref="N86">SUMPRODUCT((H_Rate_Class=$B86)*[5]Energy!N$129:N$238)</f>
        <v>42647.631192659261</v>
      </c>
      <c r="O86" s="93" cm="1">
        <f t="array" ref="O86">SUMPRODUCT((H_Rate_Class=$B86)*[5]Energy!O$129:O$238)</f>
        <v>0</v>
      </c>
      <c r="P86" s="93">
        <f>SUM(D86:O86)</f>
        <v>-514363.45700745785</v>
      </c>
      <c r="Q86" s="37"/>
      <c r="R86" s="26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  <c r="DI86" s="37"/>
      <c r="DJ86" s="37"/>
      <c r="DK86" s="37"/>
      <c r="DL86" s="37"/>
      <c r="DM86" s="37"/>
      <c r="DN86" s="37"/>
      <c r="DO86" s="37"/>
      <c r="DP86" s="37"/>
      <c r="DQ86" s="37"/>
      <c r="DR86" s="37"/>
      <c r="DS86" s="37"/>
      <c r="DT86" s="37"/>
      <c r="DU86" s="37"/>
      <c r="DV86" s="37"/>
      <c r="DW86" s="37"/>
      <c r="DX86" s="37"/>
      <c r="DY86" s="37"/>
      <c r="DZ86" s="37"/>
      <c r="EA86" s="37"/>
      <c r="EB86" s="37"/>
      <c r="EC86" s="37"/>
      <c r="ED86" s="37"/>
      <c r="EE86" s="37"/>
      <c r="EF86" s="37"/>
      <c r="EG86" s="37"/>
      <c r="EH86" s="37"/>
      <c r="EI86" s="37"/>
      <c r="EJ86" s="37"/>
      <c r="EK86" s="37"/>
      <c r="EL86" s="37"/>
      <c r="EM86" s="37"/>
      <c r="EN86" s="37"/>
      <c r="EO86" s="37"/>
    </row>
    <row r="87" spans="1:145" s="34" customFormat="1">
      <c r="A87" s="83">
        <v>7</v>
      </c>
      <c r="B87" s="87" t="s">
        <v>83</v>
      </c>
      <c r="C87" s="74" t="s">
        <v>5</v>
      </c>
      <c r="D87" s="103" cm="1">
        <f t="array" ref="D87">SUMPRODUCT((H_Rate_Class=$B87)*[5]Energy!D$129:D$238)</f>
        <v>6857713.2071922291</v>
      </c>
      <c r="E87" s="103" cm="1">
        <f t="array" ref="E87">SUMPRODUCT((H_Rate_Class=$B87)*[5]Energy!E$129:E$238)</f>
        <v>195728.83353697334</v>
      </c>
      <c r="F87" s="103" cm="1">
        <f t="array" ref="F87">SUMPRODUCT((H_Rate_Class=$B87)*[5]Energy!F$129:F$238)</f>
        <v>-4232239.8538152743</v>
      </c>
      <c r="G87" s="103" cm="1">
        <f t="array" ref="G87">SUMPRODUCT((H_Rate_Class=$B87)*[5]Energy!G$129:G$238)</f>
        <v>-1533538.0315789608</v>
      </c>
      <c r="H87" s="103" cm="1">
        <f t="array" ref="H87">SUMPRODUCT((H_Rate_Class=$B87)*[5]Energy!H$129:H$238)</f>
        <v>-6591863.0918990644</v>
      </c>
      <c r="I87" s="103" cm="1">
        <f t="array" ref="I87">SUMPRODUCT((H_Rate_Class=$B87)*[5]Energy!I$129:I$238)</f>
        <v>-2791306.4860215029</v>
      </c>
      <c r="J87" s="103" cm="1">
        <f t="array" ref="J87">SUMPRODUCT((H_Rate_Class=$B87)*[5]Energy!J$129:J$238)</f>
        <v>-129391.06666666664</v>
      </c>
      <c r="K87" s="103" cm="1">
        <f t="array" ref="K87">SUMPRODUCT((H_Rate_Class=$B87)*[5]Energy!K$129:K$238)</f>
        <v>-9564559.8387351613</v>
      </c>
      <c r="L87" s="103" cm="1">
        <f t="array" ref="L87">SUMPRODUCT((H_Rate_Class=$B87)*[5]Energy!L$129:L$238)</f>
        <v>-8019388.1435671486</v>
      </c>
      <c r="M87" s="103" cm="1">
        <f t="array" ref="M87">SUMPRODUCT((H_Rate_Class=$B87)*[5]Energy!M$129:M$238)</f>
        <v>-2910475.8064516103</v>
      </c>
      <c r="N87" s="103" cm="1">
        <f t="array" ref="N87">SUMPRODUCT((H_Rate_Class=$B87)*[5]Energy!N$129:N$238)</f>
        <v>-11710076.881889785</v>
      </c>
      <c r="O87" s="103" cm="1">
        <f t="array" ref="O87">SUMPRODUCT((H_Rate_Class=$B87)*[5]Energy!O$129:O$238)</f>
        <v>0</v>
      </c>
      <c r="P87" s="103">
        <f>SUM(D87:O87)</f>
        <v>-40429397.159895971</v>
      </c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  <c r="DI87" s="37"/>
      <c r="DJ87" s="37"/>
      <c r="DK87" s="37"/>
      <c r="DL87" s="37"/>
      <c r="DM87" s="37"/>
      <c r="DN87" s="37"/>
      <c r="DO87" s="37"/>
      <c r="DP87" s="37"/>
      <c r="DQ87" s="37"/>
      <c r="DR87" s="37"/>
      <c r="DS87" s="37"/>
      <c r="DT87" s="37"/>
      <c r="DU87" s="37"/>
      <c r="DV87" s="37"/>
      <c r="DW87" s="37"/>
      <c r="DX87" s="37"/>
      <c r="DY87" s="37"/>
      <c r="DZ87" s="37"/>
      <c r="EA87" s="37"/>
      <c r="EB87" s="37"/>
      <c r="EC87" s="37"/>
      <c r="ED87" s="37"/>
      <c r="EE87" s="37"/>
      <c r="EF87" s="37"/>
      <c r="EG87" s="37"/>
      <c r="EH87" s="37"/>
      <c r="EI87" s="37"/>
      <c r="EJ87" s="37"/>
      <c r="EK87" s="37"/>
      <c r="EL87" s="37"/>
      <c r="EM87" s="37"/>
      <c r="EN87" s="37"/>
      <c r="EO87" s="37"/>
    </row>
    <row r="88" spans="1:145" s="34" customFormat="1">
      <c r="A88" s="83">
        <v>8</v>
      </c>
      <c r="B88" s="87" t="s">
        <v>148</v>
      </c>
      <c r="C88" s="74" t="s">
        <v>5</v>
      </c>
      <c r="D88" s="103" cm="1">
        <f t="array" ref="D88">SUMPRODUCT((H_Rate_Class=$B88)*[5]Energy!D$129:D$238)</f>
        <v>0</v>
      </c>
      <c r="E88" s="103" cm="1">
        <f t="array" ref="E88">SUMPRODUCT((H_Rate_Class=$B88)*[5]Energy!E$129:E$238)</f>
        <v>0</v>
      </c>
      <c r="F88" s="103" cm="1">
        <f t="array" ref="F88">SUMPRODUCT((H_Rate_Class=$B88)*[5]Energy!F$129:F$238)</f>
        <v>0</v>
      </c>
      <c r="G88" s="103" cm="1">
        <f t="array" ref="G88">SUMPRODUCT((H_Rate_Class=$B88)*[5]Energy!G$129:G$238)</f>
        <v>0</v>
      </c>
      <c r="H88" s="103" cm="1">
        <f t="array" ref="H88">SUMPRODUCT((H_Rate_Class=$B88)*[5]Energy!H$129:H$238)</f>
        <v>0</v>
      </c>
      <c r="I88" s="103" cm="1">
        <f t="array" ref="I88">SUMPRODUCT((H_Rate_Class=$B88)*[5]Energy!I$129:I$238)</f>
        <v>0</v>
      </c>
      <c r="J88" s="103" cm="1">
        <f t="array" ref="J88">SUMPRODUCT((H_Rate_Class=$B88)*[5]Energy!J$129:J$238)</f>
        <v>0</v>
      </c>
      <c r="K88" s="103" cm="1">
        <f t="array" ref="K88">SUMPRODUCT((H_Rate_Class=$B88)*[5]Energy!K$129:K$238)</f>
        <v>0</v>
      </c>
      <c r="L88" s="103" cm="1">
        <f t="array" ref="L88">SUMPRODUCT((H_Rate_Class=$B88)*[5]Energy!L$129:L$238)</f>
        <v>0</v>
      </c>
      <c r="M88" s="103" cm="1">
        <f t="array" ref="M88">SUMPRODUCT((H_Rate_Class=$B88)*[5]Energy!M$129:M$238)</f>
        <v>0</v>
      </c>
      <c r="N88" s="103" cm="1">
        <f t="array" ref="N88">SUMPRODUCT((H_Rate_Class=$B88)*[5]Energy!N$129:N$238)</f>
        <v>0</v>
      </c>
      <c r="O88" s="103" cm="1">
        <f t="array" ref="O88">SUMPRODUCT((H_Rate_Class=$B88)*[5]Energy!O$129:O$238)</f>
        <v>0</v>
      </c>
      <c r="P88" s="103">
        <f t="shared" ref="P88:P89" si="15">SUM(D88:O88)</f>
        <v>0</v>
      </c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  <c r="DI88" s="37"/>
      <c r="DJ88" s="37"/>
      <c r="DK88" s="37"/>
      <c r="DL88" s="37"/>
      <c r="DM88" s="37"/>
      <c r="DN88" s="37"/>
      <c r="DO88" s="37"/>
      <c r="DP88" s="37"/>
      <c r="DQ88" s="37"/>
      <c r="DR88" s="37"/>
      <c r="DS88" s="37"/>
      <c r="DT88" s="37"/>
      <c r="DU88" s="37"/>
      <c r="DV88" s="37"/>
      <c r="DW88" s="37"/>
      <c r="DX88" s="37"/>
      <c r="DY88" s="37"/>
      <c r="DZ88" s="37"/>
      <c r="EA88" s="37"/>
      <c r="EB88" s="37"/>
      <c r="EC88" s="37"/>
      <c r="ED88" s="37"/>
      <c r="EE88" s="37"/>
      <c r="EF88" s="37"/>
      <c r="EG88" s="37"/>
      <c r="EH88" s="37"/>
      <c r="EI88" s="37"/>
      <c r="EJ88" s="37"/>
      <c r="EK88" s="37"/>
      <c r="EL88" s="37"/>
      <c r="EM88" s="37"/>
      <c r="EN88" s="37"/>
      <c r="EO88" s="37"/>
    </row>
    <row r="89" spans="1:145" s="34" customFormat="1">
      <c r="A89" s="83">
        <v>9</v>
      </c>
      <c r="B89" s="87" t="s">
        <v>149</v>
      </c>
      <c r="C89" s="74" t="s">
        <v>5</v>
      </c>
      <c r="D89" s="103" cm="1">
        <f t="array" ref="D89">SUMPRODUCT((H_Rate_Class=$B89)*[5]Energy!D$129:D$238)</f>
        <v>0</v>
      </c>
      <c r="E89" s="103" cm="1">
        <f t="array" ref="E89">SUMPRODUCT((H_Rate_Class=$B89)*[5]Energy!E$129:E$238)</f>
        <v>0</v>
      </c>
      <c r="F89" s="103" cm="1">
        <f t="array" ref="F89">SUMPRODUCT((H_Rate_Class=$B89)*[5]Energy!F$129:F$238)</f>
        <v>0</v>
      </c>
      <c r="G89" s="103" cm="1">
        <f t="array" ref="G89">SUMPRODUCT((H_Rate_Class=$B89)*[5]Energy!G$129:G$238)</f>
        <v>0</v>
      </c>
      <c r="H89" s="103" cm="1">
        <f t="array" ref="H89">SUMPRODUCT((H_Rate_Class=$B89)*[5]Energy!H$129:H$238)</f>
        <v>0</v>
      </c>
      <c r="I89" s="103" cm="1">
        <f t="array" ref="I89">SUMPRODUCT((H_Rate_Class=$B89)*[5]Energy!I$129:I$238)</f>
        <v>0</v>
      </c>
      <c r="J89" s="103" cm="1">
        <f t="array" ref="J89">SUMPRODUCT((H_Rate_Class=$B89)*[5]Energy!J$129:J$238)</f>
        <v>0</v>
      </c>
      <c r="K89" s="103" cm="1">
        <f t="array" ref="K89">SUMPRODUCT((H_Rate_Class=$B89)*[5]Energy!K$129:K$238)</f>
        <v>0</v>
      </c>
      <c r="L89" s="103" cm="1">
        <f t="array" ref="L89">SUMPRODUCT((H_Rate_Class=$B89)*[5]Energy!L$129:L$238)</f>
        <v>0</v>
      </c>
      <c r="M89" s="103" cm="1">
        <f t="array" ref="M89">SUMPRODUCT((H_Rate_Class=$B89)*[5]Energy!M$129:M$238)</f>
        <v>0</v>
      </c>
      <c r="N89" s="103" cm="1">
        <f t="array" ref="N89">SUMPRODUCT((H_Rate_Class=$B89)*[5]Energy!N$129:N$238)</f>
        <v>0</v>
      </c>
      <c r="O89" s="103" cm="1">
        <f t="array" ref="O89">SUMPRODUCT((H_Rate_Class=$B89)*[5]Energy!O$129:O$238)</f>
        <v>0</v>
      </c>
      <c r="P89" s="103">
        <f t="shared" si="15"/>
        <v>0</v>
      </c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7"/>
      <c r="DV89" s="37"/>
      <c r="DW89" s="37"/>
      <c r="DX89" s="37"/>
      <c r="DY89" s="37"/>
      <c r="DZ89" s="37"/>
      <c r="EA89" s="37"/>
      <c r="EB89" s="37"/>
      <c r="EC89" s="37"/>
      <c r="ED89" s="37"/>
      <c r="EE89" s="37"/>
      <c r="EF89" s="37"/>
      <c r="EG89" s="37"/>
      <c r="EH89" s="37"/>
      <c r="EI89" s="37"/>
      <c r="EJ89" s="37"/>
      <c r="EK89" s="37"/>
      <c r="EL89" s="37"/>
      <c r="EM89" s="37"/>
      <c r="EN89" s="37"/>
      <c r="EO89" s="37"/>
    </row>
    <row r="90" spans="1:145" s="34" customFormat="1">
      <c r="A90" s="83">
        <v>10</v>
      </c>
      <c r="B90" s="78" t="s">
        <v>19</v>
      </c>
      <c r="C90" s="74"/>
      <c r="D90" s="218">
        <f>SUM(D86:D89)</f>
        <v>6790731.7974062953</v>
      </c>
      <c r="E90" s="218">
        <f t="shared" ref="E90:P90" si="16">SUM(E86:E89)</f>
        <v>111421.01151862365</v>
      </c>
      <c r="F90" s="218">
        <f t="shared" si="16"/>
        <v>-4309178.8678825535</v>
      </c>
      <c r="G90" s="218">
        <f t="shared" si="16"/>
        <v>-1573869.9722517447</v>
      </c>
      <c r="H90" s="218">
        <f t="shared" si="16"/>
        <v>-6613921.2267029863</v>
      </c>
      <c r="I90" s="218">
        <f t="shared" si="16"/>
        <v>-2718223.8316097385</v>
      </c>
      <c r="J90" s="218">
        <f t="shared" si="16"/>
        <v>-129391.06666666664</v>
      </c>
      <c r="K90" s="218">
        <f t="shared" si="16"/>
        <v>-9652176.1124577895</v>
      </c>
      <c r="L90" s="218">
        <f t="shared" si="16"/>
        <v>-8143542.3566819029</v>
      </c>
      <c r="M90" s="218">
        <f t="shared" si="16"/>
        <v>-3038180.7408778397</v>
      </c>
      <c r="N90" s="218">
        <f t="shared" si="16"/>
        <v>-11667429.250697125</v>
      </c>
      <c r="O90" s="218">
        <f t="shared" si="16"/>
        <v>0</v>
      </c>
      <c r="P90" s="218">
        <f t="shared" si="16"/>
        <v>-40943760.616903432</v>
      </c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  <c r="DI90" s="37"/>
      <c r="DJ90" s="37"/>
      <c r="DK90" s="37"/>
      <c r="DL90" s="37"/>
      <c r="DM90" s="37"/>
      <c r="DN90" s="37"/>
      <c r="DO90" s="37"/>
      <c r="DP90" s="37"/>
      <c r="DQ90" s="37"/>
      <c r="DR90" s="37"/>
      <c r="DS90" s="37"/>
      <c r="DT90" s="37"/>
      <c r="DU90" s="37"/>
      <c r="DV90" s="37"/>
      <c r="DW90" s="37"/>
      <c r="DX90" s="37"/>
      <c r="DY90" s="37"/>
      <c r="DZ90" s="37"/>
      <c r="EA90" s="37"/>
      <c r="EB90" s="37"/>
      <c r="EC90" s="37"/>
      <c r="ED90" s="37"/>
      <c r="EE90" s="37"/>
      <c r="EF90" s="37"/>
      <c r="EG90" s="37"/>
      <c r="EH90" s="37"/>
      <c r="EI90" s="37"/>
      <c r="EJ90" s="37"/>
      <c r="EK90" s="37"/>
      <c r="EL90" s="37"/>
      <c r="EM90" s="37"/>
      <c r="EN90" s="37"/>
      <c r="EO90" s="37"/>
    </row>
    <row r="91" spans="1:145" s="34" customFormat="1">
      <c r="A91" s="83"/>
      <c r="B91" s="78"/>
      <c r="C91" s="74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93"/>
      <c r="Q91" s="37"/>
      <c r="R91" s="26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  <c r="DI91" s="37"/>
      <c r="DJ91" s="37"/>
      <c r="DK91" s="37"/>
      <c r="DL91" s="37"/>
      <c r="DM91" s="37"/>
      <c r="DN91" s="37"/>
      <c r="DO91" s="37"/>
      <c r="DP91" s="37"/>
      <c r="DQ91" s="37"/>
      <c r="DR91" s="37"/>
      <c r="DS91" s="37"/>
      <c r="DT91" s="37"/>
      <c r="DU91" s="37"/>
      <c r="DV91" s="37"/>
      <c r="DW91" s="37"/>
      <c r="DX91" s="37"/>
      <c r="DY91" s="37"/>
      <c r="DZ91" s="37"/>
      <c r="EA91" s="37"/>
      <c r="EB91" s="37"/>
      <c r="EC91" s="37"/>
      <c r="ED91" s="37"/>
      <c r="EE91" s="37"/>
      <c r="EF91" s="37"/>
      <c r="EG91" s="37"/>
      <c r="EH91" s="37"/>
      <c r="EI91" s="37"/>
      <c r="EJ91" s="37"/>
      <c r="EK91" s="37"/>
      <c r="EL91" s="37"/>
      <c r="EM91" s="37"/>
      <c r="EN91" s="37"/>
      <c r="EO91" s="37"/>
    </row>
    <row r="92" spans="1:145" s="34" customFormat="1">
      <c r="A92" s="83">
        <v>11</v>
      </c>
      <c r="B92" s="96" t="s">
        <v>86</v>
      </c>
      <c r="C92" s="74" t="s">
        <v>6</v>
      </c>
      <c r="D92" s="93" cm="1">
        <f t="array" ref="D92">SUMPRODUCT((H_Rate_Class=$B92)*[5]Energy!D$129:D$238)</f>
        <v>-10147537.173913037</v>
      </c>
      <c r="E92" s="93" cm="1">
        <f t="array" ref="E92">SUMPRODUCT((H_Rate_Class=$B92)*[5]Energy!E$129:E$238)</f>
        <v>-6228831.241847815</v>
      </c>
      <c r="F92" s="93" cm="1">
        <f t="array" ref="F92">SUMPRODUCT((H_Rate_Class=$B92)*[5]Energy!F$129:F$238)</f>
        <v>12218567.261645963</v>
      </c>
      <c r="G92" s="93" cm="1">
        <f t="array" ref="G92">SUMPRODUCT((H_Rate_Class=$B92)*[5]Energy!G$129:G$238)</f>
        <v>-26394580.137853686</v>
      </c>
      <c r="H92" s="93" cm="1">
        <f t="array" ref="H92">SUMPRODUCT((H_Rate_Class=$B92)*[5]Energy!H$129:H$238)</f>
        <v>-7031500.3371237591</v>
      </c>
      <c r="I92" s="93" cm="1">
        <f t="array" ref="I92">SUMPRODUCT((H_Rate_Class=$B92)*[5]Energy!I$129:I$238)</f>
        <v>-14456608.695652165</v>
      </c>
      <c r="J92" s="93" cm="1">
        <f t="array" ref="J92">SUMPRODUCT((H_Rate_Class=$B92)*[5]Energy!J$129:J$238)</f>
        <v>-7191787.5705685746</v>
      </c>
      <c r="K92" s="93" cm="1">
        <f t="array" ref="K92">SUMPRODUCT((H_Rate_Class=$B92)*[5]Energy!K$129:K$238)</f>
        <v>-25535893.09440992</v>
      </c>
      <c r="L92" s="93" cm="1">
        <f t="array" ref="L92">SUMPRODUCT((H_Rate_Class=$B92)*[5]Energy!L$129:L$238)</f>
        <v>-7176825.1558528608</v>
      </c>
      <c r="M92" s="93" cm="1">
        <f t="array" ref="M92">SUMPRODUCT((H_Rate_Class=$B92)*[5]Energy!M$129:M$238)</f>
        <v>-50196266.965102978</v>
      </c>
      <c r="N92" s="93" cm="1">
        <f t="array" ref="N92">SUMPRODUCT((H_Rate_Class=$B92)*[5]Energy!N$129:N$238)</f>
        <v>-27908900.693333339</v>
      </c>
      <c r="O92" s="93" cm="1">
        <f t="array" ref="O92">SUMPRODUCT((H_Rate_Class=$B92)*[5]Energy!O$129:O$238)</f>
        <v>0</v>
      </c>
      <c r="P92" s="93">
        <f>SUM(D92:O92)</f>
        <v>-170050163.80401215</v>
      </c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7"/>
      <c r="DE92" s="37"/>
      <c r="DF92" s="37"/>
      <c r="DG92" s="37"/>
      <c r="DH92" s="37"/>
      <c r="DI92" s="37"/>
      <c r="DJ92" s="37"/>
      <c r="DK92" s="37"/>
      <c r="DL92" s="37"/>
      <c r="DM92" s="37"/>
      <c r="DN92" s="37"/>
      <c r="DO92" s="37"/>
      <c r="DP92" s="37"/>
      <c r="DQ92" s="37"/>
      <c r="DR92" s="37"/>
      <c r="DS92" s="37"/>
      <c r="DT92" s="37"/>
      <c r="DU92" s="37"/>
      <c r="DV92" s="37"/>
      <c r="DW92" s="37"/>
      <c r="DX92" s="37"/>
      <c r="DY92" s="37"/>
      <c r="DZ92" s="37"/>
      <c r="EA92" s="37"/>
      <c r="EB92" s="37"/>
      <c r="EC92" s="37"/>
      <c r="ED92" s="37"/>
      <c r="EE92" s="37"/>
      <c r="EF92" s="37"/>
      <c r="EG92" s="37"/>
      <c r="EH92" s="37"/>
      <c r="EI92" s="37"/>
      <c r="EJ92" s="37"/>
      <c r="EK92" s="37"/>
      <c r="EL92" s="37"/>
      <c r="EM92" s="37"/>
      <c r="EN92" s="37"/>
      <c r="EO92" s="37"/>
    </row>
    <row r="93" spans="1:145" s="34" customFormat="1">
      <c r="A93" s="78"/>
      <c r="B93" s="78"/>
      <c r="C93" s="85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71"/>
      <c r="Q93" s="37"/>
      <c r="R93" s="26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37"/>
      <c r="DF93" s="37"/>
      <c r="DG93" s="37"/>
      <c r="DH93" s="37"/>
      <c r="DI93" s="37"/>
      <c r="DJ93" s="37"/>
      <c r="DK93" s="37"/>
      <c r="DL93" s="37"/>
      <c r="DM93" s="37"/>
      <c r="DN93" s="37"/>
      <c r="DO93" s="37"/>
      <c r="DP93" s="37"/>
      <c r="DQ93" s="37"/>
      <c r="DR93" s="37"/>
      <c r="DS93" s="37"/>
      <c r="DT93" s="37"/>
      <c r="DU93" s="37"/>
      <c r="DV93" s="37"/>
      <c r="DW93" s="37"/>
      <c r="DX93" s="37"/>
      <c r="DY93" s="37"/>
      <c r="DZ93" s="37"/>
      <c r="EA93" s="37"/>
      <c r="EB93" s="37"/>
      <c r="EC93" s="37"/>
      <c r="ED93" s="37"/>
      <c r="EE93" s="37"/>
      <c r="EF93" s="37"/>
      <c r="EG93" s="37"/>
      <c r="EH93" s="37"/>
      <c r="EI93" s="37"/>
      <c r="EJ93" s="37"/>
      <c r="EK93" s="37"/>
      <c r="EL93" s="37"/>
      <c r="EM93" s="37"/>
      <c r="EN93" s="37"/>
      <c r="EO93" s="37"/>
    </row>
    <row r="94" spans="1:145" s="34" customFormat="1">
      <c r="A94" s="83">
        <v>12</v>
      </c>
      <c r="B94" s="68" t="s">
        <v>21</v>
      </c>
      <c r="C94" s="74" t="s">
        <v>4</v>
      </c>
      <c r="D94" s="101" cm="1">
        <f t="array" ref="D94">SUMPRODUCT((H_Rate_Class=$B94)*[5]Energy!D$129:D$238)</f>
        <v>-327560.94445155852</v>
      </c>
      <c r="E94" s="93" cm="1">
        <f t="array" ref="E94">SUMPRODUCT((H_Rate_Class=$B94)*[5]Energy!E$129:E$238)</f>
        <v>-410879.59872092679</v>
      </c>
      <c r="F94" s="93" cm="1">
        <f t="array" ref="F94">SUMPRODUCT((H_Rate_Class=$B94)*[5]Energy!F$129:F$238)</f>
        <v>-301982.17011670425</v>
      </c>
      <c r="G94" s="93" cm="1">
        <f t="array" ref="G94">SUMPRODUCT((H_Rate_Class=$B94)*[5]Energy!G$129:G$238)</f>
        <v>-287693.74703865871</v>
      </c>
      <c r="H94" s="93" cm="1">
        <f t="array" ref="H94">SUMPRODUCT((H_Rate_Class=$B94)*[5]Energy!H$129:H$238)</f>
        <v>-256429.64977494412</v>
      </c>
      <c r="I94" s="93" cm="1">
        <f t="array" ref="I94">SUMPRODUCT((H_Rate_Class=$B94)*[5]Energy!I$129:I$238)</f>
        <v>-160195.9998921091</v>
      </c>
      <c r="J94" s="93" cm="1">
        <f t="array" ref="J94">SUMPRODUCT((H_Rate_Class=$B94)*[5]Energy!J$129:J$238)</f>
        <v>-174572.48546447867</v>
      </c>
      <c r="K94" s="93" cm="1">
        <f t="array" ref="K94">SUMPRODUCT((H_Rate_Class=$B94)*[5]Energy!K$129:K$238)</f>
        <v>-238758.7295785773</v>
      </c>
      <c r="L94" s="93" cm="1">
        <f t="array" ref="L94">SUMPRODUCT((H_Rate_Class=$B94)*[5]Energy!L$129:L$238)</f>
        <v>-131014.81718105922</v>
      </c>
      <c r="M94" s="93" cm="1">
        <f t="array" ref="M94">SUMPRODUCT((H_Rate_Class=$B94)*[5]Energy!M$129:M$238)</f>
        <v>-185416.53757165786</v>
      </c>
      <c r="N94" s="93" cm="1">
        <f t="array" ref="N94">SUMPRODUCT((H_Rate_Class=$B94)*[5]Energy!N$129:N$238)</f>
        <v>-76973.715178478174</v>
      </c>
      <c r="O94" s="93" cm="1">
        <f t="array" ref="O94">SUMPRODUCT((H_Rate_Class=$B94)*[5]Energy!O$129:O$238)</f>
        <v>0</v>
      </c>
      <c r="P94" s="93">
        <f>SUM(D94:O94)</f>
        <v>-2551478.3949691528</v>
      </c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  <c r="DI94" s="37"/>
      <c r="DJ94" s="37"/>
      <c r="DK94" s="37"/>
      <c r="DL94" s="37"/>
      <c r="DM94" s="37"/>
      <c r="DN94" s="37"/>
      <c r="DO94" s="37"/>
      <c r="DP94" s="37"/>
      <c r="DQ94" s="37"/>
      <c r="DR94" s="37"/>
      <c r="DS94" s="37"/>
      <c r="DT94" s="37"/>
      <c r="DU94" s="37"/>
      <c r="DV94" s="37"/>
      <c r="DW94" s="37"/>
      <c r="DX94" s="37"/>
      <c r="DY94" s="37"/>
      <c r="DZ94" s="37"/>
      <c r="EA94" s="37"/>
      <c r="EB94" s="37"/>
      <c r="EC94" s="37"/>
      <c r="ED94" s="37"/>
      <c r="EE94" s="37"/>
      <c r="EF94" s="37"/>
      <c r="EG94" s="37"/>
      <c r="EH94" s="37"/>
      <c r="EI94" s="37"/>
      <c r="EJ94" s="37"/>
      <c r="EK94" s="37"/>
      <c r="EL94" s="37"/>
      <c r="EM94" s="37"/>
      <c r="EN94" s="37"/>
      <c r="EO94" s="37"/>
    </row>
    <row r="95" spans="1:145" s="34" customFormat="1">
      <c r="A95" s="83"/>
      <c r="B95" s="78"/>
      <c r="C95" s="85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71"/>
      <c r="P95" s="71"/>
      <c r="Q95" s="37"/>
      <c r="R95" s="62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  <c r="DJ95" s="37"/>
      <c r="DK95" s="37"/>
      <c r="DL95" s="37"/>
      <c r="DM95" s="37"/>
      <c r="DN95" s="37"/>
      <c r="DO95" s="37"/>
      <c r="DP95" s="37"/>
      <c r="DQ95" s="37"/>
      <c r="DR95" s="37"/>
      <c r="DS95" s="37"/>
      <c r="DT95" s="37"/>
      <c r="DU95" s="37"/>
      <c r="DV95" s="37"/>
      <c r="DW95" s="37"/>
      <c r="DX95" s="37"/>
      <c r="DY95" s="37"/>
      <c r="DZ95" s="37"/>
      <c r="EA95" s="37"/>
      <c r="EB95" s="37"/>
      <c r="EC95" s="37"/>
      <c r="ED95" s="37"/>
      <c r="EE95" s="37"/>
      <c r="EF95" s="37"/>
      <c r="EG95" s="37"/>
      <c r="EH95" s="37"/>
      <c r="EI95" s="37"/>
      <c r="EJ95" s="37"/>
      <c r="EK95" s="37"/>
      <c r="EL95" s="37"/>
      <c r="EM95" s="37"/>
      <c r="EN95" s="37"/>
      <c r="EO95" s="37"/>
    </row>
    <row r="96" spans="1:145" s="34" customFormat="1">
      <c r="A96" s="83">
        <v>13</v>
      </c>
      <c r="B96" s="114" t="s">
        <v>22</v>
      </c>
      <c r="C96" s="143"/>
      <c r="D96" s="115">
        <f t="shared" ref="D96:P96" si="17">D94+D92+D90+D84+D80+D78</f>
        <v>34508807.626467966</v>
      </c>
      <c r="E96" s="115">
        <f t="shared" si="17"/>
        <v>23822592.897798471</v>
      </c>
      <c r="F96" s="115">
        <f t="shared" si="17"/>
        <v>38214641.701239526</v>
      </c>
      <c r="G96" s="115">
        <f t="shared" si="17"/>
        <v>-6725564.0349152572</v>
      </c>
      <c r="H96" s="115">
        <f t="shared" si="17"/>
        <v>-259843.05609545112</v>
      </c>
      <c r="I96" s="115">
        <f t="shared" si="17"/>
        <v>-6530434.6935444754</v>
      </c>
      <c r="J96" s="115">
        <f t="shared" si="17"/>
        <v>5371043.2500141487</v>
      </c>
      <c r="K96" s="115">
        <f t="shared" si="17"/>
        <v>-27183195.847380962</v>
      </c>
      <c r="L96" s="115">
        <f t="shared" si="17"/>
        <v>-9645369.337147003</v>
      </c>
      <c r="M96" s="115">
        <f t="shared" si="17"/>
        <v>-52019817.179932684</v>
      </c>
      <c r="N96" s="115">
        <f t="shared" si="17"/>
        <v>-43091549.532411121</v>
      </c>
      <c r="O96" s="115">
        <f t="shared" si="17"/>
        <v>0</v>
      </c>
      <c r="P96" s="115">
        <f t="shared" si="17"/>
        <v>-43538688.205906838</v>
      </c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C96" s="37"/>
      <c r="DD96" s="37"/>
      <c r="DE96" s="37"/>
      <c r="DF96" s="37"/>
      <c r="DG96" s="37"/>
      <c r="DH96" s="37"/>
      <c r="DI96" s="37"/>
      <c r="DJ96" s="37"/>
      <c r="DK96" s="37"/>
      <c r="DL96" s="37"/>
      <c r="DM96" s="37"/>
      <c r="DN96" s="37"/>
      <c r="DO96" s="37"/>
      <c r="DP96" s="37"/>
      <c r="DQ96" s="37"/>
      <c r="DR96" s="37"/>
      <c r="DS96" s="37"/>
      <c r="DT96" s="37"/>
      <c r="DU96" s="37"/>
      <c r="DV96" s="37"/>
      <c r="DW96" s="37"/>
      <c r="DX96" s="37"/>
      <c r="DY96" s="37"/>
      <c r="DZ96" s="37"/>
      <c r="EA96" s="37"/>
      <c r="EB96" s="37"/>
      <c r="EC96" s="37"/>
      <c r="ED96" s="37"/>
      <c r="EE96" s="37"/>
      <c r="EF96" s="37"/>
      <c r="EG96" s="37"/>
      <c r="EH96" s="37"/>
      <c r="EI96" s="37"/>
      <c r="EJ96" s="37"/>
      <c r="EK96" s="37"/>
      <c r="EL96" s="37"/>
      <c r="EM96" s="37"/>
      <c r="EN96" s="37"/>
      <c r="EO96" s="37"/>
    </row>
    <row r="97" spans="1:145" s="34" customFormat="1">
      <c r="A97" s="78"/>
      <c r="B97" s="143"/>
      <c r="C97" s="143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93"/>
      <c r="P97" s="93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C97" s="37"/>
      <c r="DD97" s="37"/>
      <c r="DE97" s="37"/>
      <c r="DF97" s="37"/>
      <c r="DG97" s="37"/>
      <c r="DH97" s="37"/>
      <c r="DI97" s="37"/>
      <c r="DJ97" s="37"/>
      <c r="DK97" s="37"/>
      <c r="DL97" s="37"/>
      <c r="DM97" s="37"/>
      <c r="DN97" s="37"/>
      <c r="DO97" s="37"/>
      <c r="DP97" s="37"/>
      <c r="DQ97" s="37"/>
      <c r="DR97" s="37"/>
      <c r="DS97" s="37"/>
      <c r="DT97" s="37"/>
      <c r="DU97" s="37"/>
      <c r="DV97" s="37"/>
      <c r="DW97" s="37"/>
      <c r="DX97" s="37"/>
      <c r="DY97" s="37"/>
      <c r="DZ97" s="37"/>
      <c r="EA97" s="37"/>
      <c r="EB97" s="37"/>
      <c r="EC97" s="37"/>
      <c r="ED97" s="37"/>
      <c r="EE97" s="37"/>
      <c r="EF97" s="37"/>
      <c r="EG97" s="37"/>
      <c r="EH97" s="37"/>
      <c r="EI97" s="37"/>
      <c r="EJ97" s="37"/>
      <c r="EK97" s="37"/>
      <c r="EL97" s="37"/>
      <c r="EM97" s="37"/>
      <c r="EN97" s="37"/>
      <c r="EO97" s="37"/>
    </row>
    <row r="98" spans="1:145" s="34" customFormat="1">
      <c r="A98" s="83">
        <v>14</v>
      </c>
      <c r="B98" s="89" t="s">
        <v>69</v>
      </c>
      <c r="C98" s="74" t="s">
        <v>5</v>
      </c>
      <c r="D98" s="93" cm="1">
        <f t="array" ref="D98">SUMPRODUCT((H_Rate_Class=$B98)*[5]Energy!D$129:D$238)</f>
        <v>0</v>
      </c>
      <c r="E98" s="93" cm="1">
        <f t="array" ref="E98">SUMPRODUCT((H_Rate_Class=$B98)*[5]Energy!E$129:E$238)</f>
        <v>0</v>
      </c>
      <c r="F98" s="93" cm="1">
        <f t="array" ref="F98">SUMPRODUCT((H_Rate_Class=$B98)*[5]Energy!F$129:F$238)</f>
        <v>0</v>
      </c>
      <c r="G98" s="93" cm="1">
        <f t="array" ref="G98">SUMPRODUCT((H_Rate_Class=$B98)*[5]Energy!G$129:G$238)</f>
        <v>0</v>
      </c>
      <c r="H98" s="93" cm="1">
        <f t="array" ref="H98">SUMPRODUCT((H_Rate_Class=$B98)*[5]Energy!H$129:H$238)</f>
        <v>0</v>
      </c>
      <c r="I98" s="93" cm="1">
        <f t="array" ref="I98">SUMPRODUCT((H_Rate_Class=$B98)*[5]Energy!I$129:I$238)</f>
        <v>0</v>
      </c>
      <c r="J98" s="93" cm="1">
        <f t="array" ref="J98">SUMPRODUCT((H_Rate_Class=$B98)*[5]Energy!J$129:J$238)</f>
        <v>0</v>
      </c>
      <c r="K98" s="93" cm="1">
        <f t="array" ref="K98">SUMPRODUCT((H_Rate_Class=$B98)*[5]Energy!K$129:K$238)</f>
        <v>0</v>
      </c>
      <c r="L98" s="93" cm="1">
        <f t="array" ref="L98">SUMPRODUCT((H_Rate_Class=$B98)*[5]Energy!L$129:L$238)</f>
        <v>0</v>
      </c>
      <c r="M98" s="93" cm="1">
        <f t="array" ref="M98">SUMPRODUCT((H_Rate_Class=$B98)*[5]Energy!M$129:M$238)</f>
        <v>0</v>
      </c>
      <c r="N98" s="93" cm="1">
        <f t="array" ref="N98">SUMPRODUCT((H_Rate_Class=$B98)*[5]Energy!N$129:N$238)</f>
        <v>0</v>
      </c>
      <c r="O98" s="93" cm="1">
        <f t="array" ref="O98">SUMPRODUCT((H_Rate_Class=$B98)*[5]Energy!O$129:O$238)</f>
        <v>0</v>
      </c>
      <c r="P98" s="93">
        <f>SUM(D98:O98)</f>
        <v>0</v>
      </c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C98" s="37"/>
      <c r="DD98" s="37"/>
      <c r="DE98" s="37"/>
      <c r="DF98" s="37"/>
      <c r="DG98" s="37"/>
      <c r="DH98" s="37"/>
      <c r="DI98" s="37"/>
      <c r="DJ98" s="37"/>
      <c r="DK98" s="37"/>
      <c r="DL98" s="37"/>
      <c r="DM98" s="37"/>
      <c r="DN98" s="37"/>
      <c r="DO98" s="37"/>
      <c r="DP98" s="37"/>
      <c r="DQ98" s="37"/>
      <c r="DR98" s="37"/>
      <c r="DS98" s="37"/>
      <c r="DT98" s="37"/>
      <c r="DU98" s="37"/>
      <c r="DV98" s="37"/>
      <c r="DW98" s="37"/>
      <c r="DX98" s="37"/>
      <c r="DY98" s="37"/>
      <c r="DZ98" s="37"/>
      <c r="EA98" s="37"/>
      <c r="EB98" s="37"/>
      <c r="EC98" s="37"/>
      <c r="ED98" s="37"/>
      <c r="EE98" s="37"/>
      <c r="EF98" s="37"/>
      <c r="EG98" s="37"/>
      <c r="EH98" s="37"/>
      <c r="EI98" s="37"/>
      <c r="EJ98" s="37"/>
      <c r="EK98" s="37"/>
      <c r="EL98" s="37"/>
      <c r="EM98" s="37"/>
      <c r="EN98" s="37"/>
      <c r="EO98" s="37"/>
    </row>
    <row r="99" spans="1:145" s="34" customFormat="1">
      <c r="A99" s="83">
        <v>15</v>
      </c>
      <c r="B99" s="89" t="s">
        <v>70</v>
      </c>
      <c r="C99" s="74" t="s">
        <v>6</v>
      </c>
      <c r="D99" s="72" cm="1">
        <f t="array" ref="D99">SUMPRODUCT((H_Rate_Class=$B99)*[5]Energy!D$129:D$238)</f>
        <v>0</v>
      </c>
      <c r="E99" s="72" cm="1">
        <f t="array" ref="E99">SUMPRODUCT((H_Rate_Class=$B99)*[5]Energy!E$129:E$238)</f>
        <v>0</v>
      </c>
      <c r="F99" s="72" cm="1">
        <f t="array" ref="F99">SUMPRODUCT((H_Rate_Class=$B99)*[5]Energy!F$129:F$238)</f>
        <v>0</v>
      </c>
      <c r="G99" s="72" cm="1">
        <f t="array" ref="G99">SUMPRODUCT((H_Rate_Class=$B99)*[5]Energy!G$129:G$238)</f>
        <v>0</v>
      </c>
      <c r="H99" s="72" cm="1">
        <f t="array" ref="H99">SUMPRODUCT((H_Rate_Class=$B99)*[5]Energy!H$129:H$238)</f>
        <v>0</v>
      </c>
      <c r="I99" s="72" cm="1">
        <f t="array" ref="I99">SUMPRODUCT((H_Rate_Class=$B99)*[5]Energy!I$129:I$238)</f>
        <v>0</v>
      </c>
      <c r="J99" s="72" cm="1">
        <f t="array" ref="J99">SUMPRODUCT((H_Rate_Class=$B99)*[5]Energy!J$129:J$238)</f>
        <v>0</v>
      </c>
      <c r="K99" s="72" cm="1">
        <f t="array" ref="K99">SUMPRODUCT((H_Rate_Class=$B99)*[5]Energy!K$129:K$238)</f>
        <v>0</v>
      </c>
      <c r="L99" s="72" cm="1">
        <f t="array" ref="L99">SUMPRODUCT((H_Rate_Class=$B99)*[5]Energy!L$129:L$238)</f>
        <v>0</v>
      </c>
      <c r="M99" s="72" cm="1">
        <f t="array" ref="M99">SUMPRODUCT((H_Rate_Class=$B99)*[5]Energy!M$129:M$238)</f>
        <v>0</v>
      </c>
      <c r="N99" s="72" cm="1">
        <f t="array" ref="N99">SUMPRODUCT((H_Rate_Class=$B99)*[5]Energy!N$129:N$238)</f>
        <v>0</v>
      </c>
      <c r="O99" s="72" cm="1">
        <f t="array" ref="O99">SUMPRODUCT((H_Rate_Class=$B99)*[5]Energy!O$129:O$238)</f>
        <v>0</v>
      </c>
      <c r="P99" s="104">
        <f>SUM(D99:O99)</f>
        <v>0</v>
      </c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7"/>
      <c r="DJ99" s="37"/>
      <c r="DK99" s="37"/>
      <c r="DL99" s="37"/>
      <c r="DM99" s="37"/>
      <c r="DN99" s="37"/>
      <c r="DO99" s="37"/>
      <c r="DP99" s="37"/>
      <c r="DQ99" s="37"/>
      <c r="DR99" s="37"/>
      <c r="DS99" s="37"/>
      <c r="DT99" s="37"/>
      <c r="DU99" s="37"/>
      <c r="DV99" s="37"/>
      <c r="DW99" s="37"/>
      <c r="DX99" s="37"/>
      <c r="DY99" s="37"/>
      <c r="DZ99" s="37"/>
      <c r="EA99" s="37"/>
      <c r="EB99" s="37"/>
      <c r="EC99" s="37"/>
      <c r="ED99" s="37"/>
      <c r="EE99" s="37"/>
      <c r="EF99" s="37"/>
      <c r="EG99" s="37"/>
      <c r="EH99" s="37"/>
      <c r="EI99" s="37"/>
      <c r="EJ99" s="37"/>
      <c r="EK99" s="37"/>
      <c r="EL99" s="37"/>
      <c r="EM99" s="37"/>
      <c r="EN99" s="37"/>
      <c r="EO99" s="37"/>
    </row>
    <row r="100" spans="1:145" s="34" customFormat="1">
      <c r="A100" s="83">
        <v>16</v>
      </c>
      <c r="B100" s="114" t="s">
        <v>23</v>
      </c>
      <c r="C100" s="145"/>
      <c r="D100" s="100">
        <f t="shared" ref="D100:P100" si="18">SUM(D98:D99)</f>
        <v>0</v>
      </c>
      <c r="E100" s="100">
        <f t="shared" si="18"/>
        <v>0</v>
      </c>
      <c r="F100" s="100">
        <f t="shared" si="18"/>
        <v>0</v>
      </c>
      <c r="G100" s="100">
        <f t="shared" si="18"/>
        <v>0</v>
      </c>
      <c r="H100" s="100">
        <f t="shared" si="18"/>
        <v>0</v>
      </c>
      <c r="I100" s="100">
        <f t="shared" si="18"/>
        <v>0</v>
      </c>
      <c r="J100" s="100">
        <f t="shared" si="18"/>
        <v>0</v>
      </c>
      <c r="K100" s="100">
        <f t="shared" si="18"/>
        <v>0</v>
      </c>
      <c r="L100" s="100">
        <f t="shared" si="18"/>
        <v>0</v>
      </c>
      <c r="M100" s="100">
        <f t="shared" si="18"/>
        <v>0</v>
      </c>
      <c r="N100" s="100">
        <f t="shared" si="18"/>
        <v>0</v>
      </c>
      <c r="O100" s="93">
        <f t="shared" si="18"/>
        <v>0</v>
      </c>
      <c r="P100" s="93">
        <f t="shared" si="18"/>
        <v>0</v>
      </c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37"/>
      <c r="DF100" s="37"/>
      <c r="DG100" s="37"/>
      <c r="DH100" s="37"/>
      <c r="DI100" s="37"/>
      <c r="DJ100" s="37"/>
      <c r="DK100" s="37"/>
      <c r="DL100" s="37"/>
      <c r="DM100" s="37"/>
      <c r="DN100" s="37"/>
      <c r="DO100" s="37"/>
      <c r="DP100" s="37"/>
      <c r="DQ100" s="37"/>
      <c r="DR100" s="37"/>
      <c r="DS100" s="37"/>
      <c r="DT100" s="37"/>
      <c r="DU100" s="37"/>
      <c r="DV100" s="37"/>
      <c r="DW100" s="37"/>
      <c r="DX100" s="37"/>
      <c r="DY100" s="37"/>
      <c r="DZ100" s="37"/>
      <c r="EA100" s="37"/>
      <c r="EB100" s="37"/>
      <c r="EC100" s="37"/>
      <c r="ED100" s="37"/>
      <c r="EE100" s="37"/>
      <c r="EF100" s="37"/>
      <c r="EG100" s="37"/>
      <c r="EH100" s="37"/>
      <c r="EI100" s="37"/>
      <c r="EJ100" s="37"/>
      <c r="EK100" s="37"/>
      <c r="EL100" s="37"/>
      <c r="EM100" s="37"/>
      <c r="EN100" s="37"/>
      <c r="EO100" s="37"/>
    </row>
    <row r="101" spans="1:145" s="34" customFormat="1">
      <c r="A101" s="83"/>
      <c r="B101" s="78"/>
      <c r="C101" s="116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71"/>
      <c r="P101" s="71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  <c r="DI101" s="37"/>
      <c r="DJ101" s="37"/>
      <c r="DK101" s="37"/>
      <c r="DL101" s="37"/>
      <c r="DM101" s="37"/>
      <c r="DN101" s="37"/>
      <c r="DO101" s="37"/>
      <c r="DP101" s="37"/>
      <c r="DQ101" s="37"/>
      <c r="DR101" s="37"/>
      <c r="DS101" s="37"/>
      <c r="DT101" s="37"/>
      <c r="DU101" s="37"/>
      <c r="DV101" s="37"/>
      <c r="DW101" s="37"/>
      <c r="DX101" s="37"/>
      <c r="DY101" s="37"/>
      <c r="DZ101" s="37"/>
      <c r="EA101" s="37"/>
      <c r="EB101" s="37"/>
      <c r="EC101" s="37"/>
      <c r="ED101" s="37"/>
      <c r="EE101" s="37"/>
      <c r="EF101" s="37"/>
      <c r="EG101" s="37"/>
      <c r="EH101" s="37"/>
      <c r="EI101" s="37"/>
      <c r="EJ101" s="37"/>
      <c r="EK101" s="37"/>
      <c r="EL101" s="37"/>
      <c r="EM101" s="37"/>
      <c r="EN101" s="37"/>
      <c r="EO101" s="37"/>
    </row>
    <row r="102" spans="1:145" s="34" customFormat="1" ht="12" thickBot="1">
      <c r="A102" s="83">
        <v>17</v>
      </c>
      <c r="B102" s="147" t="s">
        <v>92</v>
      </c>
      <c r="C102" s="145"/>
      <c r="D102" s="148">
        <f t="shared" ref="D102:P102" si="19">+D100+D96</f>
        <v>34508807.626467966</v>
      </c>
      <c r="E102" s="148">
        <f t="shared" si="19"/>
        <v>23822592.897798471</v>
      </c>
      <c r="F102" s="148">
        <f t="shared" si="19"/>
        <v>38214641.701239526</v>
      </c>
      <c r="G102" s="148">
        <f t="shared" si="19"/>
        <v>-6725564.0349152572</v>
      </c>
      <c r="H102" s="148">
        <f t="shared" si="19"/>
        <v>-259843.05609545112</v>
      </c>
      <c r="I102" s="148">
        <f t="shared" si="19"/>
        <v>-6530434.6935444754</v>
      </c>
      <c r="J102" s="148">
        <f t="shared" si="19"/>
        <v>5371043.2500141487</v>
      </c>
      <c r="K102" s="148">
        <f t="shared" si="19"/>
        <v>-27183195.847380962</v>
      </c>
      <c r="L102" s="148">
        <f t="shared" si="19"/>
        <v>-9645369.337147003</v>
      </c>
      <c r="M102" s="148">
        <f t="shared" si="19"/>
        <v>-52019817.179932684</v>
      </c>
      <c r="N102" s="148">
        <f t="shared" si="19"/>
        <v>-43091549.532411121</v>
      </c>
      <c r="O102" s="148">
        <f t="shared" si="19"/>
        <v>0</v>
      </c>
      <c r="P102" s="148">
        <f t="shared" si="19"/>
        <v>-43538688.205906838</v>
      </c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  <c r="DH102" s="37"/>
      <c r="DI102" s="37"/>
      <c r="DJ102" s="37"/>
      <c r="DK102" s="37"/>
      <c r="DL102" s="37"/>
      <c r="DM102" s="37"/>
      <c r="DN102" s="37"/>
      <c r="DO102" s="37"/>
      <c r="DP102" s="37"/>
      <c r="DQ102" s="37"/>
      <c r="DR102" s="37"/>
      <c r="DS102" s="37"/>
      <c r="DT102" s="37"/>
      <c r="DU102" s="37"/>
      <c r="DV102" s="37"/>
      <c r="DW102" s="37"/>
      <c r="DX102" s="37"/>
      <c r="DY102" s="37"/>
      <c r="DZ102" s="37"/>
      <c r="EA102" s="37"/>
      <c r="EB102" s="37"/>
      <c r="EC102" s="37"/>
      <c r="ED102" s="37"/>
      <c r="EE102" s="37"/>
      <c r="EF102" s="37"/>
      <c r="EG102" s="37"/>
      <c r="EH102" s="37"/>
      <c r="EI102" s="37"/>
      <c r="EJ102" s="37"/>
      <c r="EK102" s="37"/>
      <c r="EL102" s="37"/>
      <c r="EM102" s="37"/>
      <c r="EN102" s="37"/>
      <c r="EO102" s="37"/>
    </row>
    <row r="103" spans="1:145" s="34" customFormat="1" ht="12" thickTop="1">
      <c r="A103" s="83"/>
      <c r="B103" s="92"/>
      <c r="C103" s="145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  <c r="DI103" s="37"/>
      <c r="DJ103" s="37"/>
      <c r="DK103" s="37"/>
      <c r="DL103" s="37"/>
      <c r="DM103" s="37"/>
      <c r="DN103" s="37"/>
      <c r="DO103" s="37"/>
      <c r="DP103" s="37"/>
      <c r="DQ103" s="37"/>
      <c r="DR103" s="37"/>
      <c r="DS103" s="37"/>
      <c r="DT103" s="37"/>
      <c r="DU103" s="37"/>
      <c r="DV103" s="37"/>
      <c r="DW103" s="37"/>
      <c r="DX103" s="37"/>
      <c r="DY103" s="37"/>
      <c r="DZ103" s="37"/>
      <c r="EA103" s="37"/>
      <c r="EB103" s="37"/>
      <c r="EC103" s="37"/>
      <c r="ED103" s="37"/>
      <c r="EE103" s="37"/>
      <c r="EF103" s="37"/>
      <c r="EG103" s="37"/>
      <c r="EH103" s="37"/>
      <c r="EI103" s="37"/>
      <c r="EJ103" s="37"/>
      <c r="EK103" s="37"/>
      <c r="EL103" s="37"/>
      <c r="EM103" s="37"/>
      <c r="EN103" s="37"/>
      <c r="EO103" s="37"/>
    </row>
    <row r="104" spans="1:145" s="34" customFormat="1">
      <c r="A104" s="83"/>
      <c r="B104" s="92"/>
      <c r="C104" s="145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C104" s="37"/>
      <c r="DD104" s="37"/>
      <c r="DE104" s="37"/>
      <c r="DF104" s="37"/>
      <c r="DG104" s="37"/>
      <c r="DH104" s="37"/>
      <c r="DI104" s="37"/>
      <c r="DJ104" s="37"/>
      <c r="DK104" s="37"/>
      <c r="DL104" s="37"/>
      <c r="DM104" s="37"/>
      <c r="DN104" s="37"/>
      <c r="DO104" s="37"/>
      <c r="DP104" s="37"/>
      <c r="DQ104" s="37"/>
      <c r="DR104" s="37"/>
      <c r="DS104" s="37"/>
      <c r="DT104" s="37"/>
      <c r="DU104" s="37"/>
      <c r="DV104" s="37"/>
      <c r="DW104" s="37"/>
      <c r="DX104" s="37"/>
      <c r="DY104" s="37"/>
      <c r="DZ104" s="37"/>
      <c r="EA104" s="37"/>
      <c r="EB104" s="37"/>
      <c r="EC104" s="37"/>
      <c r="ED104" s="37"/>
      <c r="EE104" s="37"/>
      <c r="EF104" s="37"/>
      <c r="EG104" s="37"/>
      <c r="EH104" s="37"/>
      <c r="EI104" s="37"/>
      <c r="EJ104" s="37"/>
      <c r="EK104" s="37"/>
      <c r="EL104" s="37"/>
      <c r="EM104" s="37"/>
      <c r="EN104" s="37"/>
      <c r="EO104" s="37"/>
    </row>
    <row r="105" spans="1:145" s="34" customFormat="1">
      <c r="A105" s="78"/>
      <c r="B105" s="367" t="str">
        <f>+B7</f>
        <v>AEP TEXAS</v>
      </c>
      <c r="C105" s="367"/>
      <c r="D105" s="367"/>
      <c r="E105" s="367"/>
      <c r="F105" s="367"/>
      <c r="G105" s="367"/>
      <c r="H105" s="367"/>
      <c r="I105" s="367"/>
      <c r="J105" s="367"/>
      <c r="K105" s="367"/>
      <c r="L105" s="367"/>
      <c r="M105" s="367"/>
      <c r="N105" s="367"/>
      <c r="O105" s="367"/>
      <c r="P105" s="36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  <c r="DI105" s="37"/>
      <c r="DJ105" s="37"/>
      <c r="DK105" s="37"/>
      <c r="DL105" s="37"/>
      <c r="DM105" s="37"/>
      <c r="DN105" s="37"/>
      <c r="DO105" s="37"/>
      <c r="DP105" s="37"/>
      <c r="DQ105" s="37"/>
      <c r="DR105" s="37"/>
      <c r="DS105" s="37"/>
      <c r="DT105" s="37"/>
      <c r="DU105" s="37"/>
      <c r="DV105" s="37"/>
      <c r="DW105" s="37"/>
      <c r="DX105" s="37"/>
      <c r="DY105" s="37"/>
      <c r="DZ105" s="37"/>
      <c r="EA105" s="37"/>
      <c r="EB105" s="37"/>
      <c r="EC105" s="37"/>
      <c r="ED105" s="37"/>
      <c r="EE105" s="37"/>
      <c r="EF105" s="37"/>
      <c r="EG105" s="37"/>
      <c r="EH105" s="37"/>
      <c r="EI105" s="37"/>
      <c r="EJ105" s="37"/>
      <c r="EK105" s="37"/>
      <c r="EL105" s="37"/>
      <c r="EM105" s="37"/>
      <c r="EN105" s="37"/>
      <c r="EO105" s="37"/>
    </row>
    <row r="106" spans="1:145" s="34" customFormat="1">
      <c r="A106" s="78"/>
      <c r="B106" s="368" t="s">
        <v>55</v>
      </c>
      <c r="C106" s="367"/>
      <c r="D106" s="367"/>
      <c r="E106" s="367"/>
      <c r="F106" s="367"/>
      <c r="G106" s="367"/>
      <c r="H106" s="367"/>
      <c r="I106" s="367"/>
      <c r="J106" s="367"/>
      <c r="K106" s="367"/>
      <c r="L106" s="367"/>
      <c r="M106" s="367"/>
      <c r="N106" s="367"/>
      <c r="O106" s="367"/>
      <c r="P106" s="36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C106" s="37"/>
      <c r="DD106" s="37"/>
      <c r="DE106" s="37"/>
      <c r="DF106" s="37"/>
      <c r="DG106" s="37"/>
      <c r="DH106" s="37"/>
      <c r="DI106" s="37"/>
      <c r="DJ106" s="37"/>
      <c r="DK106" s="37"/>
      <c r="DL106" s="37"/>
      <c r="DM106" s="37"/>
      <c r="DN106" s="37"/>
      <c r="DO106" s="37"/>
      <c r="DP106" s="37"/>
      <c r="DQ106" s="37"/>
      <c r="DR106" s="37"/>
      <c r="DS106" s="37"/>
      <c r="DT106" s="37"/>
      <c r="DU106" s="37"/>
      <c r="DV106" s="37"/>
      <c r="DW106" s="37"/>
      <c r="DX106" s="37"/>
      <c r="DY106" s="37"/>
      <c r="DZ106" s="37"/>
      <c r="EA106" s="37"/>
      <c r="EB106" s="37"/>
      <c r="EC106" s="37"/>
      <c r="ED106" s="37"/>
      <c r="EE106" s="37"/>
      <c r="EF106" s="37"/>
      <c r="EG106" s="37"/>
      <c r="EH106" s="37"/>
      <c r="EI106" s="37"/>
      <c r="EJ106" s="37"/>
      <c r="EK106" s="37"/>
      <c r="EL106" s="37"/>
      <c r="EM106" s="37"/>
      <c r="EN106" s="37"/>
      <c r="EO106" s="37"/>
    </row>
    <row r="107" spans="1:145" s="34" customFormat="1">
      <c r="A107" s="78"/>
      <c r="B107" s="367" t="str">
        <f>+B41</f>
        <v>FOR TEST YEAR ENDED SEPTEMBER 30, 2023</v>
      </c>
      <c r="C107" s="367"/>
      <c r="D107" s="367"/>
      <c r="E107" s="367"/>
      <c r="F107" s="367"/>
      <c r="G107" s="367"/>
      <c r="H107" s="367"/>
      <c r="I107" s="367"/>
      <c r="J107" s="367"/>
      <c r="K107" s="367"/>
      <c r="L107" s="367"/>
      <c r="M107" s="367"/>
      <c r="N107" s="367"/>
      <c r="O107" s="367"/>
      <c r="P107" s="36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  <c r="DI107" s="37"/>
      <c r="DJ107" s="37"/>
      <c r="DK107" s="37"/>
      <c r="DL107" s="37"/>
      <c r="DM107" s="37"/>
      <c r="DN107" s="37"/>
      <c r="DO107" s="37"/>
      <c r="DP107" s="37"/>
      <c r="DQ107" s="37"/>
      <c r="DR107" s="37"/>
      <c r="DS107" s="37"/>
      <c r="DT107" s="37"/>
      <c r="DU107" s="37"/>
      <c r="DV107" s="37"/>
      <c r="DW107" s="37"/>
      <c r="DX107" s="37"/>
      <c r="DY107" s="37"/>
      <c r="DZ107" s="37"/>
      <c r="EA107" s="37"/>
      <c r="EB107" s="37"/>
      <c r="EC107" s="37"/>
      <c r="ED107" s="37"/>
      <c r="EE107" s="37"/>
      <c r="EF107" s="37"/>
      <c r="EG107" s="37"/>
      <c r="EH107" s="37"/>
      <c r="EI107" s="37"/>
      <c r="EJ107" s="37"/>
      <c r="EK107" s="37"/>
      <c r="EL107" s="37"/>
      <c r="EM107" s="37"/>
      <c r="EN107" s="37"/>
      <c r="EO107" s="37"/>
    </row>
    <row r="108" spans="1:145">
      <c r="A108" s="87"/>
      <c r="B108" s="153"/>
      <c r="C108" s="153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</row>
    <row r="109" spans="1:145">
      <c r="A109" s="87"/>
      <c r="B109" s="154"/>
      <c r="C109" s="155"/>
      <c r="D109" s="154"/>
      <c r="E109" s="76"/>
      <c r="F109" s="76"/>
      <c r="G109" s="156"/>
      <c r="H109" s="76"/>
      <c r="I109" s="76"/>
      <c r="J109" s="94"/>
      <c r="K109" s="76"/>
      <c r="L109" s="76"/>
      <c r="M109" s="76"/>
      <c r="N109" s="76"/>
      <c r="O109" s="103"/>
      <c r="P109" s="76"/>
    </row>
    <row r="110" spans="1:145">
      <c r="A110" s="145" t="s">
        <v>8</v>
      </c>
      <c r="B110" s="154" t="str">
        <f>+B44</f>
        <v>DESCRIPTION</v>
      </c>
      <c r="C110" s="154" t="str">
        <f>+C44</f>
        <v>VOLT</v>
      </c>
      <c r="D110" s="154" t="str">
        <f>+D44</f>
        <v>Oct-22</v>
      </c>
      <c r="E110" s="154" t="str">
        <f t="shared" ref="E110:P110" si="20">+E44</f>
        <v>Nov-22</v>
      </c>
      <c r="F110" s="154" t="str">
        <f t="shared" si="20"/>
        <v>Dec-22</v>
      </c>
      <c r="G110" s="154" t="str">
        <f t="shared" si="20"/>
        <v>Jan-23</v>
      </c>
      <c r="H110" s="154" t="str">
        <f t="shared" si="20"/>
        <v>Feb-23</v>
      </c>
      <c r="I110" s="154" t="str">
        <f t="shared" si="20"/>
        <v>Mar-23</v>
      </c>
      <c r="J110" s="154" t="str">
        <f t="shared" si="20"/>
        <v>Apr-23</v>
      </c>
      <c r="K110" s="154" t="str">
        <f t="shared" si="20"/>
        <v>May-23</v>
      </c>
      <c r="L110" s="154" t="str">
        <f t="shared" si="20"/>
        <v>Jun-23</v>
      </c>
      <c r="M110" s="154" t="str">
        <f t="shared" si="20"/>
        <v>Jul-23</v>
      </c>
      <c r="N110" s="154" t="str">
        <f t="shared" si="20"/>
        <v>Aug-23</v>
      </c>
      <c r="O110" s="154" t="str">
        <f t="shared" si="20"/>
        <v>Sep-23</v>
      </c>
      <c r="P110" s="154" t="str">
        <f t="shared" si="20"/>
        <v>TOTAL</v>
      </c>
    </row>
    <row r="111" spans="1:145">
      <c r="A111" s="87"/>
      <c r="B111" s="89"/>
      <c r="C111" s="157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103"/>
      <c r="P111" s="158"/>
    </row>
    <row r="112" spans="1:145" s="34" customFormat="1">
      <c r="A112" s="83" t="s">
        <v>9</v>
      </c>
      <c r="B112" s="78" t="s">
        <v>17</v>
      </c>
      <c r="C112" s="85" t="s">
        <v>4</v>
      </c>
      <c r="D112" s="93" cm="1">
        <f t="array" ref="D112">SUMPRODUCT((H_Rate_Class=$B112)*[5]Energy!D$369:D$478)</f>
        <v>0</v>
      </c>
      <c r="E112" s="93" cm="1">
        <f t="array" ref="E112">SUMPRODUCT((H_Rate_Class=$B112)*[5]Energy!E$369:E$478)</f>
        <v>0</v>
      </c>
      <c r="F112" s="93" cm="1">
        <f t="array" ref="F112">SUMPRODUCT((H_Rate_Class=$B112)*[5]Energy!F$369:F$478)</f>
        <v>0</v>
      </c>
      <c r="G112" s="93" cm="1">
        <f t="array" ref="G112">SUMPRODUCT((H_Rate_Class=$B112)*[5]Energy!G$369:G$478)</f>
        <v>0</v>
      </c>
      <c r="H112" s="93" cm="1">
        <f t="array" ref="H112">SUMPRODUCT((H_Rate_Class=$B112)*[5]Energy!H$369:H$478)</f>
        <v>0</v>
      </c>
      <c r="I112" s="93" cm="1">
        <f t="array" ref="I112">SUMPRODUCT((H_Rate_Class=$B112)*[5]Energy!I$369:I$478)</f>
        <v>0</v>
      </c>
      <c r="J112" s="93" cm="1">
        <f t="array" ref="J112">SUMPRODUCT((H_Rate_Class=$B112)*[5]Energy!J$369:J$478)</f>
        <v>0</v>
      </c>
      <c r="K112" s="93" cm="1">
        <f t="array" ref="K112">SUMPRODUCT((H_Rate_Class=$B112)*[5]Energy!K$369:K$478)</f>
        <v>0</v>
      </c>
      <c r="L112" s="93" cm="1">
        <f t="array" ref="L112">SUMPRODUCT((H_Rate_Class=$B112)*[5]Energy!L$369:L$478)</f>
        <v>0</v>
      </c>
      <c r="M112" s="93" cm="1">
        <f t="array" ref="M112">SUMPRODUCT((H_Rate_Class=$B112)*[5]Energy!M$369:M$478)</f>
        <v>0</v>
      </c>
      <c r="N112" s="93" cm="1">
        <f t="array" ref="N112">SUMPRODUCT((H_Rate_Class=$B112)*[5]Energy!N$369:N$478)</f>
        <v>0</v>
      </c>
      <c r="O112" s="93" cm="1">
        <f t="array" ref="O112">SUMPRODUCT((H_Rate_Class=$B112)*[5]Energy!O$369:O$478)</f>
        <v>0</v>
      </c>
      <c r="P112" s="93">
        <f>SUM(D112:O112)</f>
        <v>0</v>
      </c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C112" s="37"/>
      <c r="DD112" s="37"/>
      <c r="DE112" s="37"/>
      <c r="DF112" s="37"/>
      <c r="DG112" s="37"/>
      <c r="DH112" s="37"/>
      <c r="DI112" s="37"/>
      <c r="DJ112" s="37"/>
      <c r="DK112" s="37"/>
      <c r="DL112" s="37"/>
      <c r="DM112" s="37"/>
      <c r="DN112" s="37"/>
      <c r="DO112" s="37"/>
      <c r="DP112" s="37"/>
      <c r="DQ112" s="37"/>
      <c r="DR112" s="37"/>
      <c r="DS112" s="37"/>
      <c r="DT112" s="37"/>
      <c r="DU112" s="37"/>
      <c r="DV112" s="37"/>
      <c r="DW112" s="37"/>
      <c r="DX112" s="37"/>
      <c r="DY112" s="37"/>
      <c r="DZ112" s="37"/>
      <c r="EA112" s="37"/>
      <c r="EB112" s="37"/>
      <c r="EC112" s="37"/>
      <c r="ED112" s="37"/>
      <c r="EE112" s="37"/>
      <c r="EF112" s="37"/>
      <c r="EG112" s="37"/>
      <c r="EH112" s="37"/>
      <c r="EI112" s="37"/>
      <c r="EJ112" s="37"/>
      <c r="EK112" s="37"/>
      <c r="EL112" s="37"/>
      <c r="EM112" s="37"/>
      <c r="EN112" s="37"/>
      <c r="EO112" s="37"/>
    </row>
    <row r="113" spans="1:145" s="34" customFormat="1">
      <c r="A113" s="78"/>
      <c r="B113" s="78"/>
      <c r="C113" s="85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93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  <c r="DH113" s="37"/>
      <c r="DI113" s="37"/>
      <c r="DJ113" s="37"/>
      <c r="DK113" s="37"/>
      <c r="DL113" s="37"/>
      <c r="DM113" s="37"/>
      <c r="DN113" s="37"/>
      <c r="DO113" s="37"/>
      <c r="DP113" s="37"/>
      <c r="DQ113" s="37"/>
      <c r="DR113" s="37"/>
      <c r="DS113" s="37"/>
      <c r="DT113" s="37"/>
      <c r="DU113" s="37"/>
      <c r="DV113" s="37"/>
      <c r="DW113" s="37"/>
      <c r="DX113" s="37"/>
      <c r="DY113" s="37"/>
      <c r="DZ113" s="37"/>
      <c r="EA113" s="37"/>
      <c r="EB113" s="37"/>
      <c r="EC113" s="37"/>
      <c r="ED113" s="37"/>
      <c r="EE113" s="37"/>
      <c r="EF113" s="37"/>
      <c r="EG113" s="37"/>
      <c r="EH113" s="37"/>
      <c r="EI113" s="37"/>
      <c r="EJ113" s="37"/>
      <c r="EK113" s="37"/>
      <c r="EL113" s="37"/>
      <c r="EM113" s="37"/>
      <c r="EN113" s="37"/>
      <c r="EO113" s="37"/>
    </row>
    <row r="114" spans="1:145" s="34" customFormat="1">
      <c r="A114" s="83">
        <v>2</v>
      </c>
      <c r="B114" s="78" t="s">
        <v>150</v>
      </c>
      <c r="C114" s="85" t="s">
        <v>4</v>
      </c>
      <c r="D114" s="71" cm="1">
        <f t="array" ref="D114">SUMPRODUCT((H_Rate_Class=$B114)*[5]Energy!D$369:D$478)</f>
        <v>0</v>
      </c>
      <c r="E114" s="71" cm="1">
        <f t="array" ref="E114">SUMPRODUCT((H_Rate_Class=$B114)*[5]Energy!E$369:E$478)</f>
        <v>0</v>
      </c>
      <c r="F114" s="71" cm="1">
        <f t="array" ref="F114">SUMPRODUCT((H_Rate_Class=$B114)*[5]Energy!F$369:F$478)</f>
        <v>0</v>
      </c>
      <c r="G114" s="71" cm="1">
        <f t="array" ref="G114">SUMPRODUCT((H_Rate_Class=$B114)*[5]Energy!G$369:G$478)</f>
        <v>0</v>
      </c>
      <c r="H114" s="71" cm="1">
        <f t="array" ref="H114">SUMPRODUCT((H_Rate_Class=$B114)*[5]Energy!H$369:H$478)</f>
        <v>0</v>
      </c>
      <c r="I114" s="71" cm="1">
        <f t="array" ref="I114">SUMPRODUCT((H_Rate_Class=$B114)*[5]Energy!I$369:I$478)</f>
        <v>0</v>
      </c>
      <c r="J114" s="71" cm="1">
        <f t="array" ref="J114">SUMPRODUCT((H_Rate_Class=$B114)*[5]Energy!J$369:J$478)</f>
        <v>0</v>
      </c>
      <c r="K114" s="71" cm="1">
        <f t="array" ref="K114">SUMPRODUCT((H_Rate_Class=$B114)*[5]Energy!K$369:K$478)</f>
        <v>0</v>
      </c>
      <c r="L114" s="71" cm="1">
        <f t="array" ref="L114">SUMPRODUCT((H_Rate_Class=$B114)*[5]Energy!L$369:L$478)</f>
        <v>0</v>
      </c>
      <c r="M114" s="71" cm="1">
        <f t="array" ref="M114">SUMPRODUCT((H_Rate_Class=$B114)*[5]Energy!M$369:M$478)</f>
        <v>0</v>
      </c>
      <c r="N114" s="71" cm="1">
        <f t="array" ref="N114">SUMPRODUCT((H_Rate_Class=$B114)*[5]Energy!N$369:N$478)</f>
        <v>0</v>
      </c>
      <c r="O114" s="71" cm="1">
        <f t="array" ref="O114">SUMPRODUCT((H_Rate_Class=$B114)*[5]Energy!O$369:O$478)</f>
        <v>0</v>
      </c>
      <c r="P114" s="93">
        <f>SUM(D114:O114)</f>
        <v>0</v>
      </c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C114" s="37"/>
      <c r="DD114" s="37"/>
      <c r="DE114" s="37"/>
      <c r="DF114" s="37"/>
      <c r="DG114" s="37"/>
      <c r="DH114" s="37"/>
      <c r="DI114" s="37"/>
      <c r="DJ114" s="37"/>
      <c r="DK114" s="37"/>
      <c r="DL114" s="37"/>
      <c r="DM114" s="37"/>
      <c r="DN114" s="37"/>
      <c r="DO114" s="37"/>
      <c r="DP114" s="37"/>
      <c r="DQ114" s="37"/>
      <c r="DR114" s="37"/>
      <c r="DS114" s="37"/>
      <c r="DT114" s="37"/>
      <c r="DU114" s="37"/>
      <c r="DV114" s="37"/>
      <c r="DW114" s="37"/>
      <c r="DX114" s="37"/>
      <c r="DY114" s="37"/>
      <c r="DZ114" s="37"/>
      <c r="EA114" s="37"/>
      <c r="EB114" s="37"/>
      <c r="EC114" s="37"/>
      <c r="ED114" s="37"/>
      <c r="EE114" s="37"/>
      <c r="EF114" s="37"/>
      <c r="EG114" s="37"/>
      <c r="EH114" s="37"/>
      <c r="EI114" s="37"/>
      <c r="EJ114" s="37"/>
      <c r="EK114" s="37"/>
      <c r="EL114" s="37"/>
      <c r="EM114" s="37"/>
      <c r="EN114" s="37"/>
      <c r="EO114" s="37"/>
    </row>
    <row r="115" spans="1:145" s="34" customFormat="1">
      <c r="A115" s="83"/>
      <c r="B115" s="78"/>
      <c r="C115" s="85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93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  <c r="DI115" s="37"/>
      <c r="DJ115" s="37"/>
      <c r="DK115" s="37"/>
      <c r="DL115" s="37"/>
      <c r="DM115" s="37"/>
      <c r="DN115" s="37"/>
      <c r="DO115" s="37"/>
      <c r="DP115" s="37"/>
      <c r="DQ115" s="37"/>
      <c r="DR115" s="37"/>
      <c r="DS115" s="37"/>
      <c r="DT115" s="37"/>
      <c r="DU115" s="37"/>
      <c r="DV115" s="37"/>
      <c r="DW115" s="37"/>
      <c r="DX115" s="37"/>
      <c r="DY115" s="37"/>
      <c r="DZ115" s="37"/>
      <c r="EA115" s="37"/>
      <c r="EB115" s="37"/>
      <c r="EC115" s="37"/>
      <c r="ED115" s="37"/>
      <c r="EE115" s="37"/>
      <c r="EF115" s="37"/>
      <c r="EG115" s="37"/>
      <c r="EH115" s="37"/>
      <c r="EI115" s="37"/>
      <c r="EJ115" s="37"/>
      <c r="EK115" s="37"/>
      <c r="EL115" s="37"/>
      <c r="EM115" s="37"/>
      <c r="EN115" s="37"/>
      <c r="EO115" s="37"/>
    </row>
    <row r="116" spans="1:145" s="34" customFormat="1">
      <c r="A116" s="83">
        <v>3</v>
      </c>
      <c r="B116" s="87" t="s">
        <v>81</v>
      </c>
      <c r="C116" s="74" t="s">
        <v>4</v>
      </c>
      <c r="D116" s="84" cm="1">
        <f t="array" ref="D116">SUMPRODUCT((H_Rate_Class=$B116)*[5]Energy!D$369:D$478)</f>
        <v>0</v>
      </c>
      <c r="E116" s="84" cm="1">
        <f t="array" ref="E116">SUMPRODUCT((H_Rate_Class=$B116)*[5]Energy!E$369:E$478)</f>
        <v>0</v>
      </c>
      <c r="F116" s="84" cm="1">
        <f t="array" ref="F116">SUMPRODUCT((H_Rate_Class=$B116)*[5]Energy!F$369:F$478)</f>
        <v>0</v>
      </c>
      <c r="G116" s="84" cm="1">
        <f t="array" ref="G116">SUMPRODUCT((H_Rate_Class=$B116)*[5]Energy!G$369:G$478)</f>
        <v>0</v>
      </c>
      <c r="H116" s="84" cm="1">
        <f t="array" ref="H116">SUMPRODUCT((H_Rate_Class=$B116)*[5]Energy!H$369:H$478)</f>
        <v>0</v>
      </c>
      <c r="I116" s="84" cm="1">
        <f t="array" ref="I116">SUMPRODUCT((H_Rate_Class=$B116)*[5]Energy!I$369:I$478)</f>
        <v>0</v>
      </c>
      <c r="J116" s="84" cm="1">
        <f t="array" ref="J116">SUMPRODUCT((H_Rate_Class=$B116)*[5]Energy!J$369:J$478)</f>
        <v>0</v>
      </c>
      <c r="K116" s="84" cm="1">
        <f t="array" ref="K116">SUMPRODUCT((H_Rate_Class=$B116)*[5]Energy!K$369:K$478)</f>
        <v>0</v>
      </c>
      <c r="L116" s="84" cm="1">
        <f t="array" ref="L116">SUMPRODUCT((H_Rate_Class=$B116)*[5]Energy!L$369:L$478)</f>
        <v>0</v>
      </c>
      <c r="M116" s="84" cm="1">
        <f t="array" ref="M116">SUMPRODUCT((H_Rate_Class=$B116)*[5]Energy!M$369:M$478)</f>
        <v>0</v>
      </c>
      <c r="N116" s="84" cm="1">
        <f t="array" ref="N116">SUMPRODUCT((H_Rate_Class=$B116)*[5]Energy!N$369:N$478)</f>
        <v>0</v>
      </c>
      <c r="O116" s="84" cm="1">
        <f t="array" ref="O116">SUMPRODUCT((H_Rate_Class=$B116)*[5]Energy!O$369:O$478)</f>
        <v>0</v>
      </c>
      <c r="P116" s="93">
        <f>SUM(D116:O116)</f>
        <v>0</v>
      </c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C116" s="37"/>
      <c r="DD116" s="37"/>
      <c r="DE116" s="37"/>
      <c r="DF116" s="37"/>
      <c r="DG116" s="37"/>
      <c r="DH116" s="37"/>
      <c r="DI116" s="37"/>
      <c r="DJ116" s="37"/>
      <c r="DK116" s="37"/>
      <c r="DL116" s="37"/>
      <c r="DM116" s="37"/>
      <c r="DN116" s="37"/>
      <c r="DO116" s="37"/>
      <c r="DP116" s="37"/>
      <c r="DQ116" s="37"/>
      <c r="DR116" s="37"/>
      <c r="DS116" s="37"/>
      <c r="DT116" s="37"/>
      <c r="DU116" s="37"/>
      <c r="DV116" s="37"/>
      <c r="DW116" s="37"/>
      <c r="DX116" s="37"/>
      <c r="DY116" s="37"/>
      <c r="DZ116" s="37"/>
      <c r="EA116" s="37"/>
      <c r="EB116" s="37"/>
      <c r="EC116" s="37"/>
      <c r="ED116" s="37"/>
      <c r="EE116" s="37"/>
      <c r="EF116" s="37"/>
      <c r="EG116" s="37"/>
      <c r="EH116" s="37"/>
      <c r="EI116" s="37"/>
      <c r="EJ116" s="37"/>
      <c r="EK116" s="37"/>
      <c r="EL116" s="37"/>
      <c r="EM116" s="37"/>
      <c r="EN116" s="37"/>
      <c r="EO116" s="37"/>
    </row>
    <row r="117" spans="1:145" s="34" customFormat="1">
      <c r="A117" s="83">
        <v>4</v>
      </c>
      <c r="B117" s="87" t="s">
        <v>85</v>
      </c>
      <c r="C117" s="74" t="s">
        <v>4</v>
      </c>
      <c r="D117" s="72" cm="1">
        <f t="array" ref="D117">SUMPRODUCT((H_Rate_Class=$B117)*[5]Energy!D$369:D$478)</f>
        <v>0</v>
      </c>
      <c r="E117" s="72" cm="1">
        <f t="array" ref="E117">SUMPRODUCT((H_Rate_Class=$B117)*[5]Energy!E$369:E$478)</f>
        <v>0</v>
      </c>
      <c r="F117" s="72" cm="1">
        <f t="array" ref="F117">SUMPRODUCT((H_Rate_Class=$B117)*[5]Energy!F$369:F$478)</f>
        <v>0</v>
      </c>
      <c r="G117" s="72" cm="1">
        <f t="array" ref="G117">SUMPRODUCT((H_Rate_Class=$B117)*[5]Energy!G$369:G$478)</f>
        <v>0</v>
      </c>
      <c r="H117" s="72" cm="1">
        <f t="array" ref="H117">SUMPRODUCT((H_Rate_Class=$B117)*[5]Energy!H$369:H$478)</f>
        <v>0</v>
      </c>
      <c r="I117" s="72" cm="1">
        <f t="array" ref="I117">SUMPRODUCT((H_Rate_Class=$B117)*[5]Energy!I$369:I$478)</f>
        <v>0</v>
      </c>
      <c r="J117" s="72" cm="1">
        <f t="array" ref="J117">SUMPRODUCT((H_Rate_Class=$B117)*[5]Energy!J$369:J$478)</f>
        <v>0</v>
      </c>
      <c r="K117" s="72" cm="1">
        <f t="array" ref="K117">SUMPRODUCT((H_Rate_Class=$B117)*[5]Energy!K$369:K$478)</f>
        <v>0</v>
      </c>
      <c r="L117" s="72" cm="1">
        <f t="array" ref="L117">SUMPRODUCT((H_Rate_Class=$B117)*[5]Energy!L$369:L$478)</f>
        <v>0</v>
      </c>
      <c r="M117" s="72" cm="1">
        <f t="array" ref="M117">SUMPRODUCT((H_Rate_Class=$B117)*[5]Energy!M$369:M$478)</f>
        <v>0</v>
      </c>
      <c r="N117" s="72" cm="1">
        <f t="array" ref="N117">SUMPRODUCT((H_Rate_Class=$B117)*[5]Energy!N$369:N$478)</f>
        <v>0</v>
      </c>
      <c r="O117" s="72" cm="1">
        <f t="array" ref="O117">SUMPRODUCT((H_Rate_Class=$B117)*[5]Energy!O$369:O$478)</f>
        <v>0</v>
      </c>
      <c r="P117" s="72">
        <f>SUM(D117:O117)</f>
        <v>0</v>
      </c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  <c r="DH117" s="37"/>
      <c r="DI117" s="37"/>
      <c r="DJ117" s="37"/>
      <c r="DK117" s="37"/>
      <c r="DL117" s="37"/>
      <c r="DM117" s="37"/>
      <c r="DN117" s="37"/>
      <c r="DO117" s="37"/>
      <c r="DP117" s="37"/>
      <c r="DQ117" s="37"/>
      <c r="DR117" s="37"/>
      <c r="DS117" s="37"/>
      <c r="DT117" s="37"/>
      <c r="DU117" s="37"/>
      <c r="DV117" s="37"/>
      <c r="DW117" s="37"/>
      <c r="DX117" s="37"/>
      <c r="DY117" s="37"/>
      <c r="DZ117" s="37"/>
      <c r="EA117" s="37"/>
      <c r="EB117" s="37"/>
      <c r="EC117" s="37"/>
      <c r="ED117" s="37"/>
      <c r="EE117" s="37"/>
      <c r="EF117" s="37"/>
      <c r="EG117" s="37"/>
      <c r="EH117" s="37"/>
      <c r="EI117" s="37"/>
      <c r="EJ117" s="37"/>
      <c r="EK117" s="37"/>
      <c r="EL117" s="37"/>
      <c r="EM117" s="37"/>
      <c r="EN117" s="37"/>
      <c r="EO117" s="37"/>
    </row>
    <row r="118" spans="1:145" s="34" customFormat="1">
      <c r="A118" s="83">
        <v>5</v>
      </c>
      <c r="B118" s="96" t="s">
        <v>18</v>
      </c>
      <c r="C118" s="85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>
        <f>SUM(P116:P117)</f>
        <v>0</v>
      </c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  <c r="DC118" s="37"/>
      <c r="DD118" s="37"/>
      <c r="DE118" s="37"/>
      <c r="DF118" s="37"/>
      <c r="DG118" s="37"/>
      <c r="DH118" s="37"/>
      <c r="DI118" s="37"/>
      <c r="DJ118" s="37"/>
      <c r="DK118" s="37"/>
      <c r="DL118" s="37"/>
      <c r="DM118" s="37"/>
      <c r="DN118" s="37"/>
      <c r="DO118" s="37"/>
      <c r="DP118" s="37"/>
      <c r="DQ118" s="37"/>
      <c r="DR118" s="37"/>
      <c r="DS118" s="37"/>
      <c r="DT118" s="37"/>
      <c r="DU118" s="37"/>
      <c r="DV118" s="37"/>
      <c r="DW118" s="37"/>
      <c r="DX118" s="37"/>
      <c r="DY118" s="37"/>
      <c r="DZ118" s="37"/>
      <c r="EA118" s="37"/>
      <c r="EB118" s="37"/>
      <c r="EC118" s="37"/>
      <c r="ED118" s="37"/>
      <c r="EE118" s="37"/>
      <c r="EF118" s="37"/>
      <c r="EG118" s="37"/>
      <c r="EH118" s="37"/>
      <c r="EI118" s="37"/>
      <c r="EJ118" s="37"/>
      <c r="EK118" s="37"/>
      <c r="EL118" s="37"/>
      <c r="EM118" s="37"/>
      <c r="EN118" s="37"/>
      <c r="EO118" s="37"/>
    </row>
    <row r="119" spans="1:145" s="34" customFormat="1">
      <c r="B119" s="146"/>
      <c r="C119" s="85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71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7"/>
      <c r="DI119" s="37"/>
      <c r="DJ119" s="37"/>
      <c r="DK119" s="37"/>
      <c r="DL119" s="37"/>
      <c r="DM119" s="37"/>
      <c r="DN119" s="37"/>
      <c r="DO119" s="37"/>
      <c r="DP119" s="37"/>
      <c r="DQ119" s="37"/>
      <c r="DR119" s="37"/>
      <c r="DS119" s="37"/>
      <c r="DT119" s="37"/>
      <c r="DU119" s="37"/>
      <c r="DV119" s="37"/>
      <c r="DW119" s="37"/>
      <c r="DX119" s="37"/>
      <c r="DY119" s="37"/>
      <c r="DZ119" s="37"/>
      <c r="EA119" s="37"/>
      <c r="EB119" s="37"/>
      <c r="EC119" s="37"/>
      <c r="ED119" s="37"/>
      <c r="EE119" s="37"/>
      <c r="EF119" s="37"/>
      <c r="EG119" s="37"/>
      <c r="EH119" s="37"/>
      <c r="EI119" s="37"/>
      <c r="EJ119" s="37"/>
      <c r="EK119" s="37"/>
      <c r="EL119" s="37"/>
      <c r="EM119" s="37"/>
      <c r="EN119" s="37"/>
      <c r="EO119" s="37"/>
    </row>
    <row r="120" spans="1:145" s="34" customFormat="1">
      <c r="A120" s="46">
        <v>6</v>
      </c>
      <c r="B120" s="87" t="s">
        <v>82</v>
      </c>
      <c r="C120" s="74" t="s">
        <v>5</v>
      </c>
      <c r="D120" s="71" cm="1">
        <f t="array" ref="D120">SUMPRODUCT((H_Rate_Class=$B120)*[5]Energy!D$369:D$478)</f>
        <v>0</v>
      </c>
      <c r="E120" s="71" cm="1">
        <f t="array" ref="E120">SUMPRODUCT((H_Rate_Class=$B120)*[5]Energy!E$369:E$478)</f>
        <v>0</v>
      </c>
      <c r="F120" s="71" cm="1">
        <f t="array" ref="F120">SUMPRODUCT((H_Rate_Class=$B120)*[5]Energy!F$369:F$478)</f>
        <v>0</v>
      </c>
      <c r="G120" s="71" cm="1">
        <f t="array" ref="G120">SUMPRODUCT((H_Rate_Class=$B120)*[5]Energy!G$369:G$478)</f>
        <v>0</v>
      </c>
      <c r="H120" s="71" cm="1">
        <f t="array" ref="H120">SUMPRODUCT((H_Rate_Class=$B120)*[5]Energy!H$369:H$478)</f>
        <v>0</v>
      </c>
      <c r="I120" s="71" cm="1">
        <f t="array" ref="I120">SUMPRODUCT((H_Rate_Class=$B120)*[5]Energy!I$369:I$478)</f>
        <v>0</v>
      </c>
      <c r="J120" s="71" cm="1">
        <f t="array" ref="J120">SUMPRODUCT((H_Rate_Class=$B120)*[5]Energy!J$369:J$478)</f>
        <v>0</v>
      </c>
      <c r="K120" s="71" cm="1">
        <f t="array" ref="K120">SUMPRODUCT((H_Rate_Class=$B120)*[5]Energy!K$369:K$478)</f>
        <v>0</v>
      </c>
      <c r="L120" s="71" cm="1">
        <f t="array" ref="L120">SUMPRODUCT((H_Rate_Class=$B120)*[5]Energy!L$369:L$478)</f>
        <v>0</v>
      </c>
      <c r="M120" s="71" cm="1">
        <f t="array" ref="M120">SUMPRODUCT((H_Rate_Class=$B120)*[5]Energy!M$369:M$478)</f>
        <v>0</v>
      </c>
      <c r="N120" s="71" cm="1">
        <f t="array" ref="N120">SUMPRODUCT((H_Rate_Class=$B120)*[5]Energy!N$369:N$478)</f>
        <v>0</v>
      </c>
      <c r="O120" s="71" cm="1">
        <f t="array" ref="O120">SUMPRODUCT((H_Rate_Class=$B120)*[5]Energy!O$369:O$478)</f>
        <v>0</v>
      </c>
      <c r="P120" s="93">
        <f>SUM(D120:O120)</f>
        <v>0</v>
      </c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C120" s="37"/>
      <c r="DD120" s="37"/>
      <c r="DE120" s="37"/>
      <c r="DF120" s="37"/>
      <c r="DG120" s="37"/>
      <c r="DH120" s="37"/>
      <c r="DI120" s="37"/>
      <c r="DJ120" s="37"/>
      <c r="DK120" s="37"/>
      <c r="DL120" s="37"/>
      <c r="DM120" s="37"/>
      <c r="DN120" s="37"/>
      <c r="DO120" s="37"/>
      <c r="DP120" s="37"/>
      <c r="DQ120" s="37"/>
      <c r="DR120" s="37"/>
      <c r="DS120" s="37"/>
      <c r="DT120" s="37"/>
      <c r="DU120" s="37"/>
      <c r="DV120" s="37"/>
      <c r="DW120" s="37"/>
      <c r="DX120" s="37"/>
      <c r="DY120" s="37"/>
      <c r="DZ120" s="37"/>
      <c r="EA120" s="37"/>
      <c r="EB120" s="37"/>
      <c r="EC120" s="37"/>
      <c r="ED120" s="37"/>
      <c r="EE120" s="37"/>
      <c r="EF120" s="37"/>
      <c r="EG120" s="37"/>
      <c r="EH120" s="37"/>
      <c r="EI120" s="37"/>
      <c r="EJ120" s="37"/>
      <c r="EK120" s="37"/>
      <c r="EL120" s="37"/>
      <c r="EM120" s="37"/>
      <c r="EN120" s="37"/>
      <c r="EO120" s="37"/>
    </row>
    <row r="121" spans="1:145" s="34" customFormat="1">
      <c r="A121" s="46">
        <v>7</v>
      </c>
      <c r="B121" s="87" t="s">
        <v>83</v>
      </c>
      <c r="C121" s="74" t="s">
        <v>5</v>
      </c>
      <c r="D121" s="84" cm="1">
        <f t="array" ref="D121">SUMPRODUCT((H_Rate_Class=$B121)*[5]Energy!D$369:D$478)</f>
        <v>0</v>
      </c>
      <c r="E121" s="84" cm="1">
        <f t="array" ref="E121">SUMPRODUCT((H_Rate_Class=$B121)*[5]Energy!E$369:E$478)</f>
        <v>0</v>
      </c>
      <c r="F121" s="84" cm="1">
        <f t="array" ref="F121">SUMPRODUCT((H_Rate_Class=$B121)*[5]Energy!F$369:F$478)</f>
        <v>0</v>
      </c>
      <c r="G121" s="84" cm="1">
        <f t="array" ref="G121">SUMPRODUCT((H_Rate_Class=$B121)*[5]Energy!G$369:G$478)</f>
        <v>0</v>
      </c>
      <c r="H121" s="84" cm="1">
        <f t="array" ref="H121">SUMPRODUCT((H_Rate_Class=$B121)*[5]Energy!H$369:H$478)</f>
        <v>0</v>
      </c>
      <c r="I121" s="84" cm="1">
        <f t="array" ref="I121">SUMPRODUCT((H_Rate_Class=$B121)*[5]Energy!I$369:I$478)</f>
        <v>0</v>
      </c>
      <c r="J121" s="84" cm="1">
        <f t="array" ref="J121">SUMPRODUCT((H_Rate_Class=$B121)*[5]Energy!J$369:J$478)</f>
        <v>0</v>
      </c>
      <c r="K121" s="84" cm="1">
        <f t="array" ref="K121">SUMPRODUCT((H_Rate_Class=$B121)*[5]Energy!K$369:K$478)</f>
        <v>0</v>
      </c>
      <c r="L121" s="84" cm="1">
        <f t="array" ref="L121">SUMPRODUCT((H_Rate_Class=$B121)*[5]Energy!L$369:L$478)</f>
        <v>0</v>
      </c>
      <c r="M121" s="84" cm="1">
        <f t="array" ref="M121">SUMPRODUCT((H_Rate_Class=$B121)*[5]Energy!M$369:M$478)</f>
        <v>0</v>
      </c>
      <c r="N121" s="84" cm="1">
        <f t="array" ref="N121">SUMPRODUCT((H_Rate_Class=$B121)*[5]Energy!N$369:N$478)</f>
        <v>0</v>
      </c>
      <c r="O121" s="84" cm="1">
        <f t="array" ref="O121">SUMPRODUCT((H_Rate_Class=$B121)*[5]Energy!O$369:O$478)</f>
        <v>0</v>
      </c>
      <c r="P121" s="103">
        <f>SUM(D121:O121)</f>
        <v>0</v>
      </c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C121" s="37"/>
      <c r="DD121" s="37"/>
      <c r="DE121" s="37"/>
      <c r="DF121" s="37"/>
      <c r="DG121" s="37"/>
      <c r="DH121" s="37"/>
      <c r="DI121" s="37"/>
      <c r="DJ121" s="37"/>
      <c r="DK121" s="37"/>
      <c r="DL121" s="37"/>
      <c r="DM121" s="37"/>
      <c r="DN121" s="37"/>
      <c r="DO121" s="37"/>
      <c r="DP121" s="37"/>
      <c r="DQ121" s="37"/>
      <c r="DR121" s="37"/>
      <c r="DS121" s="37"/>
      <c r="DT121" s="37"/>
      <c r="DU121" s="37"/>
      <c r="DV121" s="37"/>
      <c r="DW121" s="37"/>
      <c r="DX121" s="37"/>
      <c r="DY121" s="37"/>
      <c r="DZ121" s="37"/>
      <c r="EA121" s="37"/>
      <c r="EB121" s="37"/>
      <c r="EC121" s="37"/>
      <c r="ED121" s="37"/>
      <c r="EE121" s="37"/>
      <c r="EF121" s="37"/>
      <c r="EG121" s="37"/>
      <c r="EH121" s="37"/>
      <c r="EI121" s="37"/>
      <c r="EJ121" s="37"/>
      <c r="EK121" s="37"/>
      <c r="EL121" s="37"/>
      <c r="EM121" s="37"/>
      <c r="EN121" s="37"/>
      <c r="EO121" s="37"/>
    </row>
    <row r="122" spans="1:145" s="34" customFormat="1">
      <c r="A122" s="46">
        <v>8</v>
      </c>
      <c r="B122" s="87" t="s">
        <v>148</v>
      </c>
      <c r="C122" s="74" t="s">
        <v>5</v>
      </c>
      <c r="D122" s="84" cm="1">
        <f t="array" ref="D122">SUMPRODUCT((H_Rate_Class=$B122)*[5]Energy!D$369:D$478)</f>
        <v>0</v>
      </c>
      <c r="E122" s="84" cm="1">
        <f t="array" ref="E122">SUMPRODUCT((H_Rate_Class=$B122)*[5]Energy!E$369:E$478)</f>
        <v>0</v>
      </c>
      <c r="F122" s="84" cm="1">
        <f t="array" ref="F122">SUMPRODUCT((H_Rate_Class=$B122)*[5]Energy!F$369:F$478)</f>
        <v>0</v>
      </c>
      <c r="G122" s="84" cm="1">
        <f t="array" ref="G122">SUMPRODUCT((H_Rate_Class=$B122)*[5]Energy!G$369:G$478)</f>
        <v>0</v>
      </c>
      <c r="H122" s="84" cm="1">
        <f t="array" ref="H122">SUMPRODUCT((H_Rate_Class=$B122)*[5]Energy!H$369:H$478)</f>
        <v>0</v>
      </c>
      <c r="I122" s="84" cm="1">
        <f t="array" ref="I122">SUMPRODUCT((H_Rate_Class=$B122)*[5]Energy!I$369:I$478)</f>
        <v>0</v>
      </c>
      <c r="J122" s="84" cm="1">
        <f t="array" ref="J122">SUMPRODUCT((H_Rate_Class=$B122)*[5]Energy!J$369:J$478)</f>
        <v>0</v>
      </c>
      <c r="K122" s="84" cm="1">
        <f t="array" ref="K122">SUMPRODUCT((H_Rate_Class=$B122)*[5]Energy!K$369:K$478)</f>
        <v>0</v>
      </c>
      <c r="L122" s="84" cm="1">
        <f t="array" ref="L122">SUMPRODUCT((H_Rate_Class=$B122)*[5]Energy!L$369:L$478)</f>
        <v>0</v>
      </c>
      <c r="M122" s="84" cm="1">
        <f t="array" ref="M122">SUMPRODUCT((H_Rate_Class=$B122)*[5]Energy!M$369:M$478)</f>
        <v>0</v>
      </c>
      <c r="N122" s="84" cm="1">
        <f t="array" ref="N122">SUMPRODUCT((H_Rate_Class=$B122)*[5]Energy!N$369:N$478)</f>
        <v>0</v>
      </c>
      <c r="O122" s="84" cm="1">
        <f t="array" ref="O122">SUMPRODUCT((H_Rate_Class=$B122)*[5]Energy!O$369:O$478)</f>
        <v>0</v>
      </c>
      <c r="P122" s="103">
        <f t="shared" ref="P122:P123" si="21">SUM(D122:O122)</f>
        <v>0</v>
      </c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37"/>
      <c r="DC122" s="37"/>
      <c r="DD122" s="37"/>
      <c r="DE122" s="37"/>
      <c r="DF122" s="37"/>
      <c r="DG122" s="37"/>
      <c r="DH122" s="37"/>
      <c r="DI122" s="37"/>
      <c r="DJ122" s="37"/>
      <c r="DK122" s="37"/>
      <c r="DL122" s="37"/>
      <c r="DM122" s="37"/>
      <c r="DN122" s="37"/>
      <c r="DO122" s="37"/>
      <c r="DP122" s="37"/>
      <c r="DQ122" s="37"/>
      <c r="DR122" s="37"/>
      <c r="DS122" s="37"/>
      <c r="DT122" s="37"/>
      <c r="DU122" s="37"/>
      <c r="DV122" s="37"/>
      <c r="DW122" s="37"/>
      <c r="DX122" s="37"/>
      <c r="DY122" s="37"/>
      <c r="DZ122" s="37"/>
      <c r="EA122" s="37"/>
      <c r="EB122" s="37"/>
      <c r="EC122" s="37"/>
      <c r="ED122" s="37"/>
      <c r="EE122" s="37"/>
      <c r="EF122" s="37"/>
      <c r="EG122" s="37"/>
      <c r="EH122" s="37"/>
      <c r="EI122" s="37"/>
      <c r="EJ122" s="37"/>
      <c r="EK122" s="37"/>
      <c r="EL122" s="37"/>
      <c r="EM122" s="37"/>
      <c r="EN122" s="37"/>
      <c r="EO122" s="37"/>
    </row>
    <row r="123" spans="1:145" s="34" customFormat="1">
      <c r="A123" s="46">
        <v>9</v>
      </c>
      <c r="B123" s="87" t="s">
        <v>149</v>
      </c>
      <c r="C123" s="74" t="s">
        <v>5</v>
      </c>
      <c r="D123" s="84" cm="1">
        <f t="array" ref="D123">SUMPRODUCT((H_Rate_Class=$B123)*[5]Energy!D$369:D$478)</f>
        <v>0</v>
      </c>
      <c r="E123" s="84" cm="1">
        <f t="array" ref="E123">SUMPRODUCT((H_Rate_Class=$B123)*[5]Energy!E$369:E$478)</f>
        <v>0</v>
      </c>
      <c r="F123" s="84" cm="1">
        <f t="array" ref="F123">SUMPRODUCT((H_Rate_Class=$B123)*[5]Energy!F$369:F$478)</f>
        <v>0</v>
      </c>
      <c r="G123" s="84" cm="1">
        <f t="array" ref="G123">SUMPRODUCT((H_Rate_Class=$B123)*[5]Energy!G$369:G$478)</f>
        <v>0</v>
      </c>
      <c r="H123" s="84" cm="1">
        <f t="array" ref="H123">SUMPRODUCT((H_Rate_Class=$B123)*[5]Energy!H$369:H$478)</f>
        <v>0</v>
      </c>
      <c r="I123" s="84" cm="1">
        <f t="array" ref="I123">SUMPRODUCT((H_Rate_Class=$B123)*[5]Energy!I$369:I$478)</f>
        <v>0</v>
      </c>
      <c r="J123" s="84" cm="1">
        <f t="array" ref="J123">SUMPRODUCT((H_Rate_Class=$B123)*[5]Energy!J$369:J$478)</f>
        <v>0</v>
      </c>
      <c r="K123" s="84" cm="1">
        <f t="array" ref="K123">SUMPRODUCT((H_Rate_Class=$B123)*[5]Energy!K$369:K$478)</f>
        <v>0</v>
      </c>
      <c r="L123" s="84" cm="1">
        <f t="array" ref="L123">SUMPRODUCT((H_Rate_Class=$B123)*[5]Energy!L$369:L$478)</f>
        <v>0</v>
      </c>
      <c r="M123" s="84" cm="1">
        <f t="array" ref="M123">SUMPRODUCT((H_Rate_Class=$B123)*[5]Energy!M$369:M$478)</f>
        <v>0</v>
      </c>
      <c r="N123" s="84" cm="1">
        <f t="array" ref="N123">SUMPRODUCT((H_Rate_Class=$B123)*[5]Energy!N$369:N$478)</f>
        <v>0</v>
      </c>
      <c r="O123" s="84" cm="1">
        <f t="array" ref="O123">SUMPRODUCT((H_Rate_Class=$B123)*[5]Energy!O$369:O$478)</f>
        <v>0</v>
      </c>
      <c r="P123" s="103">
        <f t="shared" si="21"/>
        <v>0</v>
      </c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  <c r="DC123" s="37"/>
      <c r="DD123" s="37"/>
      <c r="DE123" s="37"/>
      <c r="DF123" s="37"/>
      <c r="DG123" s="37"/>
      <c r="DH123" s="37"/>
      <c r="DI123" s="37"/>
      <c r="DJ123" s="37"/>
      <c r="DK123" s="37"/>
      <c r="DL123" s="37"/>
      <c r="DM123" s="37"/>
      <c r="DN123" s="37"/>
      <c r="DO123" s="37"/>
      <c r="DP123" s="37"/>
      <c r="DQ123" s="37"/>
      <c r="DR123" s="37"/>
      <c r="DS123" s="37"/>
      <c r="DT123" s="37"/>
      <c r="DU123" s="37"/>
      <c r="DV123" s="37"/>
      <c r="DW123" s="37"/>
      <c r="DX123" s="37"/>
      <c r="DY123" s="37"/>
      <c r="DZ123" s="37"/>
      <c r="EA123" s="37"/>
      <c r="EB123" s="37"/>
      <c r="EC123" s="37"/>
      <c r="ED123" s="37"/>
      <c r="EE123" s="37"/>
      <c r="EF123" s="37"/>
      <c r="EG123" s="37"/>
      <c r="EH123" s="37"/>
      <c r="EI123" s="37"/>
      <c r="EJ123" s="37"/>
      <c r="EK123" s="37"/>
      <c r="EL123" s="37"/>
      <c r="EM123" s="37"/>
      <c r="EN123" s="37"/>
      <c r="EO123" s="37"/>
    </row>
    <row r="124" spans="1:145" s="34" customFormat="1">
      <c r="A124" s="46">
        <v>10</v>
      </c>
      <c r="B124" s="78" t="s">
        <v>19</v>
      </c>
      <c r="C124" s="74"/>
      <c r="D124" s="218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>
        <f>SUM(P120:P123)</f>
        <v>0</v>
      </c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37"/>
      <c r="DC124" s="37"/>
      <c r="DD124" s="37"/>
      <c r="DE124" s="37"/>
      <c r="DF124" s="37"/>
      <c r="DG124" s="37"/>
      <c r="DH124" s="37"/>
      <c r="DI124" s="37"/>
      <c r="DJ124" s="37"/>
      <c r="DK124" s="37"/>
      <c r="DL124" s="37"/>
      <c r="DM124" s="37"/>
      <c r="DN124" s="37"/>
      <c r="DO124" s="37"/>
      <c r="DP124" s="37"/>
      <c r="DQ124" s="37"/>
      <c r="DR124" s="37"/>
      <c r="DS124" s="37"/>
      <c r="DT124" s="37"/>
      <c r="DU124" s="37"/>
      <c r="DV124" s="37"/>
      <c r="DW124" s="37"/>
      <c r="DX124" s="37"/>
      <c r="DY124" s="37"/>
      <c r="DZ124" s="37"/>
      <c r="EA124" s="37"/>
      <c r="EB124" s="37"/>
      <c r="EC124" s="37"/>
      <c r="ED124" s="37"/>
      <c r="EE124" s="37"/>
      <c r="EF124" s="37"/>
      <c r="EG124" s="37"/>
      <c r="EH124" s="37"/>
      <c r="EI124" s="37"/>
      <c r="EJ124" s="37"/>
      <c r="EK124" s="37"/>
      <c r="EL124" s="37"/>
      <c r="EM124" s="37"/>
      <c r="EN124" s="37"/>
      <c r="EO124" s="37"/>
    </row>
    <row r="125" spans="1:145" s="34" customFormat="1">
      <c r="A125" s="46"/>
      <c r="B125" s="78"/>
      <c r="C125" s="74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93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  <c r="DH125" s="37"/>
      <c r="DI125" s="37"/>
      <c r="DJ125" s="37"/>
      <c r="DK125" s="37"/>
      <c r="DL125" s="37"/>
      <c r="DM125" s="37"/>
      <c r="DN125" s="37"/>
      <c r="DO125" s="37"/>
      <c r="DP125" s="37"/>
      <c r="DQ125" s="37"/>
      <c r="DR125" s="37"/>
      <c r="DS125" s="37"/>
      <c r="DT125" s="37"/>
      <c r="DU125" s="37"/>
      <c r="DV125" s="37"/>
      <c r="DW125" s="37"/>
      <c r="DX125" s="37"/>
      <c r="DY125" s="37"/>
      <c r="DZ125" s="37"/>
      <c r="EA125" s="37"/>
      <c r="EB125" s="37"/>
      <c r="EC125" s="37"/>
      <c r="ED125" s="37"/>
      <c r="EE125" s="37"/>
      <c r="EF125" s="37"/>
      <c r="EG125" s="37"/>
      <c r="EH125" s="37"/>
      <c r="EI125" s="37"/>
      <c r="EJ125" s="37"/>
      <c r="EK125" s="37"/>
      <c r="EL125" s="37"/>
      <c r="EM125" s="37"/>
      <c r="EN125" s="37"/>
      <c r="EO125" s="37"/>
    </row>
    <row r="126" spans="1:145" s="34" customFormat="1">
      <c r="A126" s="46">
        <v>11</v>
      </c>
      <c r="B126" s="96" t="s">
        <v>86</v>
      </c>
      <c r="C126" s="74" t="s">
        <v>6</v>
      </c>
      <c r="D126" s="71" cm="1">
        <f t="array" ref="D126">SUMPRODUCT((H_Rate_Class=$B126)*[5]Energy!D$369:D$478)</f>
        <v>0</v>
      </c>
      <c r="E126" s="71" cm="1">
        <f t="array" ref="E126">SUMPRODUCT((H_Rate_Class=$B126)*[5]Energy!E$369:E$478)</f>
        <v>0</v>
      </c>
      <c r="F126" s="71" cm="1">
        <f t="array" ref="F126">SUMPRODUCT((H_Rate_Class=$B126)*[5]Energy!F$369:F$478)</f>
        <v>0</v>
      </c>
      <c r="G126" s="71" cm="1">
        <f t="array" ref="G126">SUMPRODUCT((H_Rate_Class=$B126)*[5]Energy!G$369:G$478)</f>
        <v>0</v>
      </c>
      <c r="H126" s="71" cm="1">
        <f t="array" ref="H126">SUMPRODUCT((H_Rate_Class=$B126)*[5]Energy!H$369:H$478)</f>
        <v>0</v>
      </c>
      <c r="I126" s="71" cm="1">
        <f t="array" ref="I126">SUMPRODUCT((H_Rate_Class=$B126)*[5]Energy!I$369:I$478)</f>
        <v>0</v>
      </c>
      <c r="J126" s="71" cm="1">
        <f t="array" ref="J126">SUMPRODUCT((H_Rate_Class=$B126)*[5]Energy!J$369:J$478)</f>
        <v>0</v>
      </c>
      <c r="K126" s="71" cm="1">
        <f t="array" ref="K126">SUMPRODUCT((H_Rate_Class=$B126)*[5]Energy!K$369:K$478)</f>
        <v>0</v>
      </c>
      <c r="L126" s="71" cm="1">
        <f t="array" ref="L126">SUMPRODUCT((H_Rate_Class=$B126)*[5]Energy!L$369:L$478)</f>
        <v>0</v>
      </c>
      <c r="M126" s="71" cm="1">
        <f t="array" ref="M126">SUMPRODUCT((H_Rate_Class=$B126)*[5]Energy!M$369:M$478)</f>
        <v>0</v>
      </c>
      <c r="N126" s="71" cm="1">
        <f t="array" ref="N126">SUMPRODUCT((H_Rate_Class=$B126)*[5]Energy!N$369:N$478)</f>
        <v>0</v>
      </c>
      <c r="O126" s="71" cm="1">
        <f t="array" ref="O126">SUMPRODUCT((H_Rate_Class=$B126)*[5]Energy!O$369:O$478)</f>
        <v>0</v>
      </c>
      <c r="P126" s="93">
        <f>SUM(D126:O126)</f>
        <v>0</v>
      </c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37"/>
      <c r="DC126" s="37"/>
      <c r="DD126" s="37"/>
      <c r="DE126" s="37"/>
      <c r="DF126" s="37"/>
      <c r="DG126" s="37"/>
      <c r="DH126" s="37"/>
      <c r="DI126" s="37"/>
      <c r="DJ126" s="37"/>
      <c r="DK126" s="37"/>
      <c r="DL126" s="37"/>
      <c r="DM126" s="37"/>
      <c r="DN126" s="37"/>
      <c r="DO126" s="37"/>
      <c r="DP126" s="37"/>
      <c r="DQ126" s="37"/>
      <c r="DR126" s="37"/>
      <c r="DS126" s="37"/>
      <c r="DT126" s="37"/>
      <c r="DU126" s="37"/>
      <c r="DV126" s="37"/>
      <c r="DW126" s="37"/>
      <c r="DX126" s="37"/>
      <c r="DY126" s="37"/>
      <c r="DZ126" s="37"/>
      <c r="EA126" s="37"/>
      <c r="EB126" s="37"/>
      <c r="EC126" s="37"/>
      <c r="ED126" s="37"/>
      <c r="EE126" s="37"/>
      <c r="EF126" s="37"/>
      <c r="EG126" s="37"/>
      <c r="EH126" s="37"/>
      <c r="EI126" s="37"/>
      <c r="EJ126" s="37"/>
      <c r="EK126" s="37"/>
      <c r="EL126" s="37"/>
      <c r="EM126" s="37"/>
      <c r="EN126" s="37"/>
      <c r="EO126" s="37"/>
    </row>
    <row r="127" spans="1:145" s="34" customFormat="1">
      <c r="B127" s="78"/>
      <c r="C127" s="85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71"/>
      <c r="P127" s="71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  <c r="DH127" s="37"/>
      <c r="DI127" s="37"/>
      <c r="DJ127" s="37"/>
      <c r="DK127" s="37"/>
      <c r="DL127" s="37"/>
      <c r="DM127" s="37"/>
      <c r="DN127" s="37"/>
      <c r="DO127" s="37"/>
      <c r="DP127" s="37"/>
      <c r="DQ127" s="37"/>
      <c r="DR127" s="37"/>
      <c r="DS127" s="37"/>
      <c r="DT127" s="37"/>
      <c r="DU127" s="37"/>
      <c r="DV127" s="37"/>
      <c r="DW127" s="37"/>
      <c r="DX127" s="37"/>
      <c r="DY127" s="37"/>
      <c r="DZ127" s="37"/>
      <c r="EA127" s="37"/>
      <c r="EB127" s="37"/>
      <c r="EC127" s="37"/>
      <c r="ED127" s="37"/>
      <c r="EE127" s="37"/>
      <c r="EF127" s="37"/>
      <c r="EG127" s="37"/>
      <c r="EH127" s="37"/>
      <c r="EI127" s="37"/>
      <c r="EJ127" s="37"/>
      <c r="EK127" s="37"/>
      <c r="EL127" s="37"/>
      <c r="EM127" s="37"/>
      <c r="EN127" s="37"/>
      <c r="EO127" s="37"/>
    </row>
    <row r="128" spans="1:145" s="34" customFormat="1">
      <c r="A128" s="46">
        <v>12</v>
      </c>
      <c r="B128" s="68" t="s">
        <v>21</v>
      </c>
      <c r="C128" s="74" t="s">
        <v>4</v>
      </c>
      <c r="D128" s="71" cm="1">
        <f t="array" ref="D128">SUMPRODUCT((H_Rate_Class=$B128)*[5]Energy!D$369:D$478)</f>
        <v>0</v>
      </c>
      <c r="E128" s="71" cm="1">
        <f t="array" ref="E128">SUMPRODUCT((H_Rate_Class=$B128)*[5]Energy!E$369:E$478)</f>
        <v>0</v>
      </c>
      <c r="F128" s="71" cm="1">
        <f t="array" ref="F128">SUMPRODUCT((H_Rate_Class=$B128)*[5]Energy!F$369:F$478)</f>
        <v>0</v>
      </c>
      <c r="G128" s="71" cm="1">
        <f t="array" ref="G128">SUMPRODUCT((H_Rate_Class=$B128)*[5]Energy!G$369:G$478)</f>
        <v>0</v>
      </c>
      <c r="H128" s="71" cm="1">
        <f t="array" ref="H128">SUMPRODUCT((H_Rate_Class=$B128)*[5]Energy!H$369:H$478)</f>
        <v>0</v>
      </c>
      <c r="I128" s="71" cm="1">
        <f t="array" ref="I128">SUMPRODUCT((H_Rate_Class=$B128)*[5]Energy!I$369:I$478)</f>
        <v>0</v>
      </c>
      <c r="J128" s="71" cm="1">
        <f t="array" ref="J128">SUMPRODUCT((H_Rate_Class=$B128)*[5]Energy!J$369:J$478)</f>
        <v>0</v>
      </c>
      <c r="K128" s="71" cm="1">
        <f t="array" ref="K128">SUMPRODUCT((H_Rate_Class=$B128)*[5]Energy!K$369:K$478)</f>
        <v>0</v>
      </c>
      <c r="L128" s="71" cm="1">
        <f t="array" ref="L128">SUMPRODUCT((H_Rate_Class=$B128)*[5]Energy!L$369:L$478)</f>
        <v>0</v>
      </c>
      <c r="M128" s="71" cm="1">
        <f t="array" ref="M128">SUMPRODUCT((H_Rate_Class=$B128)*[5]Energy!M$369:M$478)</f>
        <v>0</v>
      </c>
      <c r="N128" s="71" cm="1">
        <f t="array" ref="N128">SUMPRODUCT((H_Rate_Class=$B128)*[5]Energy!N$369:N$478)</f>
        <v>0</v>
      </c>
      <c r="O128" s="71" cm="1">
        <f t="array" ref="O128">SUMPRODUCT((H_Rate_Class=$B128)*[5]Energy!O$369:O$478)</f>
        <v>0</v>
      </c>
      <c r="P128" s="93">
        <f>SUM(D128:O128)</f>
        <v>0</v>
      </c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C128" s="37"/>
      <c r="DD128" s="37"/>
      <c r="DE128" s="37"/>
      <c r="DF128" s="37"/>
      <c r="DG128" s="37"/>
      <c r="DH128" s="37"/>
      <c r="DI128" s="37"/>
      <c r="DJ128" s="37"/>
      <c r="DK128" s="37"/>
      <c r="DL128" s="37"/>
      <c r="DM128" s="37"/>
      <c r="DN128" s="37"/>
      <c r="DO128" s="37"/>
      <c r="DP128" s="37"/>
      <c r="DQ128" s="37"/>
      <c r="DR128" s="37"/>
      <c r="DS128" s="37"/>
      <c r="DT128" s="37"/>
      <c r="DU128" s="37"/>
      <c r="DV128" s="37"/>
      <c r="DW128" s="37"/>
      <c r="DX128" s="37"/>
      <c r="DY128" s="37"/>
      <c r="DZ128" s="37"/>
      <c r="EA128" s="37"/>
      <c r="EB128" s="37"/>
      <c r="EC128" s="37"/>
      <c r="ED128" s="37"/>
      <c r="EE128" s="37"/>
      <c r="EF128" s="37"/>
      <c r="EG128" s="37"/>
      <c r="EH128" s="37"/>
      <c r="EI128" s="37"/>
      <c r="EJ128" s="37"/>
      <c r="EK128" s="37"/>
      <c r="EL128" s="37"/>
      <c r="EM128" s="37"/>
      <c r="EN128" s="37"/>
      <c r="EO128" s="37"/>
    </row>
    <row r="129" spans="1:145" s="34" customFormat="1">
      <c r="A129" s="46"/>
      <c r="B129" s="78"/>
      <c r="C129" s="85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71"/>
      <c r="P129" s="71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  <c r="DH129" s="37"/>
      <c r="DI129" s="37"/>
      <c r="DJ129" s="37"/>
      <c r="DK129" s="37"/>
      <c r="DL129" s="37"/>
      <c r="DM129" s="37"/>
      <c r="DN129" s="37"/>
      <c r="DO129" s="37"/>
      <c r="DP129" s="37"/>
      <c r="DQ129" s="37"/>
      <c r="DR129" s="37"/>
      <c r="DS129" s="37"/>
      <c r="DT129" s="37"/>
      <c r="DU129" s="37"/>
      <c r="DV129" s="37"/>
      <c r="DW129" s="37"/>
      <c r="DX129" s="37"/>
      <c r="DY129" s="37"/>
      <c r="DZ129" s="37"/>
      <c r="EA129" s="37"/>
      <c r="EB129" s="37"/>
      <c r="EC129" s="37"/>
      <c r="ED129" s="37"/>
      <c r="EE129" s="37"/>
      <c r="EF129" s="37"/>
      <c r="EG129" s="37"/>
      <c r="EH129" s="37"/>
      <c r="EI129" s="37"/>
      <c r="EJ129" s="37"/>
      <c r="EK129" s="37"/>
      <c r="EL129" s="37"/>
      <c r="EM129" s="37"/>
      <c r="EN129" s="37"/>
      <c r="EO129" s="37"/>
    </row>
    <row r="130" spans="1:145" s="34" customFormat="1">
      <c r="A130" s="46">
        <v>13</v>
      </c>
      <c r="B130" s="114" t="s">
        <v>22</v>
      </c>
      <c r="C130" s="143"/>
      <c r="D130" s="115">
        <f>D128+D126+D124+D118+D114+D112</f>
        <v>0</v>
      </c>
      <c r="E130" s="115">
        <f t="shared" ref="E130:P130" si="22">E128+E126+E124+E118+E114+E112</f>
        <v>0</v>
      </c>
      <c r="F130" s="115">
        <f t="shared" si="22"/>
        <v>0</v>
      </c>
      <c r="G130" s="115">
        <f t="shared" si="22"/>
        <v>0</v>
      </c>
      <c r="H130" s="115">
        <f t="shared" si="22"/>
        <v>0</v>
      </c>
      <c r="I130" s="115">
        <f t="shared" si="22"/>
        <v>0</v>
      </c>
      <c r="J130" s="115">
        <f t="shared" si="22"/>
        <v>0</v>
      </c>
      <c r="K130" s="115">
        <f t="shared" si="22"/>
        <v>0</v>
      </c>
      <c r="L130" s="115">
        <f t="shared" si="22"/>
        <v>0</v>
      </c>
      <c r="M130" s="115">
        <f t="shared" si="22"/>
        <v>0</v>
      </c>
      <c r="N130" s="115">
        <f t="shared" si="22"/>
        <v>0</v>
      </c>
      <c r="O130" s="115">
        <f t="shared" si="22"/>
        <v>0</v>
      </c>
      <c r="P130" s="115">
        <f t="shared" si="22"/>
        <v>0</v>
      </c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  <c r="DI130" s="37"/>
      <c r="DJ130" s="37"/>
      <c r="DK130" s="37"/>
      <c r="DL130" s="37"/>
      <c r="DM130" s="37"/>
      <c r="DN130" s="37"/>
      <c r="DO130" s="37"/>
      <c r="DP130" s="37"/>
      <c r="DQ130" s="37"/>
      <c r="DR130" s="37"/>
      <c r="DS130" s="37"/>
      <c r="DT130" s="37"/>
      <c r="DU130" s="37"/>
      <c r="DV130" s="37"/>
      <c r="DW130" s="37"/>
      <c r="DX130" s="37"/>
      <c r="DY130" s="37"/>
      <c r="DZ130" s="37"/>
      <c r="EA130" s="37"/>
      <c r="EB130" s="37"/>
      <c r="EC130" s="37"/>
      <c r="ED130" s="37"/>
      <c r="EE130" s="37"/>
      <c r="EF130" s="37"/>
      <c r="EG130" s="37"/>
      <c r="EH130" s="37"/>
      <c r="EI130" s="37"/>
      <c r="EJ130" s="37"/>
      <c r="EK130" s="37"/>
      <c r="EL130" s="37"/>
      <c r="EM130" s="37"/>
      <c r="EN130" s="37"/>
      <c r="EO130" s="37"/>
    </row>
    <row r="131" spans="1:145" s="34" customFormat="1">
      <c r="B131" s="143"/>
      <c r="C131" s="143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93"/>
      <c r="P131" s="93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7"/>
      <c r="DI131" s="37"/>
      <c r="DJ131" s="37"/>
      <c r="DK131" s="37"/>
      <c r="DL131" s="37"/>
      <c r="DM131" s="37"/>
      <c r="DN131" s="37"/>
      <c r="DO131" s="37"/>
      <c r="DP131" s="37"/>
      <c r="DQ131" s="37"/>
      <c r="DR131" s="37"/>
      <c r="DS131" s="37"/>
      <c r="DT131" s="37"/>
      <c r="DU131" s="37"/>
      <c r="DV131" s="37"/>
      <c r="DW131" s="37"/>
      <c r="DX131" s="37"/>
      <c r="DY131" s="37"/>
      <c r="DZ131" s="37"/>
      <c r="EA131" s="37"/>
      <c r="EB131" s="37"/>
      <c r="EC131" s="37"/>
      <c r="ED131" s="37"/>
      <c r="EE131" s="37"/>
      <c r="EF131" s="37"/>
      <c r="EG131" s="37"/>
      <c r="EH131" s="37"/>
      <c r="EI131" s="37"/>
      <c r="EJ131" s="37"/>
      <c r="EK131" s="37"/>
      <c r="EL131" s="37"/>
      <c r="EM131" s="37"/>
      <c r="EN131" s="37"/>
      <c r="EO131" s="37"/>
    </row>
    <row r="132" spans="1:145" s="34" customFormat="1">
      <c r="A132" s="46">
        <v>14</v>
      </c>
      <c r="B132" s="89" t="s">
        <v>69</v>
      </c>
      <c r="C132" s="74" t="s">
        <v>5</v>
      </c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93">
        <f>SUM(D132:O132)</f>
        <v>0</v>
      </c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  <c r="DH132" s="37"/>
      <c r="DI132" s="37"/>
      <c r="DJ132" s="37"/>
      <c r="DK132" s="37"/>
      <c r="DL132" s="37"/>
      <c r="DM132" s="37"/>
      <c r="DN132" s="37"/>
      <c r="DO132" s="37"/>
      <c r="DP132" s="37"/>
      <c r="DQ132" s="37"/>
      <c r="DR132" s="37"/>
      <c r="DS132" s="37"/>
      <c r="DT132" s="37"/>
      <c r="DU132" s="37"/>
      <c r="DV132" s="37"/>
      <c r="DW132" s="37"/>
      <c r="DX132" s="37"/>
      <c r="DY132" s="37"/>
      <c r="DZ132" s="37"/>
      <c r="EA132" s="37"/>
      <c r="EB132" s="37"/>
      <c r="EC132" s="37"/>
      <c r="ED132" s="37"/>
      <c r="EE132" s="37"/>
      <c r="EF132" s="37"/>
      <c r="EG132" s="37"/>
      <c r="EH132" s="37"/>
      <c r="EI132" s="37"/>
      <c r="EJ132" s="37"/>
      <c r="EK132" s="37"/>
      <c r="EL132" s="37"/>
      <c r="EM132" s="37"/>
      <c r="EN132" s="37"/>
      <c r="EO132" s="37"/>
    </row>
    <row r="133" spans="1:145" s="34" customFormat="1">
      <c r="A133" s="46">
        <v>15</v>
      </c>
      <c r="B133" s="89" t="s">
        <v>70</v>
      </c>
      <c r="C133" s="74" t="s">
        <v>6</v>
      </c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104">
        <f>SUM(D133:O133)</f>
        <v>0</v>
      </c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7"/>
      <c r="DE133" s="37"/>
      <c r="DF133" s="37"/>
      <c r="DG133" s="37"/>
      <c r="DH133" s="37"/>
      <c r="DI133" s="37"/>
      <c r="DJ133" s="37"/>
      <c r="DK133" s="37"/>
      <c r="DL133" s="37"/>
      <c r="DM133" s="37"/>
      <c r="DN133" s="37"/>
      <c r="DO133" s="37"/>
      <c r="DP133" s="37"/>
      <c r="DQ133" s="37"/>
      <c r="DR133" s="37"/>
      <c r="DS133" s="37"/>
      <c r="DT133" s="37"/>
      <c r="DU133" s="37"/>
      <c r="DV133" s="37"/>
      <c r="DW133" s="37"/>
      <c r="DX133" s="37"/>
      <c r="DY133" s="37"/>
      <c r="DZ133" s="37"/>
      <c r="EA133" s="37"/>
      <c r="EB133" s="37"/>
      <c r="EC133" s="37"/>
      <c r="ED133" s="37"/>
      <c r="EE133" s="37"/>
      <c r="EF133" s="37"/>
      <c r="EG133" s="37"/>
      <c r="EH133" s="37"/>
      <c r="EI133" s="37"/>
      <c r="EJ133" s="37"/>
      <c r="EK133" s="37"/>
      <c r="EL133" s="37"/>
      <c r="EM133" s="37"/>
      <c r="EN133" s="37"/>
      <c r="EO133" s="37"/>
    </row>
    <row r="134" spans="1:145" s="34" customFormat="1">
      <c r="A134" s="46">
        <v>16</v>
      </c>
      <c r="B134" s="114" t="s">
        <v>23</v>
      </c>
      <c r="C134" s="145"/>
      <c r="D134" s="100">
        <f t="shared" ref="D134:P134" si="23">SUM(D132:D133)</f>
        <v>0</v>
      </c>
      <c r="E134" s="100">
        <f t="shared" si="23"/>
        <v>0</v>
      </c>
      <c r="F134" s="100">
        <f t="shared" si="23"/>
        <v>0</v>
      </c>
      <c r="G134" s="100">
        <f t="shared" si="23"/>
        <v>0</v>
      </c>
      <c r="H134" s="100">
        <f t="shared" si="23"/>
        <v>0</v>
      </c>
      <c r="I134" s="100">
        <f t="shared" si="23"/>
        <v>0</v>
      </c>
      <c r="J134" s="100">
        <f t="shared" si="23"/>
        <v>0</v>
      </c>
      <c r="K134" s="100">
        <f t="shared" si="23"/>
        <v>0</v>
      </c>
      <c r="L134" s="100">
        <f t="shared" si="23"/>
        <v>0</v>
      </c>
      <c r="M134" s="100">
        <f t="shared" si="23"/>
        <v>0</v>
      </c>
      <c r="N134" s="100">
        <f t="shared" si="23"/>
        <v>0</v>
      </c>
      <c r="O134" s="93">
        <f t="shared" si="23"/>
        <v>0</v>
      </c>
      <c r="P134" s="93">
        <f t="shared" si="23"/>
        <v>0</v>
      </c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7"/>
      <c r="DE134" s="37"/>
      <c r="DF134" s="37"/>
      <c r="DG134" s="37"/>
      <c r="DH134" s="37"/>
      <c r="DI134" s="37"/>
      <c r="DJ134" s="37"/>
      <c r="DK134" s="37"/>
      <c r="DL134" s="37"/>
      <c r="DM134" s="37"/>
      <c r="DN134" s="37"/>
      <c r="DO134" s="37"/>
      <c r="DP134" s="37"/>
      <c r="DQ134" s="37"/>
      <c r="DR134" s="37"/>
      <c r="DS134" s="37"/>
      <c r="DT134" s="37"/>
      <c r="DU134" s="37"/>
      <c r="DV134" s="37"/>
      <c r="DW134" s="37"/>
      <c r="DX134" s="37"/>
      <c r="DY134" s="37"/>
      <c r="DZ134" s="37"/>
      <c r="EA134" s="37"/>
      <c r="EB134" s="37"/>
      <c r="EC134" s="37"/>
      <c r="ED134" s="37"/>
      <c r="EE134" s="37"/>
      <c r="EF134" s="37"/>
      <c r="EG134" s="37"/>
      <c r="EH134" s="37"/>
      <c r="EI134" s="37"/>
      <c r="EJ134" s="37"/>
      <c r="EK134" s="37"/>
      <c r="EL134" s="37"/>
      <c r="EM134" s="37"/>
      <c r="EN134" s="37"/>
      <c r="EO134" s="37"/>
    </row>
    <row r="135" spans="1:145" s="34" customFormat="1">
      <c r="A135" s="46"/>
      <c r="B135" s="78"/>
      <c r="C135" s="116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71"/>
      <c r="P135" s="71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  <c r="DH135" s="37"/>
      <c r="DI135" s="37"/>
      <c r="DJ135" s="37"/>
      <c r="DK135" s="37"/>
      <c r="DL135" s="37"/>
      <c r="DM135" s="37"/>
      <c r="DN135" s="37"/>
      <c r="DO135" s="37"/>
      <c r="DP135" s="37"/>
      <c r="DQ135" s="37"/>
      <c r="DR135" s="37"/>
      <c r="DS135" s="37"/>
      <c r="DT135" s="37"/>
      <c r="DU135" s="37"/>
      <c r="DV135" s="37"/>
      <c r="DW135" s="37"/>
      <c r="DX135" s="37"/>
      <c r="DY135" s="37"/>
      <c r="DZ135" s="37"/>
      <c r="EA135" s="37"/>
      <c r="EB135" s="37"/>
      <c r="EC135" s="37"/>
      <c r="ED135" s="37"/>
      <c r="EE135" s="37"/>
      <c r="EF135" s="37"/>
      <c r="EG135" s="37"/>
      <c r="EH135" s="37"/>
      <c r="EI135" s="37"/>
      <c r="EJ135" s="37"/>
      <c r="EK135" s="37"/>
      <c r="EL135" s="37"/>
      <c r="EM135" s="37"/>
      <c r="EN135" s="37"/>
      <c r="EO135" s="37"/>
    </row>
    <row r="136" spans="1:145" s="34" customFormat="1" ht="12" thickBot="1">
      <c r="A136" s="46">
        <v>17</v>
      </c>
      <c r="B136" s="147" t="s">
        <v>92</v>
      </c>
      <c r="C136" s="145"/>
      <c r="D136" s="148">
        <f t="shared" ref="D136:P136" si="24">+D134+D130</f>
        <v>0</v>
      </c>
      <c r="E136" s="148">
        <f t="shared" si="24"/>
        <v>0</v>
      </c>
      <c r="F136" s="148">
        <f t="shared" si="24"/>
        <v>0</v>
      </c>
      <c r="G136" s="148">
        <f t="shared" si="24"/>
        <v>0</v>
      </c>
      <c r="H136" s="148">
        <f t="shared" si="24"/>
        <v>0</v>
      </c>
      <c r="I136" s="148">
        <f t="shared" si="24"/>
        <v>0</v>
      </c>
      <c r="J136" s="148">
        <f t="shared" si="24"/>
        <v>0</v>
      </c>
      <c r="K136" s="148">
        <f t="shared" si="24"/>
        <v>0</v>
      </c>
      <c r="L136" s="148">
        <f t="shared" si="24"/>
        <v>0</v>
      </c>
      <c r="M136" s="148">
        <f t="shared" si="24"/>
        <v>0</v>
      </c>
      <c r="N136" s="148">
        <f t="shared" si="24"/>
        <v>0</v>
      </c>
      <c r="O136" s="148">
        <f t="shared" si="24"/>
        <v>0</v>
      </c>
      <c r="P136" s="148">
        <f t="shared" si="24"/>
        <v>0</v>
      </c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  <c r="DH136" s="37"/>
      <c r="DI136" s="37"/>
      <c r="DJ136" s="37"/>
      <c r="DK136" s="37"/>
      <c r="DL136" s="37"/>
      <c r="DM136" s="37"/>
      <c r="DN136" s="37"/>
      <c r="DO136" s="37"/>
      <c r="DP136" s="37"/>
      <c r="DQ136" s="37"/>
      <c r="DR136" s="37"/>
      <c r="DS136" s="37"/>
      <c r="DT136" s="37"/>
      <c r="DU136" s="37"/>
      <c r="DV136" s="37"/>
      <c r="DW136" s="37"/>
      <c r="DX136" s="37"/>
      <c r="DY136" s="37"/>
      <c r="DZ136" s="37"/>
      <c r="EA136" s="37"/>
      <c r="EB136" s="37"/>
      <c r="EC136" s="37"/>
      <c r="ED136" s="37"/>
      <c r="EE136" s="37"/>
      <c r="EF136" s="37"/>
      <c r="EG136" s="37"/>
      <c r="EH136" s="37"/>
      <c r="EI136" s="37"/>
      <c r="EJ136" s="37"/>
      <c r="EK136" s="37"/>
      <c r="EL136" s="37"/>
      <c r="EM136" s="37"/>
      <c r="EN136" s="37"/>
      <c r="EO136" s="37"/>
    </row>
    <row r="137" spans="1:145" s="34" customFormat="1" ht="12" thickTop="1">
      <c r="B137" s="367" t="str">
        <f>B7</f>
        <v>AEP TEXAS</v>
      </c>
      <c r="C137" s="367"/>
      <c r="D137" s="367"/>
      <c r="E137" s="367"/>
      <c r="F137" s="367"/>
      <c r="G137" s="367"/>
      <c r="H137" s="367"/>
      <c r="I137" s="367"/>
      <c r="J137" s="367"/>
      <c r="K137" s="367"/>
      <c r="L137" s="367"/>
      <c r="M137" s="367"/>
      <c r="N137" s="367"/>
      <c r="O137" s="367"/>
      <c r="P137" s="36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  <c r="DH137" s="37"/>
      <c r="DI137" s="37"/>
      <c r="DJ137" s="37"/>
      <c r="DK137" s="37"/>
      <c r="DL137" s="37"/>
      <c r="DM137" s="37"/>
      <c r="DN137" s="37"/>
      <c r="DO137" s="37"/>
      <c r="DP137" s="37"/>
      <c r="DQ137" s="37"/>
      <c r="DR137" s="37"/>
      <c r="DS137" s="37"/>
      <c r="DT137" s="37"/>
      <c r="DU137" s="37"/>
      <c r="DV137" s="37"/>
      <c r="DW137" s="37"/>
      <c r="DX137" s="37"/>
      <c r="DY137" s="37"/>
      <c r="DZ137" s="37"/>
      <c r="EA137" s="37"/>
      <c r="EB137" s="37"/>
      <c r="EC137" s="37"/>
      <c r="ED137" s="37"/>
      <c r="EE137" s="37"/>
      <c r="EF137" s="37"/>
      <c r="EG137" s="37"/>
      <c r="EH137" s="37"/>
      <c r="EI137" s="37"/>
      <c r="EJ137" s="37"/>
      <c r="EK137" s="37"/>
      <c r="EL137" s="37"/>
      <c r="EM137" s="37"/>
      <c r="EN137" s="37"/>
      <c r="EO137" s="37"/>
    </row>
    <row r="138" spans="1:145" s="34" customFormat="1">
      <c r="B138" s="367" t="s">
        <v>39</v>
      </c>
      <c r="C138" s="367"/>
      <c r="D138" s="367"/>
      <c r="E138" s="367"/>
      <c r="F138" s="367"/>
      <c r="G138" s="367"/>
      <c r="H138" s="367"/>
      <c r="I138" s="367"/>
      <c r="J138" s="367"/>
      <c r="K138" s="367"/>
      <c r="L138" s="367"/>
      <c r="M138" s="367"/>
      <c r="N138" s="367"/>
      <c r="O138" s="367"/>
      <c r="P138" s="36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7"/>
      <c r="DE138" s="37"/>
      <c r="DF138" s="37"/>
      <c r="DG138" s="37"/>
      <c r="DH138" s="37"/>
      <c r="DI138" s="37"/>
      <c r="DJ138" s="37"/>
      <c r="DK138" s="37"/>
      <c r="DL138" s="37"/>
      <c r="DM138" s="37"/>
      <c r="DN138" s="37"/>
      <c r="DO138" s="37"/>
      <c r="DP138" s="37"/>
      <c r="DQ138" s="37"/>
      <c r="DR138" s="37"/>
      <c r="DS138" s="37"/>
      <c r="DT138" s="37"/>
      <c r="DU138" s="37"/>
      <c r="DV138" s="37"/>
      <c r="DW138" s="37"/>
      <c r="DX138" s="37"/>
      <c r="DY138" s="37"/>
      <c r="DZ138" s="37"/>
      <c r="EA138" s="37"/>
      <c r="EB138" s="37"/>
      <c r="EC138" s="37"/>
      <c r="ED138" s="37"/>
      <c r="EE138" s="37"/>
      <c r="EF138" s="37"/>
      <c r="EG138" s="37"/>
      <c r="EH138" s="37"/>
      <c r="EI138" s="37"/>
      <c r="EJ138" s="37"/>
      <c r="EK138" s="37"/>
      <c r="EL138" s="37"/>
      <c r="EM138" s="37"/>
      <c r="EN138" s="37"/>
      <c r="EO138" s="37"/>
    </row>
    <row r="139" spans="1:145" s="34" customFormat="1">
      <c r="B139" s="367" t="str">
        <f>G9</f>
        <v>FOR TEST YEAR ENDED SEPTEMBER 30, 2023</v>
      </c>
      <c r="C139" s="367"/>
      <c r="D139" s="367"/>
      <c r="E139" s="367"/>
      <c r="F139" s="367"/>
      <c r="G139" s="367"/>
      <c r="H139" s="367"/>
      <c r="I139" s="367"/>
      <c r="J139" s="367"/>
      <c r="K139" s="367"/>
      <c r="L139" s="367"/>
      <c r="M139" s="367"/>
      <c r="N139" s="367"/>
      <c r="O139" s="367"/>
      <c r="P139" s="36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7"/>
      <c r="DE139" s="37"/>
      <c r="DF139" s="37"/>
      <c r="DG139" s="37"/>
      <c r="DH139" s="37"/>
      <c r="DI139" s="37"/>
      <c r="DJ139" s="37"/>
      <c r="DK139" s="37"/>
      <c r="DL139" s="37"/>
      <c r="DM139" s="37"/>
      <c r="DN139" s="37"/>
      <c r="DO139" s="37"/>
      <c r="DP139" s="37"/>
      <c r="DQ139" s="37"/>
      <c r="DR139" s="37"/>
      <c r="DS139" s="37"/>
      <c r="DT139" s="37"/>
      <c r="DU139" s="37"/>
      <c r="DV139" s="37"/>
      <c r="DW139" s="37"/>
      <c r="DX139" s="37"/>
      <c r="DY139" s="37"/>
      <c r="DZ139" s="37"/>
      <c r="EA139" s="37"/>
      <c r="EB139" s="37"/>
      <c r="EC139" s="37"/>
      <c r="ED139" s="37"/>
      <c r="EE139" s="37"/>
      <c r="EF139" s="37"/>
      <c r="EG139" s="37"/>
      <c r="EH139" s="37"/>
      <c r="EI139" s="37"/>
      <c r="EJ139" s="37"/>
      <c r="EK139" s="37"/>
      <c r="EL139" s="37"/>
      <c r="EM139" s="37"/>
      <c r="EN139" s="37"/>
      <c r="EO139" s="37"/>
    </row>
    <row r="140" spans="1:145">
      <c r="A140" s="5"/>
      <c r="B140" s="159"/>
      <c r="C140" s="16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</row>
    <row r="141" spans="1:145">
      <c r="B141" s="99"/>
      <c r="C141" s="161"/>
      <c r="D141" s="162"/>
      <c r="E141" s="100"/>
      <c r="F141" s="100"/>
      <c r="G141" s="163"/>
      <c r="H141" s="100"/>
      <c r="I141" s="100"/>
      <c r="J141" s="94"/>
      <c r="K141" s="100"/>
      <c r="L141" s="100"/>
      <c r="M141" s="100"/>
      <c r="N141" s="100"/>
      <c r="O141" s="100"/>
      <c r="P141" s="100"/>
    </row>
    <row r="142" spans="1:145">
      <c r="A142" s="40" t="s">
        <v>8</v>
      </c>
      <c r="B142" s="145" t="s">
        <v>0</v>
      </c>
      <c r="C142" s="145" t="s">
        <v>7</v>
      </c>
      <c r="D142" s="164" t="str">
        <f>D12</f>
        <v>Oct-22</v>
      </c>
      <c r="E142" s="164" t="str">
        <f>E12</f>
        <v>Nov-22</v>
      </c>
      <c r="F142" s="164" t="str">
        <f>F12</f>
        <v>Dec-22</v>
      </c>
      <c r="G142" s="164" t="str">
        <f>G12</f>
        <v>Jan-23</v>
      </c>
      <c r="H142" s="164" t="str">
        <f t="shared" ref="H142:O142" si="25">H12</f>
        <v>Feb-23</v>
      </c>
      <c r="I142" s="164" t="str">
        <f t="shared" si="25"/>
        <v>Mar-23</v>
      </c>
      <c r="J142" s="164" t="str">
        <f t="shared" si="25"/>
        <v>Apr-23</v>
      </c>
      <c r="K142" s="164" t="str">
        <f t="shared" si="25"/>
        <v>May-23</v>
      </c>
      <c r="L142" s="164" t="str">
        <f t="shared" si="25"/>
        <v>Jun-23</v>
      </c>
      <c r="M142" s="164" t="str">
        <f t="shared" si="25"/>
        <v>Jul-23</v>
      </c>
      <c r="N142" s="164" t="str">
        <f t="shared" si="25"/>
        <v>Aug-23</v>
      </c>
      <c r="O142" s="164" t="str">
        <f t="shared" si="25"/>
        <v>Sep-23</v>
      </c>
      <c r="P142" s="145" t="s">
        <v>2</v>
      </c>
    </row>
    <row r="143" spans="1:145">
      <c r="B143" s="99"/>
      <c r="C143" s="161"/>
      <c r="D143" s="16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</row>
    <row r="144" spans="1:145" s="34" customFormat="1">
      <c r="A144" s="46" t="s">
        <v>9</v>
      </c>
      <c r="B144" s="78" t="s">
        <v>17</v>
      </c>
      <c r="C144" s="85" t="s">
        <v>4</v>
      </c>
      <c r="D144" s="71">
        <f>D112+D78+D46+D14</f>
        <v>1067980290.6646789</v>
      </c>
      <c r="E144" s="71">
        <f t="shared" ref="E144:O144" si="26">E112+E78+E46+E14</f>
        <v>825716734.33270526</v>
      </c>
      <c r="F144" s="71">
        <f t="shared" si="26"/>
        <v>893846790.83543134</v>
      </c>
      <c r="G144" s="71">
        <f>G112+G78+G46+G14</f>
        <v>980946031.83072507</v>
      </c>
      <c r="H144" s="71">
        <f t="shared" si="26"/>
        <v>913435345.83621311</v>
      </c>
      <c r="I144" s="71">
        <f t="shared" si="26"/>
        <v>798567574.12491798</v>
      </c>
      <c r="J144" s="71">
        <f t="shared" si="26"/>
        <v>761312899.95465517</v>
      </c>
      <c r="K144" s="71">
        <f t="shared" si="26"/>
        <v>908081503.1865406</v>
      </c>
      <c r="L144" s="71">
        <f t="shared" si="26"/>
        <v>1196252473.421473</v>
      </c>
      <c r="M144" s="71">
        <f t="shared" si="26"/>
        <v>1414481687.8202775</v>
      </c>
      <c r="N144" s="71">
        <f t="shared" si="26"/>
        <v>1437298291.5315905</v>
      </c>
      <c r="O144" s="71">
        <f t="shared" si="26"/>
        <v>1391962932</v>
      </c>
      <c r="P144" s="93">
        <f>SUM(D144:O144)</f>
        <v>12589882555.539207</v>
      </c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37"/>
      <c r="CD144" s="37"/>
      <c r="CE144" s="37"/>
      <c r="CF144" s="37"/>
      <c r="CG144" s="37"/>
      <c r="CH144" s="37"/>
      <c r="CI144" s="37"/>
      <c r="CJ144" s="37"/>
      <c r="CK144" s="37"/>
      <c r="CL144" s="37"/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  <c r="DB144" s="37"/>
      <c r="DC144" s="37"/>
      <c r="DD144" s="37"/>
      <c r="DE144" s="37"/>
      <c r="DF144" s="37"/>
      <c r="DG144" s="37"/>
      <c r="DH144" s="37"/>
      <c r="DI144" s="37"/>
      <c r="DJ144" s="37"/>
      <c r="DK144" s="37"/>
      <c r="DL144" s="37"/>
      <c r="DM144" s="37"/>
      <c r="DN144" s="37"/>
      <c r="DO144" s="37"/>
      <c r="DP144" s="37"/>
      <c r="DQ144" s="37"/>
      <c r="DR144" s="37"/>
      <c r="DS144" s="37"/>
      <c r="DT144" s="37"/>
      <c r="DU144" s="37"/>
      <c r="DV144" s="37"/>
      <c r="DW144" s="37"/>
      <c r="DX144" s="37"/>
      <c r="DY144" s="37"/>
      <c r="DZ144" s="37"/>
      <c r="EA144" s="37"/>
      <c r="EB144" s="37"/>
      <c r="EC144" s="37"/>
      <c r="ED144" s="37"/>
      <c r="EE144" s="37"/>
      <c r="EF144" s="37"/>
      <c r="EG144" s="37"/>
      <c r="EH144" s="37"/>
      <c r="EI144" s="37"/>
      <c r="EJ144" s="37"/>
      <c r="EK144" s="37"/>
      <c r="EL144" s="37"/>
      <c r="EM144" s="37"/>
      <c r="EN144" s="37"/>
      <c r="EO144" s="37"/>
    </row>
    <row r="145" spans="1:145" s="34" customFormat="1">
      <c r="B145" s="78"/>
      <c r="C145" s="85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93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37"/>
      <c r="CD145" s="37"/>
      <c r="CE145" s="37"/>
      <c r="CF145" s="37"/>
      <c r="CG145" s="37"/>
      <c r="CH145" s="37"/>
      <c r="CI145" s="37"/>
      <c r="CJ145" s="37"/>
      <c r="CK145" s="37"/>
      <c r="CL145" s="37"/>
      <c r="CM145" s="37"/>
      <c r="CN145" s="37"/>
      <c r="CO145" s="37"/>
      <c r="CP145" s="37"/>
      <c r="CQ145" s="37"/>
      <c r="CR145" s="37"/>
      <c r="CS145" s="37"/>
      <c r="CT145" s="37"/>
      <c r="CU145" s="37"/>
      <c r="CV145" s="37"/>
      <c r="CW145" s="37"/>
      <c r="CX145" s="37"/>
      <c r="CY145" s="37"/>
      <c r="CZ145" s="37"/>
      <c r="DA145" s="37"/>
      <c r="DB145" s="37"/>
      <c r="DC145" s="37"/>
      <c r="DD145" s="37"/>
      <c r="DE145" s="37"/>
      <c r="DF145" s="37"/>
      <c r="DG145" s="37"/>
      <c r="DH145" s="37"/>
      <c r="DI145" s="37"/>
      <c r="DJ145" s="37"/>
      <c r="DK145" s="37"/>
      <c r="DL145" s="37"/>
      <c r="DM145" s="37"/>
      <c r="DN145" s="37"/>
      <c r="DO145" s="37"/>
      <c r="DP145" s="37"/>
      <c r="DQ145" s="37"/>
      <c r="DR145" s="37"/>
      <c r="DS145" s="37"/>
      <c r="DT145" s="37"/>
      <c r="DU145" s="37"/>
      <c r="DV145" s="37"/>
      <c r="DW145" s="37"/>
      <c r="DX145" s="37"/>
      <c r="DY145" s="37"/>
      <c r="DZ145" s="37"/>
      <c r="EA145" s="37"/>
      <c r="EB145" s="37"/>
      <c r="EC145" s="37"/>
      <c r="ED145" s="37"/>
      <c r="EE145" s="37"/>
      <c r="EF145" s="37"/>
      <c r="EG145" s="37"/>
      <c r="EH145" s="37"/>
      <c r="EI145" s="37"/>
      <c r="EJ145" s="37"/>
      <c r="EK145" s="37"/>
      <c r="EL145" s="37"/>
      <c r="EM145" s="37"/>
      <c r="EN145" s="37"/>
      <c r="EO145" s="37"/>
    </row>
    <row r="146" spans="1:145" s="34" customFormat="1">
      <c r="A146" s="46">
        <v>2</v>
      </c>
      <c r="B146" s="78" t="s">
        <v>150</v>
      </c>
      <c r="C146" s="85" t="s">
        <v>4</v>
      </c>
      <c r="D146" s="71">
        <f t="shared" ref="D146:O146" si="27">D114+D80+D48+D16</f>
        <v>57430278.964473493</v>
      </c>
      <c r="E146" s="71">
        <f t="shared" si="27"/>
        <v>50937153.645738997</v>
      </c>
      <c r="F146" s="71">
        <f t="shared" si="27"/>
        <v>53035584.552179441</v>
      </c>
      <c r="G146" s="71">
        <f t="shared" si="27"/>
        <v>54461759.453364298</v>
      </c>
      <c r="H146" s="71">
        <f t="shared" si="27"/>
        <v>50329421.788713671</v>
      </c>
      <c r="I146" s="71">
        <f t="shared" si="27"/>
        <v>47995946.015022576</v>
      </c>
      <c r="J146" s="71">
        <f t="shared" si="27"/>
        <v>48239289.110161997</v>
      </c>
      <c r="K146" s="71">
        <f t="shared" si="27"/>
        <v>51825300.504434936</v>
      </c>
      <c r="L146" s="71">
        <f t="shared" si="27"/>
        <v>58949602.765033543</v>
      </c>
      <c r="M146" s="71">
        <f t="shared" si="27"/>
        <v>65051075.449223742</v>
      </c>
      <c r="N146" s="71">
        <f t="shared" si="27"/>
        <v>67201962.060353607</v>
      </c>
      <c r="O146" s="71">
        <f t="shared" si="27"/>
        <v>66642731.806424491</v>
      </c>
      <c r="P146" s="93">
        <f>SUM(D146:O146)</f>
        <v>672100106.11512482</v>
      </c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37"/>
      <c r="CD146" s="37"/>
      <c r="CE146" s="37"/>
      <c r="CF146" s="37"/>
      <c r="CG146" s="37"/>
      <c r="CH146" s="37"/>
      <c r="CI146" s="37"/>
      <c r="CJ146" s="37"/>
      <c r="CK146" s="37"/>
      <c r="CL146" s="37"/>
      <c r="CM146" s="37"/>
      <c r="CN146" s="37"/>
      <c r="CO146" s="37"/>
      <c r="CP146" s="37"/>
      <c r="CQ146" s="37"/>
      <c r="CR146" s="37"/>
      <c r="CS146" s="37"/>
      <c r="CT146" s="37"/>
      <c r="CU146" s="37"/>
      <c r="CV146" s="37"/>
      <c r="CW146" s="37"/>
      <c r="CX146" s="37"/>
      <c r="CY146" s="37"/>
      <c r="CZ146" s="37"/>
      <c r="DA146" s="37"/>
      <c r="DB146" s="37"/>
      <c r="DC146" s="37"/>
      <c r="DD146" s="37"/>
      <c r="DE146" s="37"/>
      <c r="DF146" s="37"/>
      <c r="DG146" s="37"/>
      <c r="DH146" s="37"/>
      <c r="DI146" s="37"/>
      <c r="DJ146" s="37"/>
      <c r="DK146" s="37"/>
      <c r="DL146" s="37"/>
      <c r="DM146" s="37"/>
      <c r="DN146" s="37"/>
      <c r="DO146" s="37"/>
      <c r="DP146" s="37"/>
      <c r="DQ146" s="37"/>
      <c r="DR146" s="37"/>
      <c r="DS146" s="37"/>
      <c r="DT146" s="37"/>
      <c r="DU146" s="37"/>
      <c r="DV146" s="37"/>
      <c r="DW146" s="37"/>
      <c r="DX146" s="37"/>
      <c r="DY146" s="37"/>
      <c r="DZ146" s="37"/>
      <c r="EA146" s="37"/>
      <c r="EB146" s="37"/>
      <c r="EC146" s="37"/>
      <c r="ED146" s="37"/>
      <c r="EE146" s="37"/>
      <c r="EF146" s="37"/>
      <c r="EG146" s="37"/>
      <c r="EH146" s="37"/>
      <c r="EI146" s="37"/>
      <c r="EJ146" s="37"/>
      <c r="EK146" s="37"/>
      <c r="EL146" s="37"/>
      <c r="EM146" s="37"/>
      <c r="EN146" s="37"/>
      <c r="EO146" s="37"/>
    </row>
    <row r="147" spans="1:145" s="34" customFormat="1">
      <c r="A147" s="46"/>
      <c r="B147" s="78"/>
      <c r="C147" s="85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93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/>
      <c r="CB147" s="37"/>
      <c r="CC147" s="37"/>
      <c r="CD147" s="37"/>
      <c r="CE147" s="37"/>
      <c r="CF147" s="37"/>
      <c r="CG147" s="37"/>
      <c r="CH147" s="37"/>
      <c r="CI147" s="37"/>
      <c r="CJ147" s="37"/>
      <c r="CK147" s="37"/>
      <c r="CL147" s="37"/>
      <c r="CM147" s="37"/>
      <c r="CN147" s="37"/>
      <c r="CO147" s="37"/>
      <c r="CP147" s="37"/>
      <c r="CQ147" s="37"/>
      <c r="CR147" s="37"/>
      <c r="CS147" s="37"/>
      <c r="CT147" s="37"/>
      <c r="CU147" s="37"/>
      <c r="CV147" s="37"/>
      <c r="CW147" s="37"/>
      <c r="CX147" s="37"/>
      <c r="CY147" s="37"/>
      <c r="CZ147" s="37"/>
      <c r="DA147" s="37"/>
      <c r="DB147" s="37"/>
      <c r="DC147" s="37"/>
      <c r="DD147" s="37"/>
      <c r="DE147" s="37"/>
      <c r="DF147" s="37"/>
      <c r="DG147" s="37"/>
      <c r="DH147" s="37"/>
      <c r="DI147" s="37"/>
      <c r="DJ147" s="37"/>
      <c r="DK147" s="37"/>
      <c r="DL147" s="37"/>
      <c r="DM147" s="37"/>
      <c r="DN147" s="37"/>
      <c r="DO147" s="37"/>
      <c r="DP147" s="37"/>
      <c r="DQ147" s="37"/>
      <c r="DR147" s="37"/>
      <c r="DS147" s="37"/>
      <c r="DT147" s="37"/>
      <c r="DU147" s="37"/>
      <c r="DV147" s="37"/>
      <c r="DW147" s="37"/>
      <c r="DX147" s="37"/>
      <c r="DY147" s="37"/>
      <c r="DZ147" s="37"/>
      <c r="EA147" s="37"/>
      <c r="EB147" s="37"/>
      <c r="EC147" s="37"/>
      <c r="ED147" s="37"/>
      <c r="EE147" s="37"/>
      <c r="EF147" s="37"/>
      <c r="EG147" s="37"/>
      <c r="EH147" s="37"/>
      <c r="EI147" s="37"/>
      <c r="EJ147" s="37"/>
      <c r="EK147" s="37"/>
      <c r="EL147" s="37"/>
      <c r="EM147" s="37"/>
      <c r="EN147" s="37"/>
      <c r="EO147" s="37"/>
    </row>
    <row r="148" spans="1:145" s="34" customFormat="1">
      <c r="A148" s="46">
        <v>3</v>
      </c>
      <c r="B148" s="87" t="s">
        <v>81</v>
      </c>
      <c r="C148" s="74" t="s">
        <v>4</v>
      </c>
      <c r="D148" s="71">
        <f t="shared" ref="D148:O148" si="28">D116+D82+D50+D18</f>
        <v>697653943.19932687</v>
      </c>
      <c r="E148" s="71">
        <f t="shared" si="28"/>
        <v>603010415.69969797</v>
      </c>
      <c r="F148" s="71">
        <f>F116+F82+F50+F18</f>
        <v>591482903.07577598</v>
      </c>
      <c r="G148" s="71">
        <f t="shared" si="28"/>
        <v>585728895.45468128</v>
      </c>
      <c r="H148" s="71">
        <f t="shared" si="28"/>
        <v>534598222.48369199</v>
      </c>
      <c r="I148" s="71">
        <f t="shared" si="28"/>
        <v>541472851.16418147</v>
      </c>
      <c r="J148" s="71">
        <f t="shared" si="28"/>
        <v>573952925.23580158</v>
      </c>
      <c r="K148" s="71">
        <f t="shared" si="28"/>
        <v>628029495.87047982</v>
      </c>
      <c r="L148" s="71">
        <f t="shared" si="28"/>
        <v>727111692.4973861</v>
      </c>
      <c r="M148" s="71">
        <f t="shared" si="28"/>
        <v>793957821.98207116</v>
      </c>
      <c r="N148" s="71">
        <f t="shared" si="28"/>
        <v>805980043.93300474</v>
      </c>
      <c r="O148" s="71">
        <f t="shared" si="28"/>
        <v>812511214.0622921</v>
      </c>
      <c r="P148" s="93">
        <f>SUM(D148:O148)</f>
        <v>7895490424.658391</v>
      </c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  <c r="BT148" s="37"/>
      <c r="BU148" s="37"/>
      <c r="BV148" s="37"/>
      <c r="BW148" s="37"/>
      <c r="BX148" s="37"/>
      <c r="BY148" s="37"/>
      <c r="BZ148" s="37"/>
      <c r="CA148" s="37"/>
      <c r="CB148" s="37"/>
      <c r="CC148" s="37"/>
      <c r="CD148" s="37"/>
      <c r="CE148" s="37"/>
      <c r="CF148" s="37"/>
      <c r="CG148" s="37"/>
      <c r="CH148" s="37"/>
      <c r="CI148" s="37"/>
      <c r="CJ148" s="37"/>
      <c r="CK148" s="37"/>
      <c r="CL148" s="37"/>
      <c r="CM148" s="37"/>
      <c r="CN148" s="37"/>
      <c r="CO148" s="37"/>
      <c r="CP148" s="37"/>
      <c r="CQ148" s="37"/>
      <c r="CR148" s="37"/>
      <c r="CS148" s="37"/>
      <c r="CT148" s="37"/>
      <c r="CU148" s="37"/>
      <c r="CV148" s="37"/>
      <c r="CW148" s="37"/>
      <c r="CX148" s="37"/>
      <c r="CY148" s="37"/>
      <c r="CZ148" s="37"/>
      <c r="DA148" s="37"/>
      <c r="DB148" s="37"/>
      <c r="DC148" s="37"/>
      <c r="DD148" s="37"/>
      <c r="DE148" s="37"/>
      <c r="DF148" s="37"/>
      <c r="DG148" s="37"/>
      <c r="DH148" s="37"/>
      <c r="DI148" s="37"/>
      <c r="DJ148" s="37"/>
      <c r="DK148" s="37"/>
      <c r="DL148" s="37"/>
      <c r="DM148" s="37"/>
      <c r="DN148" s="37"/>
      <c r="DO148" s="37"/>
      <c r="DP148" s="37"/>
      <c r="DQ148" s="37"/>
      <c r="DR148" s="37"/>
      <c r="DS148" s="37"/>
      <c r="DT148" s="37"/>
      <c r="DU148" s="37"/>
      <c r="DV148" s="37"/>
      <c r="DW148" s="37"/>
      <c r="DX148" s="37"/>
      <c r="DY148" s="37"/>
      <c r="DZ148" s="37"/>
      <c r="EA148" s="37"/>
      <c r="EB148" s="37"/>
      <c r="EC148" s="37"/>
      <c r="ED148" s="37"/>
      <c r="EE148" s="37"/>
      <c r="EF148" s="37"/>
      <c r="EG148" s="37"/>
      <c r="EH148" s="37"/>
      <c r="EI148" s="37"/>
      <c r="EJ148" s="37"/>
      <c r="EK148" s="37"/>
      <c r="EL148" s="37"/>
      <c r="EM148" s="37"/>
      <c r="EN148" s="37"/>
      <c r="EO148" s="37"/>
    </row>
    <row r="149" spans="1:145" s="34" customFormat="1">
      <c r="A149" s="46">
        <v>4</v>
      </c>
      <c r="B149" s="87" t="s">
        <v>85</v>
      </c>
      <c r="C149" s="74" t="s">
        <v>4</v>
      </c>
      <c r="D149" s="72">
        <f t="shared" ref="D149:O149" si="29">D117+D83+D51+D19</f>
        <v>116765887.37657116</v>
      </c>
      <c r="E149" s="72">
        <f t="shared" si="29"/>
        <v>102285421.98294079</v>
      </c>
      <c r="F149" s="72">
        <f t="shared" si="29"/>
        <v>104987604.64304611</v>
      </c>
      <c r="G149" s="72">
        <f t="shared" si="29"/>
        <v>100356297.04042733</v>
      </c>
      <c r="H149" s="72">
        <f t="shared" si="29"/>
        <v>91526054.223568887</v>
      </c>
      <c r="I149" s="72">
        <f t="shared" si="29"/>
        <v>93155971.159528241</v>
      </c>
      <c r="J149" s="72">
        <f t="shared" si="29"/>
        <v>100713274.75452843</v>
      </c>
      <c r="K149" s="72">
        <f t="shared" si="29"/>
        <v>103702101.76600096</v>
      </c>
      <c r="L149" s="72">
        <f t="shared" si="29"/>
        <v>114944947.63612479</v>
      </c>
      <c r="M149" s="72">
        <f t="shared" si="29"/>
        <v>120104525.22712271</v>
      </c>
      <c r="N149" s="72">
        <f t="shared" si="29"/>
        <v>125383084.91556361</v>
      </c>
      <c r="O149" s="72">
        <f t="shared" si="29"/>
        <v>135641611.94287211</v>
      </c>
      <c r="P149" s="72">
        <f>SUM(D149:O149)</f>
        <v>1309566782.6682951</v>
      </c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37"/>
      <c r="CD149" s="37"/>
      <c r="CE149" s="37"/>
      <c r="CF149" s="37"/>
      <c r="CG149" s="37"/>
      <c r="CH149" s="37"/>
      <c r="CI149" s="37"/>
      <c r="CJ149" s="37"/>
      <c r="CK149" s="37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37"/>
      <c r="CX149" s="37"/>
      <c r="CY149" s="37"/>
      <c r="CZ149" s="37"/>
      <c r="DA149" s="37"/>
      <c r="DB149" s="37"/>
      <c r="DC149" s="37"/>
      <c r="DD149" s="37"/>
      <c r="DE149" s="37"/>
      <c r="DF149" s="37"/>
      <c r="DG149" s="37"/>
      <c r="DH149" s="37"/>
      <c r="DI149" s="37"/>
      <c r="DJ149" s="37"/>
      <c r="DK149" s="37"/>
      <c r="DL149" s="37"/>
      <c r="DM149" s="37"/>
      <c r="DN149" s="37"/>
      <c r="DO149" s="37"/>
      <c r="DP149" s="37"/>
      <c r="DQ149" s="37"/>
      <c r="DR149" s="37"/>
      <c r="DS149" s="37"/>
      <c r="DT149" s="37"/>
      <c r="DU149" s="37"/>
      <c r="DV149" s="37"/>
      <c r="DW149" s="37"/>
      <c r="DX149" s="37"/>
      <c r="DY149" s="37"/>
      <c r="DZ149" s="37"/>
      <c r="EA149" s="37"/>
      <c r="EB149" s="37"/>
      <c r="EC149" s="37"/>
      <c r="ED149" s="37"/>
      <c r="EE149" s="37"/>
      <c r="EF149" s="37"/>
      <c r="EG149" s="37"/>
      <c r="EH149" s="37"/>
      <c r="EI149" s="37"/>
      <c r="EJ149" s="37"/>
      <c r="EK149" s="37"/>
      <c r="EL149" s="37"/>
      <c r="EM149" s="37"/>
      <c r="EN149" s="37"/>
      <c r="EO149" s="37"/>
    </row>
    <row r="150" spans="1:145" s="34" customFormat="1">
      <c r="A150" s="46">
        <v>5</v>
      </c>
      <c r="B150" s="96" t="s">
        <v>18</v>
      </c>
      <c r="C150" s="85"/>
      <c r="D150" s="94">
        <f t="shared" ref="D150:P150" si="30">SUM(D148:D149)</f>
        <v>814419830.57589805</v>
      </c>
      <c r="E150" s="94">
        <f t="shared" si="30"/>
        <v>705295837.68263876</v>
      </c>
      <c r="F150" s="94">
        <f t="shared" si="30"/>
        <v>696470507.71882212</v>
      </c>
      <c r="G150" s="94">
        <f t="shared" si="30"/>
        <v>686085192.4951086</v>
      </c>
      <c r="H150" s="94">
        <f t="shared" si="30"/>
        <v>626124276.70726085</v>
      </c>
      <c r="I150" s="94">
        <f t="shared" si="30"/>
        <v>634628822.32370973</v>
      </c>
      <c r="J150" s="94">
        <f t="shared" si="30"/>
        <v>674666199.99032998</v>
      </c>
      <c r="K150" s="94">
        <f t="shared" si="30"/>
        <v>731731597.63648081</v>
      </c>
      <c r="L150" s="94">
        <f t="shared" si="30"/>
        <v>842056640.13351083</v>
      </c>
      <c r="M150" s="94">
        <f t="shared" si="30"/>
        <v>914062347.20919383</v>
      </c>
      <c r="N150" s="94">
        <f t="shared" si="30"/>
        <v>931363128.84856832</v>
      </c>
      <c r="O150" s="94">
        <f t="shared" si="30"/>
        <v>948152826.00516415</v>
      </c>
      <c r="P150" s="94">
        <f t="shared" si="30"/>
        <v>9205057207.3266869</v>
      </c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/>
      <c r="CB150" s="37"/>
      <c r="CC150" s="37"/>
      <c r="CD150" s="37"/>
      <c r="CE150" s="37"/>
      <c r="CF150" s="37"/>
      <c r="CG150" s="37"/>
      <c r="CH150" s="37"/>
      <c r="CI150" s="37"/>
      <c r="CJ150" s="37"/>
      <c r="CK150" s="37"/>
      <c r="CL150" s="37"/>
      <c r="CM150" s="37"/>
      <c r="CN150" s="37"/>
      <c r="CO150" s="37"/>
      <c r="CP150" s="37"/>
      <c r="CQ150" s="37"/>
      <c r="CR150" s="37"/>
      <c r="CS150" s="37"/>
      <c r="CT150" s="37"/>
      <c r="CU150" s="37"/>
      <c r="CV150" s="37"/>
      <c r="CW150" s="37"/>
      <c r="CX150" s="37"/>
      <c r="CY150" s="37"/>
      <c r="CZ150" s="37"/>
      <c r="DA150" s="37"/>
      <c r="DB150" s="37"/>
      <c r="DC150" s="37"/>
      <c r="DD150" s="37"/>
      <c r="DE150" s="37"/>
      <c r="DF150" s="37"/>
      <c r="DG150" s="37"/>
      <c r="DH150" s="37"/>
      <c r="DI150" s="37"/>
      <c r="DJ150" s="37"/>
      <c r="DK150" s="37"/>
      <c r="DL150" s="37"/>
      <c r="DM150" s="37"/>
      <c r="DN150" s="37"/>
      <c r="DO150" s="37"/>
      <c r="DP150" s="37"/>
      <c r="DQ150" s="37"/>
      <c r="DR150" s="37"/>
      <c r="DS150" s="37"/>
      <c r="DT150" s="37"/>
      <c r="DU150" s="37"/>
      <c r="DV150" s="37"/>
      <c r="DW150" s="37"/>
      <c r="DX150" s="37"/>
      <c r="DY150" s="37"/>
      <c r="DZ150" s="37"/>
      <c r="EA150" s="37"/>
      <c r="EB150" s="37"/>
      <c r="EC150" s="37"/>
      <c r="ED150" s="37"/>
      <c r="EE150" s="37"/>
      <c r="EF150" s="37"/>
      <c r="EG150" s="37"/>
      <c r="EH150" s="37"/>
      <c r="EI150" s="37"/>
      <c r="EJ150" s="37"/>
      <c r="EK150" s="37"/>
      <c r="EL150" s="37"/>
      <c r="EM150" s="37"/>
      <c r="EN150" s="37"/>
      <c r="EO150" s="37"/>
    </row>
    <row r="151" spans="1:145" s="34" customFormat="1">
      <c r="B151" s="146"/>
      <c r="C151" s="85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71"/>
      <c r="P151" s="71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37"/>
      <c r="CD151" s="37"/>
      <c r="CE151" s="37"/>
      <c r="CF151" s="37"/>
      <c r="CG151" s="37"/>
      <c r="CH151" s="37"/>
      <c r="CI151" s="37"/>
      <c r="CJ151" s="37"/>
      <c r="CK151" s="37"/>
      <c r="CL151" s="37"/>
      <c r="CM151" s="37"/>
      <c r="CN151" s="37"/>
      <c r="CO151" s="37"/>
      <c r="CP151" s="37"/>
      <c r="CQ151" s="37"/>
      <c r="CR151" s="37"/>
      <c r="CS151" s="37"/>
      <c r="CT151" s="37"/>
      <c r="CU151" s="37"/>
      <c r="CV151" s="37"/>
      <c r="CW151" s="37"/>
      <c r="CX151" s="37"/>
      <c r="CY151" s="37"/>
      <c r="CZ151" s="37"/>
      <c r="DA151" s="37"/>
      <c r="DB151" s="37"/>
      <c r="DC151" s="37"/>
      <c r="DD151" s="37"/>
      <c r="DE151" s="37"/>
      <c r="DF151" s="37"/>
      <c r="DG151" s="37"/>
      <c r="DH151" s="37"/>
      <c r="DI151" s="37"/>
      <c r="DJ151" s="37"/>
      <c r="DK151" s="37"/>
      <c r="DL151" s="37"/>
      <c r="DM151" s="37"/>
      <c r="DN151" s="37"/>
      <c r="DO151" s="37"/>
      <c r="DP151" s="37"/>
      <c r="DQ151" s="37"/>
      <c r="DR151" s="37"/>
      <c r="DS151" s="37"/>
      <c r="DT151" s="37"/>
      <c r="DU151" s="37"/>
      <c r="DV151" s="37"/>
      <c r="DW151" s="37"/>
      <c r="DX151" s="37"/>
      <c r="DY151" s="37"/>
      <c r="DZ151" s="37"/>
      <c r="EA151" s="37"/>
      <c r="EB151" s="37"/>
      <c r="EC151" s="37"/>
      <c r="ED151" s="37"/>
      <c r="EE151" s="37"/>
      <c r="EF151" s="37"/>
      <c r="EG151" s="37"/>
      <c r="EH151" s="37"/>
      <c r="EI151" s="37"/>
      <c r="EJ151" s="37"/>
      <c r="EK151" s="37"/>
      <c r="EL151" s="37"/>
      <c r="EM151" s="37"/>
      <c r="EN151" s="37"/>
      <c r="EO151" s="37"/>
    </row>
    <row r="152" spans="1:145" s="34" customFormat="1">
      <c r="A152" s="46">
        <v>6</v>
      </c>
      <c r="B152" s="87" t="s">
        <v>82</v>
      </c>
      <c r="C152" s="74" t="s">
        <v>5</v>
      </c>
      <c r="D152" s="71">
        <f t="shared" ref="D152:O152" si="31">D120+D86+D54+D22</f>
        <v>19344043.861576576</v>
      </c>
      <c r="E152" s="71">
        <f t="shared" si="31"/>
        <v>19135850.910337258</v>
      </c>
      <c r="F152" s="71">
        <f t="shared" si="31"/>
        <v>20922063.51920829</v>
      </c>
      <c r="G152" s="71">
        <f t="shared" si="31"/>
        <v>19102852.518899161</v>
      </c>
      <c r="H152" s="71">
        <f t="shared" si="31"/>
        <v>19068893.020237453</v>
      </c>
      <c r="I152" s="71">
        <f t="shared" si="31"/>
        <v>20436953.540026963</v>
      </c>
      <c r="J152" s="71">
        <f t="shared" si="31"/>
        <v>22261730.925218262</v>
      </c>
      <c r="K152" s="71">
        <f t="shared" si="31"/>
        <v>24918982.078362141</v>
      </c>
      <c r="L152" s="71">
        <f t="shared" si="31"/>
        <v>23221070.929929174</v>
      </c>
      <c r="M152" s="71">
        <f t="shared" si="31"/>
        <v>23709312.332026597</v>
      </c>
      <c r="N152" s="71">
        <f t="shared" si="31"/>
        <v>24181741.918374259</v>
      </c>
      <c r="O152" s="71">
        <f t="shared" si="31"/>
        <v>24854155.439014714</v>
      </c>
      <c r="P152" s="93">
        <f>SUM(D152:O152)</f>
        <v>261157650.99321082</v>
      </c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7"/>
      <c r="CX152" s="37"/>
      <c r="CY152" s="37"/>
      <c r="CZ152" s="37"/>
      <c r="DA152" s="37"/>
      <c r="DB152" s="37"/>
      <c r="DC152" s="37"/>
      <c r="DD152" s="37"/>
      <c r="DE152" s="37"/>
      <c r="DF152" s="37"/>
      <c r="DG152" s="37"/>
      <c r="DH152" s="37"/>
      <c r="DI152" s="37"/>
      <c r="DJ152" s="37"/>
      <c r="DK152" s="37"/>
      <c r="DL152" s="37"/>
      <c r="DM152" s="37"/>
      <c r="DN152" s="37"/>
      <c r="DO152" s="37"/>
      <c r="DP152" s="37"/>
      <c r="DQ152" s="37"/>
      <c r="DR152" s="37"/>
      <c r="DS152" s="37"/>
      <c r="DT152" s="37"/>
      <c r="DU152" s="37"/>
      <c r="DV152" s="37"/>
      <c r="DW152" s="37"/>
      <c r="DX152" s="37"/>
      <c r="DY152" s="37"/>
      <c r="DZ152" s="37"/>
      <c r="EA152" s="37"/>
      <c r="EB152" s="37"/>
      <c r="EC152" s="37"/>
      <c r="ED152" s="37"/>
      <c r="EE152" s="37"/>
      <c r="EF152" s="37"/>
      <c r="EG152" s="37"/>
      <c r="EH152" s="37"/>
      <c r="EI152" s="37"/>
      <c r="EJ152" s="37"/>
      <c r="EK152" s="37"/>
      <c r="EL152" s="37"/>
      <c r="EM152" s="37"/>
      <c r="EN152" s="37"/>
      <c r="EO152" s="37"/>
    </row>
    <row r="153" spans="1:145" s="34" customFormat="1">
      <c r="A153" s="46">
        <v>7</v>
      </c>
      <c r="B153" s="87" t="s">
        <v>83</v>
      </c>
      <c r="C153" s="74" t="s">
        <v>5</v>
      </c>
      <c r="D153" s="84">
        <f t="shared" ref="D153:O153" si="32">D121+D87+D55+D23</f>
        <v>316352739.67820555</v>
      </c>
      <c r="E153" s="84">
        <f t="shared" si="32"/>
        <v>302036508.16694713</v>
      </c>
      <c r="F153" s="84">
        <f t="shared" si="32"/>
        <v>303411486.98406917</v>
      </c>
      <c r="G153" s="84">
        <f t="shared" si="32"/>
        <v>314637748.55188</v>
      </c>
      <c r="H153" s="84">
        <f t="shared" si="32"/>
        <v>283427081.57837814</v>
      </c>
      <c r="I153" s="84">
        <f t="shared" si="32"/>
        <v>287798282.99832267</v>
      </c>
      <c r="J153" s="84">
        <f t="shared" si="32"/>
        <v>305581769.32568163</v>
      </c>
      <c r="K153" s="84">
        <f t="shared" si="32"/>
        <v>304814853.5707891</v>
      </c>
      <c r="L153" s="84">
        <f t="shared" si="32"/>
        <v>328031886.38594055</v>
      </c>
      <c r="M153" s="84">
        <f t="shared" si="32"/>
        <v>331969419.51202011</v>
      </c>
      <c r="N153" s="84">
        <f t="shared" si="32"/>
        <v>336854909.517214</v>
      </c>
      <c r="O153" s="84">
        <f t="shared" si="32"/>
        <v>343197331.74939668</v>
      </c>
      <c r="P153" s="103">
        <f>SUM(D153:O153)</f>
        <v>3758114018.0188446</v>
      </c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37"/>
      <c r="CD153" s="37"/>
      <c r="CE153" s="37"/>
      <c r="CF153" s="37"/>
      <c r="CG153" s="37"/>
      <c r="CH153" s="37"/>
      <c r="CI153" s="37"/>
      <c r="CJ153" s="37"/>
      <c r="CK153" s="37"/>
      <c r="CL153" s="37"/>
      <c r="CM153" s="37"/>
      <c r="CN153" s="37"/>
      <c r="CO153" s="37"/>
      <c r="CP153" s="37"/>
      <c r="CQ153" s="37"/>
      <c r="CR153" s="37"/>
      <c r="CS153" s="37"/>
      <c r="CT153" s="37"/>
      <c r="CU153" s="37"/>
      <c r="CV153" s="37"/>
      <c r="CW153" s="37"/>
      <c r="CX153" s="37"/>
      <c r="CY153" s="37"/>
      <c r="CZ153" s="37"/>
      <c r="DA153" s="37"/>
      <c r="DB153" s="37"/>
      <c r="DC153" s="37"/>
      <c r="DD153" s="37"/>
      <c r="DE153" s="37"/>
      <c r="DF153" s="37"/>
      <c r="DG153" s="37"/>
      <c r="DH153" s="37"/>
      <c r="DI153" s="37"/>
      <c r="DJ153" s="37"/>
      <c r="DK153" s="37"/>
      <c r="DL153" s="37"/>
      <c r="DM153" s="37"/>
      <c r="DN153" s="37"/>
      <c r="DO153" s="37"/>
      <c r="DP153" s="37"/>
      <c r="DQ153" s="37"/>
      <c r="DR153" s="37"/>
      <c r="DS153" s="37"/>
      <c r="DT153" s="37"/>
      <c r="DU153" s="37"/>
      <c r="DV153" s="37"/>
      <c r="DW153" s="37"/>
      <c r="DX153" s="37"/>
      <c r="DY153" s="37"/>
      <c r="DZ153" s="37"/>
      <c r="EA153" s="37"/>
      <c r="EB153" s="37"/>
      <c r="EC153" s="37"/>
      <c r="ED153" s="37"/>
      <c r="EE153" s="37"/>
      <c r="EF153" s="37"/>
      <c r="EG153" s="37"/>
      <c r="EH153" s="37"/>
      <c r="EI153" s="37"/>
      <c r="EJ153" s="37"/>
      <c r="EK153" s="37"/>
      <c r="EL153" s="37"/>
      <c r="EM153" s="37"/>
      <c r="EN153" s="37"/>
      <c r="EO153" s="37"/>
    </row>
    <row r="154" spans="1:145" s="34" customFormat="1">
      <c r="A154" s="46">
        <v>8</v>
      </c>
      <c r="B154" s="87" t="s">
        <v>148</v>
      </c>
      <c r="C154" s="74" t="s">
        <v>5</v>
      </c>
      <c r="D154" s="84">
        <f t="shared" ref="D154:O154" si="33">D122+D88+D56+D24</f>
        <v>431400</v>
      </c>
      <c r="E154" s="84">
        <f t="shared" si="33"/>
        <v>410400</v>
      </c>
      <c r="F154" s="84">
        <f t="shared" si="33"/>
        <v>467000</v>
      </c>
      <c r="G154" s="84">
        <f t="shared" si="33"/>
        <v>366800</v>
      </c>
      <c r="H154" s="84">
        <f t="shared" si="33"/>
        <v>371400</v>
      </c>
      <c r="I154" s="84">
        <f t="shared" si="33"/>
        <v>472200</v>
      </c>
      <c r="J154" s="84">
        <f t="shared" si="33"/>
        <v>495400</v>
      </c>
      <c r="K154" s="84">
        <f t="shared" si="33"/>
        <v>550400</v>
      </c>
      <c r="L154" s="84">
        <f t="shared" si="33"/>
        <v>592800</v>
      </c>
      <c r="M154" s="84">
        <f t="shared" si="33"/>
        <v>591600</v>
      </c>
      <c r="N154" s="84">
        <f t="shared" si="33"/>
        <v>553200</v>
      </c>
      <c r="O154" s="84">
        <f t="shared" si="33"/>
        <v>578000</v>
      </c>
      <c r="P154" s="103">
        <f t="shared" ref="P154:P155" si="34">SUM(D154:O154)</f>
        <v>5880600</v>
      </c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37"/>
      <c r="CD154" s="37"/>
      <c r="CE154" s="37"/>
      <c r="CF154" s="37"/>
      <c r="CG154" s="37"/>
      <c r="CH154" s="37"/>
      <c r="CI154" s="37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37"/>
      <c r="CX154" s="37"/>
      <c r="CY154" s="37"/>
      <c r="CZ154" s="37"/>
      <c r="DA154" s="37"/>
      <c r="DB154" s="37"/>
      <c r="DC154" s="37"/>
      <c r="DD154" s="37"/>
      <c r="DE154" s="37"/>
      <c r="DF154" s="37"/>
      <c r="DG154" s="37"/>
      <c r="DH154" s="37"/>
      <c r="DI154" s="37"/>
      <c r="DJ154" s="37"/>
      <c r="DK154" s="37"/>
      <c r="DL154" s="37"/>
      <c r="DM154" s="37"/>
      <c r="DN154" s="37"/>
      <c r="DO154" s="37"/>
      <c r="DP154" s="37"/>
      <c r="DQ154" s="37"/>
      <c r="DR154" s="37"/>
      <c r="DS154" s="37"/>
      <c r="DT154" s="37"/>
      <c r="DU154" s="37"/>
      <c r="DV154" s="37"/>
      <c r="DW154" s="37"/>
      <c r="DX154" s="37"/>
      <c r="DY154" s="37"/>
      <c r="DZ154" s="37"/>
      <c r="EA154" s="37"/>
      <c r="EB154" s="37"/>
      <c r="EC154" s="37"/>
      <c r="ED154" s="37"/>
      <c r="EE154" s="37"/>
      <c r="EF154" s="37"/>
      <c r="EG154" s="37"/>
      <c r="EH154" s="37"/>
      <c r="EI154" s="37"/>
      <c r="EJ154" s="37"/>
      <c r="EK154" s="37"/>
      <c r="EL154" s="37"/>
      <c r="EM154" s="37"/>
      <c r="EN154" s="37"/>
      <c r="EO154" s="37"/>
    </row>
    <row r="155" spans="1:145" s="34" customFormat="1">
      <c r="A155" s="46">
        <v>9</v>
      </c>
      <c r="B155" s="87" t="s">
        <v>149</v>
      </c>
      <c r="C155" s="74" t="s">
        <v>5</v>
      </c>
      <c r="D155" s="84">
        <f t="shared" ref="D155:O155" si="35">D123+D89+D57+D25</f>
        <v>47509460</v>
      </c>
      <c r="E155" s="84">
        <f t="shared" si="35"/>
        <v>42370760</v>
      </c>
      <c r="F155" s="84">
        <f t="shared" si="35"/>
        <v>45245780</v>
      </c>
      <c r="G155" s="84">
        <f t="shared" si="35"/>
        <v>48271520</v>
      </c>
      <c r="H155" s="84">
        <f t="shared" si="35"/>
        <v>46462940</v>
      </c>
      <c r="I155" s="84">
        <f t="shared" si="35"/>
        <v>39455100</v>
      </c>
      <c r="J155" s="84">
        <f t="shared" si="35"/>
        <v>44769280</v>
      </c>
      <c r="K155" s="84">
        <f t="shared" si="35"/>
        <v>41432480</v>
      </c>
      <c r="L155" s="84">
        <f t="shared" si="35"/>
        <v>41083840</v>
      </c>
      <c r="M155" s="84">
        <f t="shared" si="35"/>
        <v>34412140</v>
      </c>
      <c r="N155" s="84">
        <f t="shared" si="35"/>
        <v>31610100</v>
      </c>
      <c r="O155" s="84">
        <f t="shared" si="35"/>
        <v>37295980</v>
      </c>
      <c r="P155" s="103">
        <f t="shared" si="34"/>
        <v>499919380</v>
      </c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37"/>
      <c r="CD155" s="37"/>
      <c r="CE155" s="37"/>
      <c r="CF155" s="37"/>
      <c r="CG155" s="37"/>
      <c r="CH155" s="37"/>
      <c r="CI155" s="37"/>
      <c r="CJ155" s="37"/>
      <c r="CK155" s="37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37"/>
      <c r="CX155" s="37"/>
      <c r="CY155" s="37"/>
      <c r="CZ155" s="37"/>
      <c r="DA155" s="37"/>
      <c r="DB155" s="37"/>
      <c r="DC155" s="37"/>
      <c r="DD155" s="37"/>
      <c r="DE155" s="37"/>
      <c r="DF155" s="37"/>
      <c r="DG155" s="37"/>
      <c r="DH155" s="37"/>
      <c r="DI155" s="37"/>
      <c r="DJ155" s="37"/>
      <c r="DK155" s="37"/>
      <c r="DL155" s="37"/>
      <c r="DM155" s="37"/>
      <c r="DN155" s="37"/>
      <c r="DO155" s="37"/>
      <c r="DP155" s="37"/>
      <c r="DQ155" s="37"/>
      <c r="DR155" s="37"/>
      <c r="DS155" s="37"/>
      <c r="DT155" s="37"/>
      <c r="DU155" s="37"/>
      <c r="DV155" s="37"/>
      <c r="DW155" s="37"/>
      <c r="DX155" s="37"/>
      <c r="DY155" s="37"/>
      <c r="DZ155" s="37"/>
      <c r="EA155" s="37"/>
      <c r="EB155" s="37"/>
      <c r="EC155" s="37"/>
      <c r="ED155" s="37"/>
      <c r="EE155" s="37"/>
      <c r="EF155" s="37"/>
      <c r="EG155" s="37"/>
      <c r="EH155" s="37"/>
      <c r="EI155" s="37"/>
      <c r="EJ155" s="37"/>
      <c r="EK155" s="37"/>
      <c r="EL155" s="37"/>
      <c r="EM155" s="37"/>
      <c r="EN155" s="37"/>
      <c r="EO155" s="37"/>
    </row>
    <row r="156" spans="1:145" s="34" customFormat="1">
      <c r="A156" s="46">
        <v>10</v>
      </c>
      <c r="B156" s="78" t="s">
        <v>19</v>
      </c>
      <c r="C156" s="74"/>
      <c r="D156" s="218">
        <f>SUM(D152:D155)</f>
        <v>383637643.53978211</v>
      </c>
      <c r="E156" s="218">
        <f t="shared" ref="E156:P156" si="36">SUM(E152:E155)</f>
        <v>363953519.0772844</v>
      </c>
      <c r="F156" s="218">
        <f t="shared" si="36"/>
        <v>370046330.50327748</v>
      </c>
      <c r="G156" s="218">
        <f t="shared" si="36"/>
        <v>382378921.07077914</v>
      </c>
      <c r="H156" s="218">
        <f t="shared" si="36"/>
        <v>349330314.59861559</v>
      </c>
      <c r="I156" s="218">
        <f t="shared" si="36"/>
        <v>348162536.53834963</v>
      </c>
      <c r="J156" s="218">
        <f t="shared" si="36"/>
        <v>373108180.25089991</v>
      </c>
      <c r="K156" s="218">
        <f t="shared" si="36"/>
        <v>371716715.64915127</v>
      </c>
      <c r="L156" s="218">
        <f t="shared" si="36"/>
        <v>392929597.31586975</v>
      </c>
      <c r="M156" s="218">
        <f t="shared" si="36"/>
        <v>390682471.84404671</v>
      </c>
      <c r="N156" s="218">
        <f t="shared" si="36"/>
        <v>393199951.43558824</v>
      </c>
      <c r="O156" s="218">
        <f t="shared" si="36"/>
        <v>405925467.18841141</v>
      </c>
      <c r="P156" s="218">
        <f t="shared" si="36"/>
        <v>4525071649.0120554</v>
      </c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37"/>
      <c r="CD156" s="37"/>
      <c r="CE156" s="37"/>
      <c r="CF156" s="37"/>
      <c r="CG156" s="37"/>
      <c r="CH156" s="37"/>
      <c r="CI156" s="37"/>
      <c r="CJ156" s="37"/>
      <c r="CK156" s="37"/>
      <c r="CL156" s="37"/>
      <c r="CM156" s="37"/>
      <c r="CN156" s="37"/>
      <c r="CO156" s="37"/>
      <c r="CP156" s="37"/>
      <c r="CQ156" s="37"/>
      <c r="CR156" s="37"/>
      <c r="CS156" s="37"/>
      <c r="CT156" s="37"/>
      <c r="CU156" s="37"/>
      <c r="CV156" s="37"/>
      <c r="CW156" s="37"/>
      <c r="CX156" s="37"/>
      <c r="CY156" s="37"/>
      <c r="CZ156" s="37"/>
      <c r="DA156" s="37"/>
      <c r="DB156" s="37"/>
      <c r="DC156" s="37"/>
      <c r="DD156" s="37"/>
      <c r="DE156" s="37"/>
      <c r="DF156" s="37"/>
      <c r="DG156" s="37"/>
      <c r="DH156" s="37"/>
      <c r="DI156" s="37"/>
      <c r="DJ156" s="37"/>
      <c r="DK156" s="37"/>
      <c r="DL156" s="37"/>
      <c r="DM156" s="37"/>
      <c r="DN156" s="37"/>
      <c r="DO156" s="37"/>
      <c r="DP156" s="37"/>
      <c r="DQ156" s="37"/>
      <c r="DR156" s="37"/>
      <c r="DS156" s="37"/>
      <c r="DT156" s="37"/>
      <c r="DU156" s="37"/>
      <c r="DV156" s="37"/>
      <c r="DW156" s="37"/>
      <c r="DX156" s="37"/>
      <c r="DY156" s="37"/>
      <c r="DZ156" s="37"/>
      <c r="EA156" s="37"/>
      <c r="EB156" s="37"/>
      <c r="EC156" s="37"/>
      <c r="ED156" s="37"/>
      <c r="EE156" s="37"/>
      <c r="EF156" s="37"/>
      <c r="EG156" s="37"/>
      <c r="EH156" s="37"/>
      <c r="EI156" s="37"/>
      <c r="EJ156" s="37"/>
      <c r="EK156" s="37"/>
      <c r="EL156" s="37"/>
      <c r="EM156" s="37"/>
      <c r="EN156" s="37"/>
      <c r="EO156" s="37"/>
    </row>
    <row r="157" spans="1:145" s="34" customFormat="1">
      <c r="A157" s="46"/>
      <c r="B157" s="78"/>
      <c r="C157" s="74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93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  <c r="DI157" s="37"/>
      <c r="DJ157" s="37"/>
      <c r="DK157" s="37"/>
      <c r="DL157" s="37"/>
      <c r="DM157" s="37"/>
      <c r="DN157" s="37"/>
      <c r="DO157" s="37"/>
      <c r="DP157" s="37"/>
      <c r="DQ157" s="37"/>
      <c r="DR157" s="37"/>
      <c r="DS157" s="37"/>
      <c r="DT157" s="37"/>
      <c r="DU157" s="37"/>
      <c r="DV157" s="37"/>
      <c r="DW157" s="37"/>
      <c r="DX157" s="37"/>
      <c r="DY157" s="37"/>
      <c r="DZ157" s="37"/>
      <c r="EA157" s="37"/>
      <c r="EB157" s="37"/>
      <c r="EC157" s="37"/>
      <c r="ED157" s="37"/>
      <c r="EE157" s="37"/>
      <c r="EF157" s="37"/>
      <c r="EG157" s="37"/>
      <c r="EH157" s="37"/>
      <c r="EI157" s="37"/>
      <c r="EJ157" s="37"/>
      <c r="EK157" s="37"/>
      <c r="EL157" s="37"/>
      <c r="EM157" s="37"/>
      <c r="EN157" s="37"/>
      <c r="EO157" s="37"/>
    </row>
    <row r="158" spans="1:145" s="34" customFormat="1">
      <c r="A158" s="46">
        <v>11</v>
      </c>
      <c r="B158" s="96" t="s">
        <v>86</v>
      </c>
      <c r="C158" s="74" t="s">
        <v>6</v>
      </c>
      <c r="D158" s="71">
        <f t="shared" ref="D158:O158" si="37">D126+D92+D60+D28</f>
        <v>737853054.826087</v>
      </c>
      <c r="E158" s="71">
        <f t="shared" si="37"/>
        <v>947067324.75815213</v>
      </c>
      <c r="F158" s="71">
        <f t="shared" si="37"/>
        <v>844950429.26164591</v>
      </c>
      <c r="G158" s="71">
        <f t="shared" si="37"/>
        <v>956461881.86214626</v>
      </c>
      <c r="H158" s="71">
        <f t="shared" si="37"/>
        <v>893511560.66287625</v>
      </c>
      <c r="I158" s="71">
        <f t="shared" si="37"/>
        <v>944877031.30434787</v>
      </c>
      <c r="J158" s="71">
        <f t="shared" si="37"/>
        <v>901590905.42943144</v>
      </c>
      <c r="K158" s="71">
        <f t="shared" si="37"/>
        <v>941598336.90559006</v>
      </c>
      <c r="L158" s="71">
        <f t="shared" si="37"/>
        <v>1011764550.8441471</v>
      </c>
      <c r="M158" s="71">
        <f t="shared" si="37"/>
        <v>919285926.03489697</v>
      </c>
      <c r="N158" s="71">
        <f t="shared" si="37"/>
        <v>960186321.30666661</v>
      </c>
      <c r="O158" s="71">
        <f t="shared" si="37"/>
        <v>976549432</v>
      </c>
      <c r="P158" s="93">
        <f>SUM(D158:O158)</f>
        <v>11035696755.195988</v>
      </c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  <c r="CE158" s="37"/>
      <c r="CF158" s="37"/>
      <c r="CG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  <c r="CX158" s="37"/>
      <c r="CY158" s="37"/>
      <c r="CZ158" s="37"/>
      <c r="DA158" s="37"/>
      <c r="DB158" s="37"/>
      <c r="DC158" s="37"/>
      <c r="DD158" s="37"/>
      <c r="DE158" s="37"/>
      <c r="DF158" s="37"/>
      <c r="DG158" s="37"/>
      <c r="DH158" s="37"/>
      <c r="DI158" s="37"/>
      <c r="DJ158" s="37"/>
      <c r="DK158" s="37"/>
      <c r="DL158" s="37"/>
      <c r="DM158" s="37"/>
      <c r="DN158" s="37"/>
      <c r="DO158" s="37"/>
      <c r="DP158" s="37"/>
      <c r="DQ158" s="37"/>
      <c r="DR158" s="37"/>
      <c r="DS158" s="37"/>
      <c r="DT158" s="37"/>
      <c r="DU158" s="37"/>
      <c r="DV158" s="37"/>
      <c r="DW158" s="37"/>
      <c r="DX158" s="37"/>
      <c r="DY158" s="37"/>
      <c r="DZ158" s="37"/>
      <c r="EA158" s="37"/>
      <c r="EB158" s="37"/>
      <c r="EC158" s="37"/>
      <c r="ED158" s="37"/>
      <c r="EE158" s="37"/>
      <c r="EF158" s="37"/>
      <c r="EG158" s="37"/>
      <c r="EH158" s="37"/>
      <c r="EI158" s="37"/>
      <c r="EJ158" s="37"/>
      <c r="EK158" s="37"/>
      <c r="EL158" s="37"/>
      <c r="EM158" s="37"/>
      <c r="EN158" s="37"/>
      <c r="EO158" s="37"/>
    </row>
    <row r="159" spans="1:145" s="34" customFormat="1">
      <c r="B159" s="78"/>
      <c r="C159" s="85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37"/>
      <c r="CD159" s="37"/>
      <c r="CE159" s="37"/>
      <c r="CF159" s="37"/>
      <c r="CG159" s="37"/>
      <c r="CH159" s="37"/>
      <c r="CI159" s="37"/>
      <c r="CJ159" s="37"/>
      <c r="CK159" s="37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  <c r="CX159" s="37"/>
      <c r="CY159" s="37"/>
      <c r="CZ159" s="37"/>
      <c r="DA159" s="37"/>
      <c r="DB159" s="37"/>
      <c r="DC159" s="37"/>
      <c r="DD159" s="37"/>
      <c r="DE159" s="37"/>
      <c r="DF159" s="37"/>
      <c r="DG159" s="37"/>
      <c r="DH159" s="37"/>
      <c r="DI159" s="37"/>
      <c r="DJ159" s="37"/>
      <c r="DK159" s="37"/>
      <c r="DL159" s="37"/>
      <c r="DM159" s="37"/>
      <c r="DN159" s="37"/>
      <c r="DO159" s="37"/>
      <c r="DP159" s="37"/>
      <c r="DQ159" s="37"/>
      <c r="DR159" s="37"/>
      <c r="DS159" s="37"/>
      <c r="DT159" s="37"/>
      <c r="DU159" s="37"/>
      <c r="DV159" s="37"/>
      <c r="DW159" s="37"/>
      <c r="DX159" s="37"/>
      <c r="DY159" s="37"/>
      <c r="DZ159" s="37"/>
      <c r="EA159" s="37"/>
      <c r="EB159" s="37"/>
      <c r="EC159" s="37"/>
      <c r="ED159" s="37"/>
      <c r="EE159" s="37"/>
      <c r="EF159" s="37"/>
      <c r="EG159" s="37"/>
      <c r="EH159" s="37"/>
      <c r="EI159" s="37"/>
      <c r="EJ159" s="37"/>
      <c r="EK159" s="37"/>
      <c r="EL159" s="37"/>
      <c r="EM159" s="37"/>
      <c r="EN159" s="37"/>
      <c r="EO159" s="37"/>
    </row>
    <row r="160" spans="1:145" s="34" customFormat="1">
      <c r="A160" s="46">
        <v>12</v>
      </c>
      <c r="B160" s="68" t="s">
        <v>21</v>
      </c>
      <c r="C160" s="74" t="s">
        <v>4</v>
      </c>
      <c r="D160" s="71">
        <f t="shared" ref="D160:O160" si="38">D128+D94+D62+D30</f>
        <v>19878215.055548441</v>
      </c>
      <c r="E160" s="71">
        <f t="shared" si="38"/>
        <v>19877163.401279073</v>
      </c>
      <c r="F160" s="71">
        <f t="shared" si="38"/>
        <v>19819032.829883296</v>
      </c>
      <c r="G160" s="71">
        <f t="shared" si="38"/>
        <v>19875381.252961341</v>
      </c>
      <c r="H160" s="71">
        <f t="shared" si="38"/>
        <v>19785862.350225057</v>
      </c>
      <c r="I160" s="71">
        <f t="shared" si="38"/>
        <v>19940312.000107892</v>
      </c>
      <c r="J160" s="71">
        <f t="shared" si="38"/>
        <v>19900942.51453552</v>
      </c>
      <c r="K160" s="71">
        <f t="shared" si="38"/>
        <v>19825835.270421423</v>
      </c>
      <c r="L160" s="71">
        <f t="shared" si="38"/>
        <v>19861747.182818942</v>
      </c>
      <c r="M160" s="71">
        <f t="shared" si="38"/>
        <v>19864556.462428343</v>
      </c>
      <c r="N160" s="71">
        <f t="shared" si="38"/>
        <v>19828590.284821521</v>
      </c>
      <c r="O160" s="71">
        <f t="shared" si="38"/>
        <v>19927259</v>
      </c>
      <c r="P160" s="93">
        <f>SUM(D160:O160)</f>
        <v>238384897.60503083</v>
      </c>
      <c r="Q160" s="42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37"/>
      <c r="CD160" s="37"/>
      <c r="CE160" s="37"/>
      <c r="CF160" s="37"/>
      <c r="CG160" s="37"/>
      <c r="CH160" s="37"/>
      <c r="CI160" s="37"/>
      <c r="CJ160" s="37"/>
      <c r="CK160" s="37"/>
      <c r="CL160" s="37"/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  <c r="CX160" s="37"/>
      <c r="CY160" s="37"/>
      <c r="CZ160" s="37"/>
      <c r="DA160" s="37"/>
      <c r="DB160" s="37"/>
      <c r="DC160" s="37"/>
      <c r="DD160" s="37"/>
      <c r="DE160" s="37"/>
      <c r="DF160" s="37"/>
      <c r="DG160" s="37"/>
      <c r="DH160" s="37"/>
      <c r="DI160" s="37"/>
      <c r="DJ160" s="37"/>
      <c r="DK160" s="37"/>
      <c r="DL160" s="37"/>
      <c r="DM160" s="37"/>
      <c r="DN160" s="37"/>
      <c r="DO160" s="37"/>
      <c r="DP160" s="37"/>
      <c r="DQ160" s="37"/>
      <c r="DR160" s="37"/>
      <c r="DS160" s="37"/>
      <c r="DT160" s="37"/>
      <c r="DU160" s="37"/>
      <c r="DV160" s="37"/>
      <c r="DW160" s="37"/>
      <c r="DX160" s="37"/>
      <c r="DY160" s="37"/>
      <c r="DZ160" s="37"/>
      <c r="EA160" s="37"/>
      <c r="EB160" s="37"/>
      <c r="EC160" s="37"/>
      <c r="ED160" s="37"/>
      <c r="EE160" s="37"/>
      <c r="EF160" s="37"/>
      <c r="EG160" s="37"/>
      <c r="EH160" s="37"/>
      <c r="EI160" s="37"/>
      <c r="EJ160" s="37"/>
      <c r="EK160" s="37"/>
      <c r="EL160" s="37"/>
      <c r="EM160" s="37"/>
      <c r="EN160" s="37"/>
      <c r="EO160" s="37"/>
    </row>
    <row r="161" spans="1:145" s="34" customFormat="1">
      <c r="A161" s="46"/>
      <c r="B161" s="78"/>
      <c r="C161" s="85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71"/>
      <c r="P161" s="71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  <c r="CE161" s="37"/>
      <c r="CF161" s="37"/>
      <c r="CG161" s="37"/>
      <c r="CH161" s="37"/>
      <c r="CI161" s="37"/>
      <c r="CJ161" s="37"/>
      <c r="CK161" s="37"/>
      <c r="CL161" s="37"/>
      <c r="CM161" s="37"/>
      <c r="CN161" s="37"/>
      <c r="CO161" s="37"/>
      <c r="CP161" s="37"/>
      <c r="CQ161" s="37"/>
      <c r="CR161" s="37"/>
      <c r="CS161" s="37"/>
      <c r="CT161" s="37"/>
      <c r="CU161" s="37"/>
      <c r="CV161" s="37"/>
      <c r="CW161" s="37"/>
      <c r="CX161" s="37"/>
      <c r="CY161" s="37"/>
      <c r="CZ161" s="37"/>
      <c r="DA161" s="37"/>
      <c r="DB161" s="37"/>
      <c r="DC161" s="37"/>
      <c r="DD161" s="37"/>
      <c r="DE161" s="37"/>
      <c r="DF161" s="37"/>
      <c r="DG161" s="37"/>
      <c r="DH161" s="37"/>
      <c r="DI161" s="37"/>
      <c r="DJ161" s="37"/>
      <c r="DK161" s="37"/>
      <c r="DL161" s="37"/>
      <c r="DM161" s="37"/>
      <c r="DN161" s="37"/>
      <c r="DO161" s="37"/>
      <c r="DP161" s="37"/>
      <c r="DQ161" s="37"/>
      <c r="DR161" s="37"/>
      <c r="DS161" s="37"/>
      <c r="DT161" s="37"/>
      <c r="DU161" s="37"/>
      <c r="DV161" s="37"/>
      <c r="DW161" s="37"/>
      <c r="DX161" s="37"/>
      <c r="DY161" s="37"/>
      <c r="DZ161" s="37"/>
      <c r="EA161" s="37"/>
      <c r="EB161" s="37"/>
      <c r="EC161" s="37"/>
      <c r="ED161" s="37"/>
      <c r="EE161" s="37"/>
      <c r="EF161" s="37"/>
      <c r="EG161" s="37"/>
      <c r="EH161" s="37"/>
      <c r="EI161" s="37"/>
      <c r="EJ161" s="37"/>
      <c r="EK161" s="37"/>
      <c r="EL161" s="37"/>
      <c r="EM161" s="37"/>
      <c r="EN161" s="37"/>
      <c r="EO161" s="37"/>
    </row>
    <row r="162" spans="1:145" s="34" customFormat="1">
      <c r="A162" s="46">
        <v>13</v>
      </c>
      <c r="B162" s="114" t="s">
        <v>22</v>
      </c>
      <c r="C162" s="143"/>
      <c r="D162" s="115">
        <f>D160+D158+D156+D150+D146+D144</f>
        <v>3081199313.6264677</v>
      </c>
      <c r="E162" s="115">
        <f t="shared" ref="E162:P162" si="39">E160+E158+E156+E150+E146+E144</f>
        <v>2912847732.8977985</v>
      </c>
      <c r="F162" s="115">
        <f t="shared" si="39"/>
        <v>2878168675.7012396</v>
      </c>
      <c r="G162" s="115">
        <f t="shared" si="39"/>
        <v>3080209167.965085</v>
      </c>
      <c r="H162" s="115">
        <f t="shared" si="39"/>
        <v>2852516781.9439049</v>
      </c>
      <c r="I162" s="115">
        <f t="shared" si="39"/>
        <v>2794172222.3064556</v>
      </c>
      <c r="J162" s="115">
        <f t="shared" si="39"/>
        <v>2778818417.2500143</v>
      </c>
      <c r="K162" s="115">
        <f t="shared" si="39"/>
        <v>3024779289.1526189</v>
      </c>
      <c r="L162" s="115">
        <f t="shared" si="39"/>
        <v>3521814611.6628532</v>
      </c>
      <c r="M162" s="115">
        <f t="shared" si="39"/>
        <v>3723428064.8200665</v>
      </c>
      <c r="N162" s="115">
        <f t="shared" si="39"/>
        <v>3809078245.4675889</v>
      </c>
      <c r="O162" s="115">
        <f t="shared" si="39"/>
        <v>3809160648.0000005</v>
      </c>
      <c r="P162" s="115">
        <f t="shared" si="39"/>
        <v>38266193170.79409</v>
      </c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37"/>
      <c r="CD162" s="37"/>
      <c r="CE162" s="37"/>
      <c r="CF162" s="37"/>
      <c r="CG162" s="37"/>
      <c r="CH162" s="37"/>
      <c r="CI162" s="37"/>
      <c r="CJ162" s="37"/>
      <c r="CK162" s="37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37"/>
      <c r="CX162" s="37"/>
      <c r="CY162" s="37"/>
      <c r="CZ162" s="37"/>
      <c r="DA162" s="37"/>
      <c r="DB162" s="37"/>
      <c r="DC162" s="37"/>
      <c r="DD162" s="37"/>
      <c r="DE162" s="37"/>
      <c r="DF162" s="37"/>
      <c r="DG162" s="37"/>
      <c r="DH162" s="37"/>
      <c r="DI162" s="37"/>
      <c r="DJ162" s="37"/>
      <c r="DK162" s="37"/>
      <c r="DL162" s="37"/>
      <c r="DM162" s="37"/>
      <c r="DN162" s="37"/>
      <c r="DO162" s="37"/>
      <c r="DP162" s="37"/>
      <c r="DQ162" s="37"/>
      <c r="DR162" s="37"/>
      <c r="DS162" s="37"/>
      <c r="DT162" s="37"/>
      <c r="DU162" s="37"/>
      <c r="DV162" s="37"/>
      <c r="DW162" s="37"/>
      <c r="DX162" s="37"/>
      <c r="DY162" s="37"/>
      <c r="DZ162" s="37"/>
      <c r="EA162" s="37"/>
      <c r="EB162" s="37"/>
      <c r="EC162" s="37"/>
      <c r="ED162" s="37"/>
      <c r="EE162" s="37"/>
      <c r="EF162" s="37"/>
      <c r="EG162" s="37"/>
      <c r="EH162" s="37"/>
      <c r="EI162" s="37"/>
      <c r="EJ162" s="37"/>
      <c r="EK162" s="37"/>
      <c r="EL162" s="37"/>
      <c r="EM162" s="37"/>
      <c r="EN162" s="37"/>
      <c r="EO162" s="37"/>
    </row>
    <row r="163" spans="1:145" s="34" customFormat="1">
      <c r="B163" s="143"/>
      <c r="C163" s="143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93"/>
      <c r="P163" s="93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37"/>
      <c r="CD163" s="37"/>
      <c r="CE163" s="37"/>
      <c r="CF163" s="37"/>
      <c r="CG163" s="37"/>
      <c r="CH163" s="37"/>
      <c r="CI163" s="37"/>
      <c r="CJ163" s="37"/>
      <c r="CK163" s="37"/>
      <c r="CL163" s="37"/>
      <c r="CM163" s="37"/>
      <c r="CN163" s="37"/>
      <c r="CO163" s="37"/>
      <c r="CP163" s="37"/>
      <c r="CQ163" s="37"/>
      <c r="CR163" s="37"/>
      <c r="CS163" s="37"/>
      <c r="CT163" s="37"/>
      <c r="CU163" s="37"/>
      <c r="CV163" s="37"/>
      <c r="CW163" s="37"/>
      <c r="CX163" s="37"/>
      <c r="CY163" s="37"/>
      <c r="CZ163" s="37"/>
      <c r="DA163" s="37"/>
      <c r="DB163" s="37"/>
      <c r="DC163" s="37"/>
      <c r="DD163" s="37"/>
      <c r="DE163" s="37"/>
      <c r="DF163" s="37"/>
      <c r="DG163" s="37"/>
      <c r="DH163" s="37"/>
      <c r="DI163" s="37"/>
      <c r="DJ163" s="37"/>
      <c r="DK163" s="37"/>
      <c r="DL163" s="37"/>
      <c r="DM163" s="37"/>
      <c r="DN163" s="37"/>
      <c r="DO163" s="37"/>
      <c r="DP163" s="37"/>
      <c r="DQ163" s="37"/>
      <c r="DR163" s="37"/>
      <c r="DS163" s="37"/>
      <c r="DT163" s="37"/>
      <c r="DU163" s="37"/>
      <c r="DV163" s="37"/>
      <c r="DW163" s="37"/>
      <c r="DX163" s="37"/>
      <c r="DY163" s="37"/>
      <c r="DZ163" s="37"/>
      <c r="EA163" s="37"/>
      <c r="EB163" s="37"/>
      <c r="EC163" s="37"/>
      <c r="ED163" s="37"/>
      <c r="EE163" s="37"/>
      <c r="EF163" s="37"/>
      <c r="EG163" s="37"/>
      <c r="EH163" s="37"/>
      <c r="EI163" s="37"/>
      <c r="EJ163" s="37"/>
      <c r="EK163" s="37"/>
      <c r="EL163" s="37"/>
      <c r="EM163" s="37"/>
      <c r="EN163" s="37"/>
      <c r="EO163" s="37"/>
    </row>
    <row r="164" spans="1:145" s="34" customFormat="1">
      <c r="A164" s="46">
        <v>14</v>
      </c>
      <c r="B164" s="89" t="s">
        <v>69</v>
      </c>
      <c r="C164" s="74" t="s">
        <v>5</v>
      </c>
      <c r="D164" s="71">
        <f t="shared" ref="D164:O164" si="40">D132+D98+D66+D34</f>
        <v>0</v>
      </c>
      <c r="E164" s="71">
        <f t="shared" si="40"/>
        <v>0</v>
      </c>
      <c r="F164" s="71">
        <f t="shared" si="40"/>
        <v>0</v>
      </c>
      <c r="G164" s="71">
        <f t="shared" si="40"/>
        <v>0</v>
      </c>
      <c r="H164" s="71">
        <f t="shared" si="40"/>
        <v>0</v>
      </c>
      <c r="I164" s="71">
        <f t="shared" si="40"/>
        <v>0</v>
      </c>
      <c r="J164" s="71">
        <f t="shared" si="40"/>
        <v>0</v>
      </c>
      <c r="K164" s="71">
        <f t="shared" si="40"/>
        <v>0</v>
      </c>
      <c r="L164" s="71">
        <f t="shared" si="40"/>
        <v>0</v>
      </c>
      <c r="M164" s="71">
        <f t="shared" si="40"/>
        <v>0</v>
      </c>
      <c r="N164" s="71">
        <f t="shared" si="40"/>
        <v>0</v>
      </c>
      <c r="O164" s="71">
        <f t="shared" si="40"/>
        <v>0</v>
      </c>
      <c r="P164" s="93">
        <f>SUM(D164:O164)</f>
        <v>0</v>
      </c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37"/>
      <c r="CD164" s="37"/>
      <c r="CE164" s="37"/>
      <c r="CF164" s="37"/>
      <c r="CG164" s="37"/>
      <c r="CH164" s="37"/>
      <c r="CI164" s="37"/>
      <c r="CJ164" s="37"/>
      <c r="CK164" s="37"/>
      <c r="CL164" s="37"/>
      <c r="CM164" s="37"/>
      <c r="CN164" s="37"/>
      <c r="CO164" s="37"/>
      <c r="CP164" s="37"/>
      <c r="CQ164" s="37"/>
      <c r="CR164" s="37"/>
      <c r="CS164" s="37"/>
      <c r="CT164" s="37"/>
      <c r="CU164" s="37"/>
      <c r="CV164" s="37"/>
      <c r="CW164" s="37"/>
      <c r="CX164" s="37"/>
      <c r="CY164" s="37"/>
      <c r="CZ164" s="37"/>
      <c r="DA164" s="37"/>
      <c r="DB164" s="37"/>
      <c r="DC164" s="37"/>
      <c r="DD164" s="37"/>
      <c r="DE164" s="37"/>
      <c r="DF164" s="37"/>
      <c r="DG164" s="37"/>
      <c r="DH164" s="37"/>
      <c r="DI164" s="37"/>
      <c r="DJ164" s="37"/>
      <c r="DK164" s="37"/>
      <c r="DL164" s="37"/>
      <c r="DM164" s="37"/>
      <c r="DN164" s="37"/>
      <c r="DO164" s="37"/>
      <c r="DP164" s="37"/>
      <c r="DQ164" s="37"/>
      <c r="DR164" s="37"/>
      <c r="DS164" s="37"/>
      <c r="DT164" s="37"/>
      <c r="DU164" s="37"/>
      <c r="DV164" s="37"/>
      <c r="DW164" s="37"/>
      <c r="DX164" s="37"/>
      <c r="DY164" s="37"/>
      <c r="DZ164" s="37"/>
      <c r="EA164" s="37"/>
      <c r="EB164" s="37"/>
      <c r="EC164" s="37"/>
      <c r="ED164" s="37"/>
      <c r="EE164" s="37"/>
      <c r="EF164" s="37"/>
      <c r="EG164" s="37"/>
      <c r="EH164" s="37"/>
      <c r="EI164" s="37"/>
      <c r="EJ164" s="37"/>
      <c r="EK164" s="37"/>
      <c r="EL164" s="37"/>
      <c r="EM164" s="37"/>
      <c r="EN164" s="37"/>
      <c r="EO164" s="37"/>
    </row>
    <row r="165" spans="1:145" s="34" customFormat="1">
      <c r="A165" s="46">
        <v>15</v>
      </c>
      <c r="B165" s="89" t="s">
        <v>70</v>
      </c>
      <c r="C165" s="74" t="s">
        <v>6</v>
      </c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104">
        <f>SUM(D165:O165)</f>
        <v>0</v>
      </c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/>
      <c r="CB165" s="37"/>
      <c r="CC165" s="37"/>
      <c r="CD165" s="37"/>
      <c r="CE165" s="37"/>
      <c r="CF165" s="37"/>
      <c r="CG165" s="37"/>
      <c r="CH165" s="37"/>
      <c r="CI165" s="37"/>
      <c r="CJ165" s="37"/>
      <c r="CK165" s="37"/>
      <c r="CL165" s="37"/>
      <c r="CM165" s="37"/>
      <c r="CN165" s="37"/>
      <c r="CO165" s="37"/>
      <c r="CP165" s="37"/>
      <c r="CQ165" s="37"/>
      <c r="CR165" s="37"/>
      <c r="CS165" s="37"/>
      <c r="CT165" s="37"/>
      <c r="CU165" s="37"/>
      <c r="CV165" s="37"/>
      <c r="CW165" s="37"/>
      <c r="CX165" s="37"/>
      <c r="CY165" s="37"/>
      <c r="CZ165" s="37"/>
      <c r="DA165" s="37"/>
      <c r="DB165" s="37"/>
      <c r="DC165" s="37"/>
      <c r="DD165" s="37"/>
      <c r="DE165" s="37"/>
      <c r="DF165" s="37"/>
      <c r="DG165" s="37"/>
      <c r="DH165" s="37"/>
      <c r="DI165" s="37"/>
      <c r="DJ165" s="37"/>
      <c r="DK165" s="37"/>
      <c r="DL165" s="37"/>
      <c r="DM165" s="37"/>
      <c r="DN165" s="37"/>
      <c r="DO165" s="37"/>
      <c r="DP165" s="37"/>
      <c r="DQ165" s="37"/>
      <c r="DR165" s="37"/>
      <c r="DS165" s="37"/>
      <c r="DT165" s="37"/>
      <c r="DU165" s="37"/>
      <c r="DV165" s="37"/>
      <c r="DW165" s="37"/>
      <c r="DX165" s="37"/>
      <c r="DY165" s="37"/>
      <c r="DZ165" s="37"/>
      <c r="EA165" s="37"/>
      <c r="EB165" s="37"/>
      <c r="EC165" s="37"/>
      <c r="ED165" s="37"/>
      <c r="EE165" s="37"/>
      <c r="EF165" s="37"/>
      <c r="EG165" s="37"/>
      <c r="EH165" s="37"/>
      <c r="EI165" s="37"/>
      <c r="EJ165" s="37"/>
      <c r="EK165" s="37"/>
      <c r="EL165" s="37"/>
      <c r="EM165" s="37"/>
      <c r="EN165" s="37"/>
      <c r="EO165" s="37"/>
    </row>
    <row r="166" spans="1:145" s="34" customFormat="1">
      <c r="A166" s="46">
        <v>16</v>
      </c>
      <c r="B166" s="114" t="s">
        <v>23</v>
      </c>
      <c r="C166" s="145"/>
      <c r="D166" s="100">
        <f t="shared" ref="D166:P166" si="41">SUM(D164:D165)</f>
        <v>0</v>
      </c>
      <c r="E166" s="100">
        <f t="shared" si="41"/>
        <v>0</v>
      </c>
      <c r="F166" s="100">
        <f t="shared" si="41"/>
        <v>0</v>
      </c>
      <c r="G166" s="100">
        <f t="shared" si="41"/>
        <v>0</v>
      </c>
      <c r="H166" s="100">
        <f t="shared" si="41"/>
        <v>0</v>
      </c>
      <c r="I166" s="100">
        <f t="shared" si="41"/>
        <v>0</v>
      </c>
      <c r="J166" s="100">
        <f t="shared" si="41"/>
        <v>0</v>
      </c>
      <c r="K166" s="100">
        <f t="shared" si="41"/>
        <v>0</v>
      </c>
      <c r="L166" s="100">
        <f t="shared" si="41"/>
        <v>0</v>
      </c>
      <c r="M166" s="100">
        <f t="shared" si="41"/>
        <v>0</v>
      </c>
      <c r="N166" s="100">
        <f t="shared" si="41"/>
        <v>0</v>
      </c>
      <c r="O166" s="93">
        <f t="shared" si="41"/>
        <v>0</v>
      </c>
      <c r="P166" s="93">
        <f t="shared" si="41"/>
        <v>0</v>
      </c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37"/>
      <c r="CD166" s="37"/>
      <c r="CE166" s="37"/>
      <c r="CF166" s="37"/>
      <c r="CG166" s="37"/>
      <c r="CH166" s="37"/>
      <c r="CI166" s="37"/>
      <c r="CJ166" s="37"/>
      <c r="CK166" s="37"/>
      <c r="CL166" s="37"/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37"/>
      <c r="CX166" s="37"/>
      <c r="CY166" s="37"/>
      <c r="CZ166" s="37"/>
      <c r="DA166" s="37"/>
      <c r="DB166" s="37"/>
      <c r="DC166" s="37"/>
      <c r="DD166" s="37"/>
      <c r="DE166" s="37"/>
      <c r="DF166" s="37"/>
      <c r="DG166" s="37"/>
      <c r="DH166" s="37"/>
      <c r="DI166" s="37"/>
      <c r="DJ166" s="37"/>
      <c r="DK166" s="37"/>
      <c r="DL166" s="37"/>
      <c r="DM166" s="37"/>
      <c r="DN166" s="37"/>
      <c r="DO166" s="37"/>
      <c r="DP166" s="37"/>
      <c r="DQ166" s="37"/>
      <c r="DR166" s="37"/>
      <c r="DS166" s="37"/>
      <c r="DT166" s="37"/>
      <c r="DU166" s="37"/>
      <c r="DV166" s="37"/>
      <c r="DW166" s="37"/>
      <c r="DX166" s="37"/>
      <c r="DY166" s="37"/>
      <c r="DZ166" s="37"/>
      <c r="EA166" s="37"/>
      <c r="EB166" s="37"/>
      <c r="EC166" s="37"/>
      <c r="ED166" s="37"/>
      <c r="EE166" s="37"/>
      <c r="EF166" s="37"/>
      <c r="EG166" s="37"/>
      <c r="EH166" s="37"/>
      <c r="EI166" s="37"/>
      <c r="EJ166" s="37"/>
      <c r="EK166" s="37"/>
      <c r="EL166" s="37"/>
      <c r="EM166" s="37"/>
      <c r="EN166" s="37"/>
      <c r="EO166" s="37"/>
    </row>
    <row r="167" spans="1:145" s="34" customFormat="1">
      <c r="A167" s="46"/>
      <c r="B167" s="78"/>
      <c r="C167" s="116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71"/>
      <c r="P167" s="71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  <c r="CE167" s="37"/>
      <c r="CF167" s="37"/>
      <c r="CG167" s="37"/>
      <c r="CH167" s="37"/>
      <c r="CI167" s="37"/>
      <c r="CJ167" s="37"/>
      <c r="CK167" s="37"/>
      <c r="CL167" s="37"/>
      <c r="CM167" s="37"/>
      <c r="CN167" s="37"/>
      <c r="CO167" s="37"/>
      <c r="CP167" s="37"/>
      <c r="CQ167" s="37"/>
      <c r="CR167" s="37"/>
      <c r="CS167" s="37"/>
      <c r="CT167" s="37"/>
      <c r="CU167" s="37"/>
      <c r="CV167" s="37"/>
      <c r="CW167" s="37"/>
      <c r="CX167" s="37"/>
      <c r="CY167" s="37"/>
      <c r="CZ167" s="37"/>
      <c r="DA167" s="37"/>
      <c r="DB167" s="37"/>
      <c r="DC167" s="37"/>
      <c r="DD167" s="37"/>
      <c r="DE167" s="37"/>
      <c r="DF167" s="37"/>
      <c r="DG167" s="37"/>
      <c r="DH167" s="37"/>
      <c r="DI167" s="37"/>
      <c r="DJ167" s="37"/>
      <c r="DK167" s="37"/>
      <c r="DL167" s="37"/>
      <c r="DM167" s="37"/>
      <c r="DN167" s="37"/>
      <c r="DO167" s="37"/>
      <c r="DP167" s="37"/>
      <c r="DQ167" s="37"/>
      <c r="DR167" s="37"/>
      <c r="DS167" s="37"/>
      <c r="DT167" s="37"/>
      <c r="DU167" s="37"/>
      <c r="DV167" s="37"/>
      <c r="DW167" s="37"/>
      <c r="DX167" s="37"/>
      <c r="DY167" s="37"/>
      <c r="DZ167" s="37"/>
      <c r="EA167" s="37"/>
      <c r="EB167" s="37"/>
      <c r="EC167" s="37"/>
      <c r="ED167" s="37"/>
      <c r="EE167" s="37"/>
      <c r="EF167" s="37"/>
      <c r="EG167" s="37"/>
      <c r="EH167" s="37"/>
      <c r="EI167" s="37"/>
      <c r="EJ167" s="37"/>
      <c r="EK167" s="37"/>
      <c r="EL167" s="37"/>
      <c r="EM167" s="37"/>
      <c r="EN167" s="37"/>
      <c r="EO167" s="37"/>
    </row>
    <row r="168" spans="1:145" s="34" customFormat="1" ht="12" thickBot="1">
      <c r="A168" s="46">
        <v>17</v>
      </c>
      <c r="B168" s="147" t="s">
        <v>92</v>
      </c>
      <c r="C168" s="145"/>
      <c r="D168" s="148">
        <f t="shared" ref="D168:P168" si="42">+D166+D162</f>
        <v>3081199313.6264677</v>
      </c>
      <c r="E168" s="148">
        <f t="shared" si="42"/>
        <v>2912847732.8977985</v>
      </c>
      <c r="F168" s="148">
        <f t="shared" si="42"/>
        <v>2878168675.7012396</v>
      </c>
      <c r="G168" s="148">
        <f t="shared" si="42"/>
        <v>3080209167.965085</v>
      </c>
      <c r="H168" s="148">
        <f t="shared" si="42"/>
        <v>2852516781.9439049</v>
      </c>
      <c r="I168" s="148">
        <f t="shared" si="42"/>
        <v>2794172222.3064556</v>
      </c>
      <c r="J168" s="148">
        <f t="shared" si="42"/>
        <v>2778818417.2500143</v>
      </c>
      <c r="K168" s="148">
        <f t="shared" si="42"/>
        <v>3024779289.1526189</v>
      </c>
      <c r="L168" s="148">
        <f t="shared" si="42"/>
        <v>3521814611.6628532</v>
      </c>
      <c r="M168" s="148">
        <f t="shared" si="42"/>
        <v>3723428064.8200665</v>
      </c>
      <c r="N168" s="148">
        <f t="shared" si="42"/>
        <v>3809078245.4675889</v>
      </c>
      <c r="O168" s="148">
        <f t="shared" si="42"/>
        <v>3809160648.0000005</v>
      </c>
      <c r="P168" s="148">
        <f t="shared" si="42"/>
        <v>38266193170.79409</v>
      </c>
      <c r="Q168" s="42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37"/>
      <c r="CD168" s="37"/>
      <c r="CE168" s="37"/>
      <c r="CF168" s="37"/>
      <c r="CG168" s="37"/>
      <c r="CH168" s="37"/>
      <c r="CI168" s="37"/>
      <c r="CJ168" s="37"/>
      <c r="CK168" s="37"/>
      <c r="CL168" s="37"/>
      <c r="CM168" s="37"/>
      <c r="CN168" s="37"/>
      <c r="CO168" s="37"/>
      <c r="CP168" s="37"/>
      <c r="CQ168" s="37"/>
      <c r="CR168" s="37"/>
      <c r="CS168" s="37"/>
      <c r="CT168" s="37"/>
      <c r="CU168" s="37"/>
      <c r="CV168" s="37"/>
      <c r="CW168" s="37"/>
      <c r="CX168" s="37"/>
      <c r="CY168" s="37"/>
      <c r="CZ168" s="37"/>
      <c r="DA168" s="37"/>
      <c r="DB168" s="37"/>
      <c r="DC168" s="37"/>
      <c r="DD168" s="37"/>
      <c r="DE168" s="37"/>
      <c r="DF168" s="37"/>
      <c r="DG168" s="37"/>
      <c r="DH168" s="37"/>
      <c r="DI168" s="37"/>
      <c r="DJ168" s="37"/>
      <c r="DK168" s="37"/>
      <c r="DL168" s="37"/>
      <c r="DM168" s="37"/>
      <c r="DN168" s="37"/>
      <c r="DO168" s="37"/>
      <c r="DP168" s="37"/>
      <c r="DQ168" s="37"/>
      <c r="DR168" s="37"/>
      <c r="DS168" s="37"/>
      <c r="DT168" s="37"/>
      <c r="DU168" s="37"/>
      <c r="DV168" s="37"/>
      <c r="DW168" s="37"/>
      <c r="DX168" s="37"/>
      <c r="DY168" s="37"/>
      <c r="DZ168" s="37"/>
      <c r="EA168" s="37"/>
      <c r="EB168" s="37"/>
      <c r="EC168" s="37"/>
      <c r="ED168" s="37"/>
      <c r="EE168" s="37"/>
      <c r="EF168" s="37"/>
      <c r="EG168" s="37"/>
      <c r="EH168" s="37"/>
      <c r="EI168" s="37"/>
      <c r="EJ168" s="37"/>
      <c r="EK168" s="37"/>
      <c r="EL168" s="37"/>
      <c r="EM168" s="37"/>
      <c r="EN168" s="37"/>
      <c r="EO168" s="37"/>
    </row>
    <row r="169" spans="1:145" ht="12" thickTop="1">
      <c r="A169" s="36"/>
      <c r="B169" s="165"/>
      <c r="C169" s="85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93"/>
    </row>
    <row r="170" spans="1:145">
      <c r="B170" s="366" t="str">
        <f>B7</f>
        <v>AEP TEXAS</v>
      </c>
      <c r="C170" s="366"/>
      <c r="D170" s="366"/>
      <c r="E170" s="366"/>
      <c r="F170" s="366"/>
      <c r="G170" s="366"/>
      <c r="H170" s="366"/>
      <c r="I170" s="366"/>
      <c r="J170" s="366"/>
      <c r="K170" s="366"/>
      <c r="L170" s="366"/>
      <c r="M170" s="366"/>
      <c r="N170" s="366"/>
      <c r="O170" s="366"/>
      <c r="P170" s="17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</row>
    <row r="171" spans="1:145">
      <c r="B171" s="366" t="s">
        <v>12</v>
      </c>
      <c r="C171" s="366"/>
      <c r="D171" s="366"/>
      <c r="E171" s="366"/>
      <c r="F171" s="366"/>
      <c r="G171" s="366"/>
      <c r="H171" s="366"/>
      <c r="I171" s="366"/>
      <c r="J171" s="366"/>
      <c r="K171" s="366"/>
      <c r="L171" s="366"/>
      <c r="M171" s="366"/>
      <c r="N171" s="366"/>
      <c r="O171" s="366"/>
      <c r="P171" s="177"/>
      <c r="Q171" s="88"/>
      <c r="R171" s="157" t="s">
        <v>497</v>
      </c>
      <c r="S171" s="87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</row>
    <row r="172" spans="1:145">
      <c r="B172" s="366" t="str">
        <f>G9</f>
        <v>FOR TEST YEAR ENDED SEPTEMBER 30, 2023</v>
      </c>
      <c r="C172" s="366"/>
      <c r="D172" s="366"/>
      <c r="E172" s="366"/>
      <c r="F172" s="366"/>
      <c r="G172" s="366"/>
      <c r="H172" s="366"/>
      <c r="I172" s="366"/>
      <c r="J172" s="366"/>
      <c r="K172" s="366"/>
      <c r="L172" s="366"/>
      <c r="M172" s="366"/>
      <c r="N172" s="366"/>
      <c r="O172" s="366"/>
      <c r="P172" s="177"/>
      <c r="Q172" s="99" t="s">
        <v>47</v>
      </c>
      <c r="R172" s="87">
        <v>1.0753999999999999</v>
      </c>
      <c r="S172" s="87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</row>
    <row r="173" spans="1:145" customFormat="1" ht="12.75"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177"/>
      <c r="Q173" s="85" t="s">
        <v>46</v>
      </c>
      <c r="R173" s="87">
        <v>1.0446299999999999</v>
      </c>
      <c r="S173" s="75"/>
    </row>
    <row r="174" spans="1:145">
      <c r="B174" s="106"/>
      <c r="C174" s="105"/>
      <c r="D174" s="167"/>
      <c r="E174" s="108"/>
      <c r="F174" s="108"/>
      <c r="G174" s="167"/>
      <c r="H174" s="108"/>
      <c r="I174" s="108"/>
      <c r="J174" s="94"/>
      <c r="K174" s="108"/>
      <c r="L174" s="108"/>
      <c r="M174" s="108"/>
      <c r="N174" s="108"/>
      <c r="O174" s="109"/>
      <c r="P174" s="177"/>
      <c r="Q174" s="349" t="s">
        <v>45</v>
      </c>
      <c r="R174" s="87">
        <v>1.02006</v>
      </c>
      <c r="S174" s="87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</row>
    <row r="175" spans="1:145">
      <c r="A175" s="18" t="s">
        <v>8</v>
      </c>
      <c r="B175" s="144" t="s">
        <v>0</v>
      </c>
      <c r="C175" s="144" t="s">
        <v>7</v>
      </c>
      <c r="D175" s="97" t="str">
        <f>D12</f>
        <v>Oct-22</v>
      </c>
      <c r="E175" s="97" t="str">
        <f>E12</f>
        <v>Nov-22</v>
      </c>
      <c r="F175" s="97" t="str">
        <f>F12</f>
        <v>Dec-22</v>
      </c>
      <c r="G175" s="97" t="str">
        <f>G12</f>
        <v>Jan-23</v>
      </c>
      <c r="H175" s="97" t="str">
        <f t="shared" ref="H175:N175" si="43">H12</f>
        <v>Feb-23</v>
      </c>
      <c r="I175" s="97" t="str">
        <f t="shared" si="43"/>
        <v>Mar-23</v>
      </c>
      <c r="J175" s="97" t="str">
        <f t="shared" si="43"/>
        <v>Apr-23</v>
      </c>
      <c r="K175" s="97" t="str">
        <f t="shared" si="43"/>
        <v>May-23</v>
      </c>
      <c r="L175" s="97" t="str">
        <f t="shared" si="43"/>
        <v>Jun-23</v>
      </c>
      <c r="M175" s="97" t="str">
        <f t="shared" si="43"/>
        <v>Jul-23</v>
      </c>
      <c r="N175" s="97" t="str">
        <f t="shared" si="43"/>
        <v>Aug-23</v>
      </c>
      <c r="O175" s="97" t="s">
        <v>33</v>
      </c>
      <c r="P175" s="110" t="s">
        <v>2</v>
      </c>
      <c r="Q175" s="89"/>
      <c r="R175" s="87"/>
      <c r="S175" s="87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</row>
    <row r="176" spans="1:145" s="34" customFormat="1">
      <c r="A176" s="46"/>
      <c r="B176" s="111"/>
      <c r="C176" s="112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37"/>
      <c r="R176" s="5"/>
    </row>
    <row r="177" spans="1:144" s="34" customFormat="1">
      <c r="A177" s="46" t="s">
        <v>9</v>
      </c>
      <c r="B177" s="78" t="s">
        <v>17</v>
      </c>
      <c r="C177" s="85" t="s">
        <v>4</v>
      </c>
      <c r="D177" s="71">
        <f t="shared" ref="D177:O177" si="44">$R$172*D14</f>
        <v>1108555233.6924</v>
      </c>
      <c r="E177" s="71">
        <f t="shared" si="44"/>
        <v>855802359.66779995</v>
      </c>
      <c r="F177" s="71">
        <f t="shared" si="44"/>
        <v>995941243.77339995</v>
      </c>
      <c r="G177" s="71">
        <f t="shared" si="44"/>
        <v>1068115060.8081999</v>
      </c>
      <c r="H177" s="71">
        <f t="shared" si="44"/>
        <v>940063564.08719993</v>
      </c>
      <c r="I177" s="71">
        <f t="shared" si="44"/>
        <v>862955641.93919992</v>
      </c>
      <c r="J177" s="71">
        <f t="shared" si="44"/>
        <v>850322589.06679988</v>
      </c>
      <c r="K177" s="71">
        <f t="shared" si="44"/>
        <v>928453176.82499993</v>
      </c>
      <c r="L177" s="71">
        <f t="shared" si="44"/>
        <v>1254267876.2082</v>
      </c>
      <c r="M177" s="71">
        <f t="shared" si="44"/>
        <v>1638153821.7847998</v>
      </c>
      <c r="N177" s="71">
        <f>$R$172*N14</f>
        <v>1654589323.4455998</v>
      </c>
      <c r="O177" s="71">
        <f t="shared" si="44"/>
        <v>1604728370.1835999</v>
      </c>
      <c r="P177" s="76">
        <f>SUM(D177:O177)</f>
        <v>13761948261.482199</v>
      </c>
      <c r="Q177" s="99"/>
      <c r="R177" s="89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37"/>
      <c r="CD177" s="37"/>
      <c r="CE177" s="37"/>
      <c r="CF177" s="37"/>
      <c r="CG177" s="37"/>
      <c r="CH177" s="37"/>
      <c r="CI177" s="37"/>
      <c r="CJ177" s="37"/>
      <c r="CK177" s="37"/>
      <c r="CL177" s="37"/>
      <c r="CM177" s="37"/>
      <c r="CN177" s="37"/>
      <c r="CO177" s="37"/>
      <c r="CP177" s="37"/>
      <c r="CQ177" s="37"/>
      <c r="CR177" s="37"/>
      <c r="CS177" s="37"/>
      <c r="CT177" s="37"/>
      <c r="CU177" s="37"/>
      <c r="CV177" s="37"/>
      <c r="CW177" s="37"/>
      <c r="CX177" s="37"/>
      <c r="CY177" s="37"/>
      <c r="CZ177" s="37"/>
      <c r="DA177" s="37"/>
      <c r="DB177" s="37"/>
      <c r="DC177" s="37"/>
      <c r="DD177" s="37"/>
      <c r="DE177" s="37"/>
      <c r="DF177" s="37"/>
      <c r="DG177" s="37"/>
      <c r="DH177" s="37"/>
      <c r="DI177" s="37"/>
      <c r="DJ177" s="37"/>
      <c r="DK177" s="37"/>
      <c r="DL177" s="37"/>
      <c r="DM177" s="37"/>
      <c r="DN177" s="37"/>
      <c r="DO177" s="37"/>
      <c r="DP177" s="37"/>
      <c r="DQ177" s="37"/>
      <c r="DR177" s="37"/>
      <c r="DS177" s="37"/>
      <c r="DT177" s="37"/>
      <c r="DU177" s="37"/>
      <c r="DV177" s="37"/>
      <c r="DW177" s="37"/>
      <c r="DX177" s="37"/>
      <c r="DY177" s="37"/>
      <c r="DZ177" s="37"/>
      <c r="EA177" s="37"/>
      <c r="EB177" s="37"/>
      <c r="EC177" s="37"/>
      <c r="ED177" s="37"/>
      <c r="EE177" s="37"/>
      <c r="EF177" s="37"/>
      <c r="EG177" s="37"/>
      <c r="EH177" s="37"/>
      <c r="EI177" s="37"/>
      <c r="EJ177" s="37"/>
      <c r="EK177" s="37"/>
      <c r="EL177" s="37"/>
      <c r="EM177" s="37"/>
      <c r="EN177" s="37"/>
    </row>
    <row r="178" spans="1:144" s="34" customFormat="1">
      <c r="B178" s="78"/>
      <c r="C178" s="85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93"/>
      <c r="O178" s="93"/>
      <c r="P178" s="76"/>
      <c r="Q178" s="85"/>
      <c r="R178" s="35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/>
      <c r="CB178" s="37"/>
      <c r="CC178" s="37"/>
      <c r="CD178" s="37"/>
      <c r="CE178" s="37"/>
      <c r="CF178" s="37"/>
      <c r="CG178" s="37"/>
      <c r="CH178" s="37"/>
      <c r="CI178" s="37"/>
      <c r="CJ178" s="37"/>
      <c r="CK178" s="37"/>
      <c r="CL178" s="37"/>
      <c r="CM178" s="37"/>
      <c r="CN178" s="37"/>
      <c r="CO178" s="37"/>
      <c r="CP178" s="37"/>
      <c r="CQ178" s="37"/>
      <c r="CR178" s="37"/>
      <c r="CS178" s="37"/>
      <c r="CT178" s="37"/>
      <c r="CU178" s="37"/>
      <c r="CV178" s="37"/>
      <c r="CW178" s="37"/>
      <c r="CX178" s="37"/>
      <c r="CY178" s="37"/>
      <c r="CZ178" s="37"/>
      <c r="DA178" s="37"/>
      <c r="DB178" s="37"/>
      <c r="DC178" s="37"/>
      <c r="DD178" s="37"/>
      <c r="DE178" s="37"/>
      <c r="DF178" s="37"/>
      <c r="DG178" s="37"/>
      <c r="DH178" s="37"/>
      <c r="DI178" s="37"/>
      <c r="DJ178" s="37"/>
      <c r="DK178" s="37"/>
      <c r="DL178" s="37"/>
      <c r="DM178" s="37"/>
      <c r="DN178" s="37"/>
      <c r="DO178" s="37"/>
      <c r="DP178" s="37"/>
      <c r="DQ178" s="37"/>
      <c r="DR178" s="37"/>
      <c r="DS178" s="37"/>
      <c r="DT178" s="37"/>
      <c r="DU178" s="37"/>
      <c r="DV178" s="37"/>
      <c r="DW178" s="37"/>
      <c r="DX178" s="37"/>
      <c r="DY178" s="37"/>
      <c r="DZ178" s="37"/>
      <c r="EA178" s="37"/>
      <c r="EB178" s="37"/>
      <c r="EC178" s="37"/>
      <c r="ED178" s="37"/>
      <c r="EE178" s="37"/>
      <c r="EF178" s="37"/>
      <c r="EG178" s="37"/>
      <c r="EH178" s="37"/>
      <c r="EI178" s="37"/>
      <c r="EJ178" s="37"/>
      <c r="EK178" s="37"/>
      <c r="EL178" s="37"/>
      <c r="EM178" s="37"/>
      <c r="EN178" s="37"/>
    </row>
    <row r="179" spans="1:144" s="34" customFormat="1">
      <c r="A179" s="46">
        <v>2</v>
      </c>
      <c r="B179" s="78" t="s">
        <v>150</v>
      </c>
      <c r="C179" s="85" t="s">
        <v>4</v>
      </c>
      <c r="D179" s="71">
        <f t="shared" ref="D179:O179" si="45">$R$172*D16</f>
        <v>61329508.168999992</v>
      </c>
      <c r="E179" s="71">
        <f t="shared" si="45"/>
        <v>54298360.150999993</v>
      </c>
      <c r="F179" s="71">
        <f t="shared" si="45"/>
        <v>57564638.158199996</v>
      </c>
      <c r="G179" s="71">
        <f t="shared" si="45"/>
        <v>58245339.473199993</v>
      </c>
      <c r="H179" s="71">
        <f t="shared" si="45"/>
        <v>53356670.009999998</v>
      </c>
      <c r="I179" s="71">
        <f t="shared" si="45"/>
        <v>52548089.654799998</v>
      </c>
      <c r="J179" s="71">
        <f t="shared" si="45"/>
        <v>52256530.432999998</v>
      </c>
      <c r="K179" s="71">
        <f t="shared" si="45"/>
        <v>54743809.112799995</v>
      </c>
      <c r="L179" s="71">
        <f t="shared" si="45"/>
        <v>62570721.944199994</v>
      </c>
      <c r="M179" s="71">
        <f t="shared" si="45"/>
        <v>72927429.394400001</v>
      </c>
      <c r="N179" s="71">
        <f t="shared" si="45"/>
        <v>75400441.8178</v>
      </c>
      <c r="O179" s="93">
        <f t="shared" si="45"/>
        <v>74695528.9472</v>
      </c>
      <c r="P179" s="76">
        <f>SUM(D179:O179)</f>
        <v>729937067.26559997</v>
      </c>
      <c r="Q179" s="349"/>
      <c r="R179" s="89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37"/>
      <c r="CD179" s="37"/>
      <c r="CE179" s="37"/>
      <c r="CF179" s="37"/>
      <c r="CG179" s="37"/>
      <c r="CH179" s="37"/>
      <c r="CI179" s="37"/>
      <c r="CJ179" s="37"/>
      <c r="CK179" s="37"/>
      <c r="CL179" s="37"/>
      <c r="CM179" s="37"/>
      <c r="CN179" s="37"/>
      <c r="CO179" s="37"/>
      <c r="CP179" s="37"/>
      <c r="CQ179" s="37"/>
      <c r="CR179" s="37"/>
      <c r="CS179" s="37"/>
      <c r="CT179" s="37"/>
      <c r="CU179" s="37"/>
      <c r="CV179" s="37"/>
      <c r="CW179" s="37"/>
      <c r="CX179" s="37"/>
      <c r="CY179" s="37"/>
      <c r="CZ179" s="37"/>
      <c r="DA179" s="37"/>
      <c r="DB179" s="37"/>
      <c r="DC179" s="37"/>
      <c r="DD179" s="37"/>
      <c r="DE179" s="37"/>
      <c r="DF179" s="37"/>
      <c r="DG179" s="37"/>
      <c r="DH179" s="37"/>
      <c r="DI179" s="37"/>
      <c r="DJ179" s="37"/>
      <c r="DK179" s="37"/>
      <c r="DL179" s="37"/>
      <c r="DM179" s="37"/>
      <c r="DN179" s="37"/>
      <c r="DO179" s="37"/>
      <c r="DP179" s="37"/>
      <c r="DQ179" s="37"/>
      <c r="DR179" s="37"/>
      <c r="DS179" s="37"/>
      <c r="DT179" s="37"/>
      <c r="DU179" s="37"/>
      <c r="DV179" s="37"/>
      <c r="DW179" s="37"/>
      <c r="DX179" s="37"/>
      <c r="DY179" s="37"/>
      <c r="DZ179" s="37"/>
      <c r="EA179" s="37"/>
      <c r="EB179" s="37"/>
      <c r="EC179" s="37"/>
      <c r="ED179" s="37"/>
      <c r="EE179" s="37"/>
      <c r="EF179" s="37"/>
      <c r="EG179" s="37"/>
      <c r="EH179" s="37"/>
      <c r="EI179" s="37"/>
      <c r="EJ179" s="37"/>
      <c r="EK179" s="37"/>
      <c r="EL179" s="37"/>
      <c r="EM179" s="37"/>
      <c r="EN179" s="37"/>
    </row>
    <row r="180" spans="1:144" s="34" customFormat="1">
      <c r="A180" s="46"/>
      <c r="B180" s="78"/>
      <c r="C180" s="85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93"/>
      <c r="P180" s="76"/>
      <c r="Q180" s="37"/>
      <c r="R180" s="68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  <c r="BV180" s="37"/>
      <c r="BW180" s="37"/>
      <c r="BX180" s="37"/>
      <c r="BY180" s="37"/>
      <c r="BZ180" s="37"/>
      <c r="CA180" s="37"/>
      <c r="CB180" s="37"/>
      <c r="CC180" s="37"/>
      <c r="CD180" s="37"/>
      <c r="CE180" s="37"/>
      <c r="CF180" s="37"/>
      <c r="CG180" s="37"/>
      <c r="CH180" s="37"/>
      <c r="CI180" s="37"/>
      <c r="CJ180" s="37"/>
      <c r="CK180" s="37"/>
      <c r="CL180" s="37"/>
      <c r="CM180" s="37"/>
      <c r="CN180" s="37"/>
      <c r="CO180" s="37"/>
      <c r="CP180" s="37"/>
      <c r="CQ180" s="37"/>
      <c r="CR180" s="37"/>
      <c r="CS180" s="37"/>
      <c r="CT180" s="37"/>
      <c r="CU180" s="37"/>
      <c r="CV180" s="37"/>
      <c r="CW180" s="37"/>
      <c r="CX180" s="37"/>
      <c r="CY180" s="37"/>
      <c r="CZ180" s="37"/>
      <c r="DA180" s="37"/>
      <c r="DB180" s="37"/>
      <c r="DC180" s="37"/>
      <c r="DD180" s="37"/>
      <c r="DE180" s="37"/>
      <c r="DF180" s="37"/>
      <c r="DG180" s="37"/>
      <c r="DH180" s="37"/>
      <c r="DI180" s="37"/>
      <c r="DJ180" s="37"/>
      <c r="DK180" s="37"/>
      <c r="DL180" s="37"/>
      <c r="DM180" s="37"/>
      <c r="DN180" s="37"/>
      <c r="DO180" s="37"/>
      <c r="DP180" s="37"/>
      <c r="DQ180" s="37"/>
      <c r="DR180" s="37"/>
      <c r="DS180" s="37"/>
      <c r="DT180" s="37"/>
      <c r="DU180" s="37"/>
      <c r="DV180" s="37"/>
      <c r="DW180" s="37"/>
      <c r="DX180" s="37"/>
      <c r="DY180" s="37"/>
      <c r="DZ180" s="37"/>
      <c r="EA180" s="37"/>
      <c r="EB180" s="37"/>
      <c r="EC180" s="37"/>
      <c r="ED180" s="37"/>
      <c r="EE180" s="37"/>
      <c r="EF180" s="37"/>
      <c r="EG180" s="37"/>
      <c r="EH180" s="37"/>
      <c r="EI180" s="37"/>
      <c r="EJ180" s="37"/>
      <c r="EK180" s="37"/>
      <c r="EL180" s="37"/>
      <c r="EM180" s="37"/>
      <c r="EN180" s="37"/>
    </row>
    <row r="181" spans="1:144" s="34" customFormat="1">
      <c r="A181" s="46">
        <v>3</v>
      </c>
      <c r="B181" s="87" t="s">
        <v>81</v>
      </c>
      <c r="C181" s="74" t="s">
        <v>4</v>
      </c>
      <c r="D181" s="84">
        <f t="shared" ref="D181:O181" si="46">$R$172*D18</f>
        <v>728320607.71599996</v>
      </c>
      <c r="E181" s="84">
        <f t="shared" si="46"/>
        <v>625146961.85159993</v>
      </c>
      <c r="F181" s="84">
        <f t="shared" si="46"/>
        <v>628086391.38599992</v>
      </c>
      <c r="G181" s="84">
        <f t="shared" si="46"/>
        <v>630249116.49659991</v>
      </c>
      <c r="H181" s="84">
        <f t="shared" si="46"/>
        <v>575705822.16619992</v>
      </c>
      <c r="I181" s="84">
        <f t="shared" si="46"/>
        <v>607278626.26659989</v>
      </c>
      <c r="J181" s="84">
        <f t="shared" si="46"/>
        <v>624299030.45959997</v>
      </c>
      <c r="K181" s="84">
        <f t="shared" si="46"/>
        <v>659035460.2601999</v>
      </c>
      <c r="L181" s="84">
        <f t="shared" si="46"/>
        <v>770019340.57739997</v>
      </c>
      <c r="M181" s="84">
        <f t="shared" si="46"/>
        <v>891990248.24519992</v>
      </c>
      <c r="N181" s="84">
        <f>$R$172*N18</f>
        <v>904977229.23779988</v>
      </c>
      <c r="O181" s="93">
        <f t="shared" si="46"/>
        <v>911161141.64759994</v>
      </c>
      <c r="P181" s="76">
        <f>SUM(D181:O181)</f>
        <v>8556269976.3107996</v>
      </c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37"/>
      <c r="CD181" s="37"/>
      <c r="CE181" s="37"/>
      <c r="CF181" s="37"/>
      <c r="CG181" s="37"/>
      <c r="CH181" s="37"/>
      <c r="CI181" s="37"/>
      <c r="CJ181" s="37"/>
      <c r="CK181" s="37"/>
      <c r="CL181" s="37"/>
      <c r="CM181" s="37"/>
      <c r="CN181" s="37"/>
      <c r="CO181" s="37"/>
      <c r="CP181" s="37"/>
      <c r="CQ181" s="37"/>
      <c r="CR181" s="37"/>
      <c r="CS181" s="37"/>
      <c r="CT181" s="37"/>
      <c r="CU181" s="37"/>
      <c r="CV181" s="37"/>
      <c r="CW181" s="37"/>
      <c r="CX181" s="37"/>
      <c r="CY181" s="37"/>
      <c r="CZ181" s="37"/>
      <c r="DA181" s="37"/>
      <c r="DB181" s="37"/>
      <c r="DC181" s="37"/>
      <c r="DD181" s="37"/>
      <c r="DE181" s="37"/>
      <c r="DF181" s="37"/>
      <c r="DG181" s="37"/>
      <c r="DH181" s="37"/>
      <c r="DI181" s="37"/>
      <c r="DJ181" s="37"/>
      <c r="DK181" s="37"/>
      <c r="DL181" s="37"/>
      <c r="DM181" s="37"/>
      <c r="DN181" s="37"/>
      <c r="DO181" s="37"/>
      <c r="DP181" s="37"/>
      <c r="DQ181" s="37"/>
      <c r="DR181" s="37"/>
      <c r="DS181" s="37"/>
      <c r="DT181" s="37"/>
      <c r="DU181" s="37"/>
      <c r="DV181" s="37"/>
      <c r="DW181" s="37"/>
      <c r="DX181" s="37"/>
      <c r="DY181" s="37"/>
      <c r="DZ181" s="37"/>
      <c r="EA181" s="37"/>
      <c r="EB181" s="37"/>
      <c r="EC181" s="37"/>
      <c r="ED181" s="37"/>
      <c r="EE181" s="37"/>
      <c r="EF181" s="37"/>
      <c r="EG181" s="37"/>
      <c r="EH181" s="37"/>
      <c r="EI181" s="37"/>
      <c r="EJ181" s="37"/>
      <c r="EK181" s="37"/>
      <c r="EL181" s="37"/>
      <c r="EM181" s="37"/>
      <c r="EN181" s="37"/>
    </row>
    <row r="182" spans="1:144" s="34" customFormat="1">
      <c r="A182" s="46">
        <v>4</v>
      </c>
      <c r="B182" s="87" t="s">
        <v>85</v>
      </c>
      <c r="C182" s="74" t="s">
        <v>4</v>
      </c>
      <c r="D182" s="72">
        <f t="shared" ref="D182:O182" si="47">$R$172*D19</f>
        <v>120611057.91539998</v>
      </c>
      <c r="E182" s="72">
        <f t="shared" si="47"/>
        <v>106655739.4452</v>
      </c>
      <c r="F182" s="72">
        <f t="shared" si="47"/>
        <v>111356009.58239999</v>
      </c>
      <c r="G182" s="72">
        <f t="shared" si="47"/>
        <v>106382844.86579999</v>
      </c>
      <c r="H182" s="72">
        <f t="shared" si="47"/>
        <v>96969715.958999991</v>
      </c>
      <c r="I182" s="72">
        <f t="shared" si="47"/>
        <v>102183575.62819999</v>
      </c>
      <c r="J182" s="72">
        <f t="shared" si="47"/>
        <v>108770954.45919999</v>
      </c>
      <c r="K182" s="72">
        <f t="shared" si="47"/>
        <v>109505154.77339999</v>
      </c>
      <c r="L182" s="72">
        <f t="shared" si="47"/>
        <v>123230899.0024</v>
      </c>
      <c r="M182" s="72">
        <f t="shared" si="47"/>
        <v>133147183.91039999</v>
      </c>
      <c r="N182" s="72">
        <f t="shared" si="47"/>
        <v>138721726.28719997</v>
      </c>
      <c r="O182" s="72">
        <f t="shared" si="47"/>
        <v>148545262.24679998</v>
      </c>
      <c r="P182" s="98">
        <f>SUM(D182:O182)</f>
        <v>1406080124.0753999</v>
      </c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/>
      <c r="CB182" s="37"/>
      <c r="CC182" s="37"/>
      <c r="CD182" s="37"/>
      <c r="CE182" s="37"/>
      <c r="CF182" s="37"/>
      <c r="CG182" s="37"/>
      <c r="CH182" s="37"/>
      <c r="CI182" s="37"/>
      <c r="CJ182" s="37"/>
      <c r="CK182" s="37"/>
      <c r="CL182" s="37"/>
      <c r="CM182" s="37"/>
      <c r="CN182" s="37"/>
      <c r="CO182" s="37"/>
      <c r="CP182" s="37"/>
      <c r="CQ182" s="37"/>
      <c r="CR182" s="37"/>
      <c r="CS182" s="37"/>
      <c r="CT182" s="37"/>
      <c r="CU182" s="37"/>
      <c r="CV182" s="37"/>
      <c r="CW182" s="37"/>
      <c r="CX182" s="37"/>
      <c r="CY182" s="37"/>
      <c r="CZ182" s="37"/>
      <c r="DA182" s="37"/>
      <c r="DB182" s="37"/>
      <c r="DC182" s="37"/>
      <c r="DD182" s="37"/>
      <c r="DE182" s="37"/>
      <c r="DF182" s="37"/>
      <c r="DG182" s="37"/>
      <c r="DH182" s="37"/>
      <c r="DI182" s="37"/>
      <c r="DJ182" s="37"/>
      <c r="DK182" s="37"/>
      <c r="DL182" s="37"/>
      <c r="DM182" s="37"/>
      <c r="DN182" s="37"/>
      <c r="DO182" s="37"/>
      <c r="DP182" s="37"/>
      <c r="DQ182" s="37"/>
      <c r="DR182" s="37"/>
      <c r="DS182" s="37"/>
      <c r="DT182" s="37"/>
      <c r="DU182" s="37"/>
      <c r="DV182" s="37"/>
      <c r="DW182" s="37"/>
      <c r="DX182" s="37"/>
      <c r="DY182" s="37"/>
      <c r="DZ182" s="37"/>
      <c r="EA182" s="37"/>
      <c r="EB182" s="37"/>
      <c r="EC182" s="37"/>
      <c r="ED182" s="37"/>
      <c r="EE182" s="37"/>
      <c r="EF182" s="37"/>
      <c r="EG182" s="37"/>
      <c r="EH182" s="37"/>
      <c r="EI182" s="37"/>
      <c r="EJ182" s="37"/>
      <c r="EK182" s="37"/>
      <c r="EL182" s="37"/>
      <c r="EM182" s="37"/>
      <c r="EN182" s="37"/>
    </row>
    <row r="183" spans="1:144" s="34" customFormat="1">
      <c r="A183" s="46">
        <v>5</v>
      </c>
      <c r="B183" s="96" t="s">
        <v>18</v>
      </c>
      <c r="C183" s="85"/>
      <c r="D183" s="94">
        <f t="shared" ref="D183:P183" si="48">SUM(D181:D182)</f>
        <v>848931665.63139999</v>
      </c>
      <c r="E183" s="94">
        <f t="shared" si="48"/>
        <v>731802701.2967999</v>
      </c>
      <c r="F183" s="94">
        <f t="shared" si="48"/>
        <v>739442400.96839988</v>
      </c>
      <c r="G183" s="94">
        <f t="shared" si="48"/>
        <v>736631961.36239994</v>
      </c>
      <c r="H183" s="94">
        <f t="shared" si="48"/>
        <v>672675538.12519991</v>
      </c>
      <c r="I183" s="94">
        <f t="shared" si="48"/>
        <v>709462201.89479995</v>
      </c>
      <c r="J183" s="94">
        <f t="shared" si="48"/>
        <v>733069984.9188</v>
      </c>
      <c r="K183" s="94">
        <f t="shared" si="48"/>
        <v>768540615.03359985</v>
      </c>
      <c r="L183" s="94">
        <f t="shared" si="48"/>
        <v>893250239.57980001</v>
      </c>
      <c r="M183" s="94">
        <f t="shared" si="48"/>
        <v>1025137432.1556</v>
      </c>
      <c r="N183" s="94">
        <f t="shared" si="48"/>
        <v>1043698955.5249999</v>
      </c>
      <c r="O183" s="94">
        <f t="shared" si="48"/>
        <v>1059706403.8943999</v>
      </c>
      <c r="P183" s="94">
        <f t="shared" si="48"/>
        <v>9962350100.3862</v>
      </c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37"/>
      <c r="CD183" s="37"/>
      <c r="CE183" s="37"/>
      <c r="CF183" s="37"/>
      <c r="CG183" s="37"/>
      <c r="CH183" s="37"/>
      <c r="CI183" s="37"/>
      <c r="CJ183" s="37"/>
      <c r="CK183" s="37"/>
      <c r="CL183" s="37"/>
      <c r="CM183" s="37"/>
      <c r="CN183" s="37"/>
      <c r="CO183" s="37"/>
      <c r="CP183" s="37"/>
      <c r="CQ183" s="37"/>
      <c r="CR183" s="37"/>
      <c r="CS183" s="37"/>
      <c r="CT183" s="37"/>
      <c r="CU183" s="37"/>
      <c r="CV183" s="37"/>
      <c r="CW183" s="37"/>
      <c r="CX183" s="37"/>
      <c r="CY183" s="37"/>
      <c r="CZ183" s="37"/>
      <c r="DA183" s="37"/>
      <c r="DB183" s="37"/>
      <c r="DC183" s="37"/>
      <c r="DD183" s="37"/>
      <c r="DE183" s="37"/>
      <c r="DF183" s="37"/>
      <c r="DG183" s="37"/>
      <c r="DH183" s="37"/>
      <c r="DI183" s="37"/>
      <c r="DJ183" s="37"/>
      <c r="DK183" s="37"/>
      <c r="DL183" s="37"/>
      <c r="DM183" s="37"/>
      <c r="DN183" s="37"/>
      <c r="DO183" s="37"/>
      <c r="DP183" s="37"/>
      <c r="DQ183" s="37"/>
      <c r="DR183" s="37"/>
      <c r="DS183" s="37"/>
      <c r="DT183" s="37"/>
      <c r="DU183" s="37"/>
      <c r="DV183" s="37"/>
      <c r="DW183" s="37"/>
      <c r="DX183" s="37"/>
      <c r="DY183" s="37"/>
      <c r="DZ183" s="37"/>
      <c r="EA183" s="37"/>
      <c r="EB183" s="37"/>
      <c r="EC183" s="37"/>
      <c r="ED183" s="37"/>
      <c r="EE183" s="37"/>
      <c r="EF183" s="37"/>
      <c r="EG183" s="37"/>
      <c r="EH183" s="37"/>
      <c r="EI183" s="37"/>
      <c r="EJ183" s="37"/>
      <c r="EK183" s="37"/>
      <c r="EL183" s="37"/>
      <c r="EM183" s="37"/>
      <c r="EN183" s="37"/>
    </row>
    <row r="184" spans="1:144" s="34" customFormat="1">
      <c r="B184" s="146"/>
      <c r="C184" s="85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71"/>
      <c r="O184" s="71"/>
      <c r="P184" s="76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37"/>
      <c r="CD184" s="37"/>
      <c r="CE184" s="37"/>
      <c r="CF184" s="37"/>
      <c r="CG184" s="37"/>
      <c r="CH184" s="37"/>
      <c r="CI184" s="37"/>
      <c r="CJ184" s="37"/>
      <c r="CK184" s="37"/>
      <c r="CL184" s="37"/>
      <c r="CM184" s="37"/>
      <c r="CN184" s="37"/>
      <c r="CO184" s="37"/>
      <c r="CP184" s="37"/>
      <c r="CQ184" s="37"/>
      <c r="CR184" s="37"/>
      <c r="CS184" s="37"/>
      <c r="CT184" s="37"/>
      <c r="CU184" s="37"/>
      <c r="CV184" s="37"/>
      <c r="CW184" s="37"/>
      <c r="CX184" s="37"/>
      <c r="CY184" s="37"/>
      <c r="CZ184" s="37"/>
      <c r="DA184" s="37"/>
      <c r="DB184" s="37"/>
      <c r="DC184" s="37"/>
      <c r="DD184" s="37"/>
      <c r="DE184" s="37"/>
      <c r="DF184" s="37"/>
      <c r="DG184" s="37"/>
      <c r="DH184" s="37"/>
      <c r="DI184" s="37"/>
      <c r="DJ184" s="37"/>
      <c r="DK184" s="37"/>
      <c r="DL184" s="37"/>
      <c r="DM184" s="37"/>
      <c r="DN184" s="37"/>
      <c r="DO184" s="37"/>
      <c r="DP184" s="37"/>
      <c r="DQ184" s="37"/>
      <c r="DR184" s="37"/>
      <c r="DS184" s="37"/>
      <c r="DT184" s="37"/>
      <c r="DU184" s="37"/>
      <c r="DV184" s="37"/>
      <c r="DW184" s="37"/>
      <c r="DX184" s="37"/>
      <c r="DY184" s="37"/>
      <c r="DZ184" s="37"/>
      <c r="EA184" s="37"/>
      <c r="EB184" s="37"/>
      <c r="EC184" s="37"/>
      <c r="ED184" s="37"/>
      <c r="EE184" s="37"/>
      <c r="EF184" s="37"/>
      <c r="EG184" s="37"/>
      <c r="EH184" s="37"/>
      <c r="EI184" s="37"/>
      <c r="EJ184" s="37"/>
      <c r="EK184" s="37"/>
      <c r="EL184" s="37"/>
      <c r="EM184" s="37"/>
      <c r="EN184" s="37"/>
    </row>
    <row r="185" spans="1:144" s="34" customFormat="1">
      <c r="A185" s="46">
        <v>6</v>
      </c>
      <c r="B185" s="87" t="s">
        <v>82</v>
      </c>
      <c r="C185" s="74" t="s">
        <v>5</v>
      </c>
      <c r="D185" s="84">
        <f>$R$173*D22</f>
        <v>20244955.515749998</v>
      </c>
      <c r="E185" s="84">
        <f t="shared" ref="E185:O185" si="49">$R$173*E22</f>
        <v>20029732.486109998</v>
      </c>
      <c r="F185" s="84">
        <f t="shared" si="49"/>
        <v>22060939.263119999</v>
      </c>
      <c r="G185" s="84">
        <f t="shared" si="49"/>
        <v>20137728.424769998</v>
      </c>
      <c r="H185" s="84">
        <f t="shared" si="49"/>
        <v>20000312.571419999</v>
      </c>
      <c r="I185" s="84">
        <f t="shared" si="49"/>
        <v>21810727.396260001</v>
      </c>
      <c r="J185" s="84">
        <f t="shared" si="49"/>
        <v>23543345.491109997</v>
      </c>
      <c r="K185" s="84">
        <f t="shared" si="49"/>
        <v>25825070.211569998</v>
      </c>
      <c r="L185" s="84">
        <f t="shared" si="49"/>
        <v>24342324.478829999</v>
      </c>
      <c r="M185" s="84">
        <f t="shared" si="49"/>
        <v>25490751.004889999</v>
      </c>
      <c r="N185" s="84">
        <f t="shared" si="49"/>
        <v>25684274.98017</v>
      </c>
      <c r="O185" s="84">
        <f t="shared" si="49"/>
        <v>26399752.513469998</v>
      </c>
      <c r="P185" s="76">
        <f>SUM(D185:O185)</f>
        <v>275569914.33747</v>
      </c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37"/>
      <c r="CD185" s="37"/>
      <c r="CE185" s="37"/>
      <c r="CF185" s="37"/>
      <c r="CG185" s="37"/>
      <c r="CH185" s="37"/>
      <c r="CI185" s="37"/>
      <c r="CJ185" s="37"/>
      <c r="CK185" s="37"/>
      <c r="CL185" s="37"/>
      <c r="CM185" s="37"/>
      <c r="CN185" s="37"/>
      <c r="CO185" s="37"/>
      <c r="CP185" s="37"/>
      <c r="CQ185" s="37"/>
      <c r="CR185" s="37"/>
      <c r="CS185" s="37"/>
      <c r="CT185" s="37"/>
      <c r="CU185" s="37"/>
      <c r="CV185" s="37"/>
      <c r="CW185" s="37"/>
      <c r="CX185" s="37"/>
      <c r="CY185" s="37"/>
      <c r="CZ185" s="37"/>
      <c r="DA185" s="37"/>
      <c r="DB185" s="37"/>
      <c r="DC185" s="37"/>
      <c r="DD185" s="37"/>
      <c r="DE185" s="37"/>
      <c r="DF185" s="37"/>
      <c r="DG185" s="37"/>
      <c r="DH185" s="37"/>
      <c r="DI185" s="37"/>
      <c r="DJ185" s="37"/>
      <c r="DK185" s="37"/>
      <c r="DL185" s="37"/>
      <c r="DM185" s="37"/>
      <c r="DN185" s="37"/>
      <c r="DO185" s="37"/>
      <c r="DP185" s="37"/>
      <c r="DQ185" s="37"/>
      <c r="DR185" s="37"/>
      <c r="DS185" s="37"/>
      <c r="DT185" s="37"/>
      <c r="DU185" s="37"/>
      <c r="DV185" s="37"/>
      <c r="DW185" s="37"/>
      <c r="DX185" s="37"/>
      <c r="DY185" s="37"/>
      <c r="DZ185" s="37"/>
      <c r="EA185" s="37"/>
      <c r="EB185" s="37"/>
      <c r="EC185" s="37"/>
      <c r="ED185" s="37"/>
      <c r="EE185" s="37"/>
      <c r="EF185" s="37"/>
      <c r="EG185" s="37"/>
      <c r="EH185" s="37"/>
      <c r="EI185" s="37"/>
      <c r="EJ185" s="37"/>
      <c r="EK185" s="37"/>
      <c r="EL185" s="37"/>
      <c r="EM185" s="37"/>
      <c r="EN185" s="37"/>
    </row>
    <row r="186" spans="1:144" s="34" customFormat="1">
      <c r="A186" s="46">
        <v>7</v>
      </c>
      <c r="B186" s="87" t="s">
        <v>83</v>
      </c>
      <c r="C186" s="74" t="s">
        <v>5</v>
      </c>
      <c r="D186" s="84">
        <f t="shared" ref="D186:O186" si="50">$R$173*D23</f>
        <v>322579678.76648998</v>
      </c>
      <c r="E186" s="84">
        <f t="shared" si="50"/>
        <v>314122896.44945997</v>
      </c>
      <c r="F186" s="84">
        <f t="shared" si="50"/>
        <v>323223419.46842998</v>
      </c>
      <c r="G186" s="84">
        <f t="shared" si="50"/>
        <v>332136531.68687999</v>
      </c>
      <c r="H186" s="84">
        <f t="shared" si="50"/>
        <v>303309346.32665998</v>
      </c>
      <c r="I186" s="84">
        <f t="shared" si="50"/>
        <v>309653032.27634996</v>
      </c>
      <c r="J186" s="84">
        <f t="shared" si="50"/>
        <v>322344458.38475996</v>
      </c>
      <c r="K186" s="84">
        <f t="shared" si="50"/>
        <v>325962687.95036995</v>
      </c>
      <c r="L186" s="84">
        <f t="shared" si="50"/>
        <v>349803251.56908</v>
      </c>
      <c r="M186" s="84">
        <f t="shared" si="50"/>
        <v>358011616.69358999</v>
      </c>
      <c r="N186" s="84">
        <f t="shared" si="50"/>
        <v>371860361.21862</v>
      </c>
      <c r="O186" s="84">
        <f t="shared" si="50"/>
        <v>365959814.62733996</v>
      </c>
      <c r="P186" s="76">
        <f>SUM(D186:O186)</f>
        <v>3998967095.4180298</v>
      </c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/>
      <c r="CB186" s="37"/>
      <c r="CC186" s="37"/>
      <c r="CD186" s="37"/>
      <c r="CE186" s="37"/>
      <c r="CF186" s="37"/>
      <c r="CG186" s="37"/>
      <c r="CH186" s="37"/>
      <c r="CI186" s="37"/>
      <c r="CJ186" s="37"/>
      <c r="CK186" s="37"/>
      <c r="CL186" s="37"/>
      <c r="CM186" s="37"/>
      <c r="CN186" s="37"/>
      <c r="CO186" s="37"/>
      <c r="CP186" s="37"/>
      <c r="CQ186" s="37"/>
      <c r="CR186" s="37"/>
      <c r="CS186" s="37"/>
      <c r="CT186" s="37"/>
      <c r="CU186" s="37"/>
      <c r="CV186" s="37"/>
      <c r="CW186" s="37"/>
      <c r="CX186" s="37"/>
      <c r="CY186" s="37"/>
      <c r="CZ186" s="37"/>
      <c r="DA186" s="37"/>
      <c r="DB186" s="37"/>
      <c r="DC186" s="37"/>
      <c r="DD186" s="37"/>
      <c r="DE186" s="37"/>
      <c r="DF186" s="37"/>
      <c r="DG186" s="37"/>
      <c r="DH186" s="37"/>
      <c r="DI186" s="37"/>
      <c r="DJ186" s="37"/>
      <c r="DK186" s="37"/>
      <c r="DL186" s="37"/>
      <c r="DM186" s="37"/>
      <c r="DN186" s="37"/>
      <c r="DO186" s="37"/>
      <c r="DP186" s="37"/>
      <c r="DQ186" s="37"/>
      <c r="DR186" s="37"/>
      <c r="DS186" s="37"/>
      <c r="DT186" s="37"/>
      <c r="DU186" s="37"/>
      <c r="DV186" s="37"/>
      <c r="DW186" s="37"/>
      <c r="DX186" s="37"/>
      <c r="DY186" s="37"/>
      <c r="DZ186" s="37"/>
      <c r="EA186" s="37"/>
      <c r="EB186" s="37"/>
      <c r="EC186" s="37"/>
      <c r="ED186" s="37"/>
      <c r="EE186" s="37"/>
      <c r="EF186" s="37"/>
      <c r="EG186" s="37"/>
      <c r="EH186" s="37"/>
      <c r="EI186" s="37"/>
      <c r="EJ186" s="37"/>
      <c r="EK186" s="37"/>
      <c r="EL186" s="37"/>
      <c r="EM186" s="37"/>
      <c r="EN186" s="37"/>
    </row>
    <row r="187" spans="1:144" s="34" customFormat="1">
      <c r="A187" s="46">
        <v>8</v>
      </c>
      <c r="B187" s="87" t="s">
        <v>148</v>
      </c>
      <c r="C187" s="74" t="s">
        <v>5</v>
      </c>
      <c r="D187" s="84">
        <f t="shared" ref="D187:O187" si="51">$R$173*D24</f>
        <v>450653.38199999998</v>
      </c>
      <c r="E187" s="84">
        <f t="shared" si="51"/>
        <v>428716.152</v>
      </c>
      <c r="F187" s="84">
        <f t="shared" si="51"/>
        <v>487842.20999999996</v>
      </c>
      <c r="G187" s="84">
        <f t="shared" si="51"/>
        <v>383170.28399999999</v>
      </c>
      <c r="H187" s="84">
        <f t="shared" si="51"/>
        <v>387975.58199999999</v>
      </c>
      <c r="I187" s="84">
        <f t="shared" si="51"/>
        <v>493274.28599999996</v>
      </c>
      <c r="J187" s="84">
        <f t="shared" si="51"/>
        <v>517509.70199999999</v>
      </c>
      <c r="K187" s="84">
        <f t="shared" si="51"/>
        <v>574964.35199999996</v>
      </c>
      <c r="L187" s="84">
        <f t="shared" si="51"/>
        <v>619256.66399999999</v>
      </c>
      <c r="M187" s="84">
        <f t="shared" si="51"/>
        <v>618003.10800000001</v>
      </c>
      <c r="N187" s="84">
        <f t="shared" si="51"/>
        <v>577889.31599999999</v>
      </c>
      <c r="O187" s="84">
        <f t="shared" si="51"/>
        <v>603796.14</v>
      </c>
      <c r="P187" s="76">
        <f t="shared" ref="P187:P188" si="52">SUM(D187:O187)</f>
        <v>6143051.1779999994</v>
      </c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37"/>
      <c r="CD187" s="37"/>
      <c r="CE187" s="37"/>
      <c r="CF187" s="37"/>
      <c r="CG187" s="37"/>
      <c r="CH187" s="37"/>
      <c r="CI187" s="37"/>
      <c r="CJ187" s="37"/>
      <c r="CK187" s="37"/>
      <c r="CL187" s="37"/>
      <c r="CM187" s="37"/>
      <c r="CN187" s="37"/>
      <c r="CO187" s="37"/>
      <c r="CP187" s="37"/>
      <c r="CQ187" s="37"/>
      <c r="CR187" s="37"/>
      <c r="CS187" s="37"/>
      <c r="CT187" s="37"/>
      <c r="CU187" s="37"/>
      <c r="CV187" s="37"/>
      <c r="CW187" s="37"/>
      <c r="CX187" s="37"/>
      <c r="CY187" s="37"/>
      <c r="CZ187" s="37"/>
      <c r="DA187" s="37"/>
      <c r="DB187" s="37"/>
      <c r="DC187" s="37"/>
      <c r="DD187" s="37"/>
      <c r="DE187" s="37"/>
      <c r="DF187" s="37"/>
      <c r="DG187" s="37"/>
      <c r="DH187" s="37"/>
      <c r="DI187" s="37"/>
      <c r="DJ187" s="37"/>
      <c r="DK187" s="37"/>
      <c r="DL187" s="37"/>
      <c r="DM187" s="37"/>
      <c r="DN187" s="37"/>
      <c r="DO187" s="37"/>
      <c r="DP187" s="37"/>
      <c r="DQ187" s="37"/>
      <c r="DR187" s="37"/>
      <c r="DS187" s="37"/>
      <c r="DT187" s="37"/>
      <c r="DU187" s="37"/>
      <c r="DV187" s="37"/>
      <c r="DW187" s="37"/>
      <c r="DX187" s="37"/>
      <c r="DY187" s="37"/>
      <c r="DZ187" s="37"/>
      <c r="EA187" s="37"/>
      <c r="EB187" s="37"/>
      <c r="EC187" s="37"/>
      <c r="ED187" s="37"/>
      <c r="EE187" s="37"/>
      <c r="EF187" s="37"/>
      <c r="EG187" s="37"/>
      <c r="EH187" s="37"/>
      <c r="EI187" s="37"/>
      <c r="EJ187" s="37"/>
      <c r="EK187" s="37"/>
      <c r="EL187" s="37"/>
      <c r="EM187" s="37"/>
      <c r="EN187" s="37"/>
    </row>
    <row r="188" spans="1:144" s="34" customFormat="1">
      <c r="A188" s="46">
        <v>9</v>
      </c>
      <c r="B188" s="87" t="s">
        <v>149</v>
      </c>
      <c r="C188" s="74" t="s">
        <v>5</v>
      </c>
      <c r="D188" s="84">
        <f t="shared" ref="D188:O188" si="53">$R$173*D25</f>
        <v>49629807.1998</v>
      </c>
      <c r="E188" s="84">
        <f t="shared" si="53"/>
        <v>44261767.018799998</v>
      </c>
      <c r="F188" s="84">
        <f t="shared" si="53"/>
        <v>47265099.161399998</v>
      </c>
      <c r="G188" s="84">
        <f t="shared" si="53"/>
        <v>50425877.937599994</v>
      </c>
      <c r="H188" s="84">
        <f t="shared" si="53"/>
        <v>48536581.012199998</v>
      </c>
      <c r="I188" s="84">
        <f t="shared" si="53"/>
        <v>41215981.112999998</v>
      </c>
      <c r="J188" s="84">
        <f t="shared" si="53"/>
        <v>46767332.966399997</v>
      </c>
      <c r="K188" s="84">
        <f t="shared" si="53"/>
        <v>43281611.582399994</v>
      </c>
      <c r="L188" s="84">
        <f t="shared" si="53"/>
        <v>42917411.779199995</v>
      </c>
      <c r="M188" s="84">
        <f t="shared" si="53"/>
        <v>35947953.808200002</v>
      </c>
      <c r="N188" s="84">
        <f t="shared" si="53"/>
        <v>33020858.762999997</v>
      </c>
      <c r="O188" s="84">
        <f t="shared" si="53"/>
        <v>38960499.587399997</v>
      </c>
      <c r="P188" s="76">
        <f t="shared" si="52"/>
        <v>522230781.92939997</v>
      </c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37"/>
      <c r="CD188" s="37"/>
      <c r="CE188" s="37"/>
      <c r="CF188" s="37"/>
      <c r="CG188" s="37"/>
      <c r="CH188" s="37"/>
      <c r="CI188" s="37"/>
      <c r="CJ188" s="37"/>
      <c r="CK188" s="37"/>
      <c r="CL188" s="37"/>
      <c r="CM188" s="37"/>
      <c r="CN188" s="37"/>
      <c r="CO188" s="37"/>
      <c r="CP188" s="37"/>
      <c r="CQ188" s="37"/>
      <c r="CR188" s="37"/>
      <c r="CS188" s="37"/>
      <c r="CT188" s="37"/>
      <c r="CU188" s="37"/>
      <c r="CV188" s="37"/>
      <c r="CW188" s="37"/>
      <c r="CX188" s="37"/>
      <c r="CY188" s="37"/>
      <c r="CZ188" s="37"/>
      <c r="DA188" s="37"/>
      <c r="DB188" s="37"/>
      <c r="DC188" s="37"/>
      <c r="DD188" s="37"/>
      <c r="DE188" s="37"/>
      <c r="DF188" s="37"/>
      <c r="DG188" s="37"/>
      <c r="DH188" s="37"/>
      <c r="DI188" s="37"/>
      <c r="DJ188" s="37"/>
      <c r="DK188" s="37"/>
      <c r="DL188" s="37"/>
      <c r="DM188" s="37"/>
      <c r="DN188" s="37"/>
      <c r="DO188" s="37"/>
      <c r="DP188" s="37"/>
      <c r="DQ188" s="37"/>
      <c r="DR188" s="37"/>
      <c r="DS188" s="37"/>
      <c r="DT188" s="37"/>
      <c r="DU188" s="37"/>
      <c r="DV188" s="37"/>
      <c r="DW188" s="37"/>
      <c r="DX188" s="37"/>
      <c r="DY188" s="37"/>
      <c r="DZ188" s="37"/>
      <c r="EA188" s="37"/>
      <c r="EB188" s="37"/>
      <c r="EC188" s="37"/>
      <c r="ED188" s="37"/>
      <c r="EE188" s="37"/>
      <c r="EF188" s="37"/>
      <c r="EG188" s="37"/>
      <c r="EH188" s="37"/>
      <c r="EI188" s="37"/>
      <c r="EJ188" s="37"/>
      <c r="EK188" s="37"/>
      <c r="EL188" s="37"/>
      <c r="EM188" s="37"/>
      <c r="EN188" s="37"/>
    </row>
    <row r="189" spans="1:144" s="34" customFormat="1">
      <c r="A189" s="46">
        <v>10</v>
      </c>
      <c r="B189" s="78" t="s">
        <v>19</v>
      </c>
      <c r="C189" s="74"/>
      <c r="D189" s="218">
        <f>SUM(D185:D188)</f>
        <v>392905094.86404002</v>
      </c>
      <c r="E189" s="218">
        <f t="shared" ref="E189:P189" si="54">SUM(E185:E188)</f>
        <v>378843112.10636997</v>
      </c>
      <c r="F189" s="218">
        <f t="shared" si="54"/>
        <v>393037300.10294998</v>
      </c>
      <c r="G189" s="218">
        <f t="shared" si="54"/>
        <v>403083308.33324999</v>
      </c>
      <c r="H189" s="218">
        <f t="shared" si="54"/>
        <v>372234215.49228001</v>
      </c>
      <c r="I189" s="218">
        <f t="shared" si="54"/>
        <v>373173015.07160997</v>
      </c>
      <c r="J189" s="218">
        <f t="shared" si="54"/>
        <v>393172646.54427004</v>
      </c>
      <c r="K189" s="218">
        <f t="shared" si="54"/>
        <v>395644334.09633994</v>
      </c>
      <c r="L189" s="218">
        <f t="shared" si="54"/>
        <v>417682244.49110997</v>
      </c>
      <c r="M189" s="218">
        <f t="shared" si="54"/>
        <v>420068324.61467999</v>
      </c>
      <c r="N189" s="218">
        <f t="shared" si="54"/>
        <v>431143384.27779001</v>
      </c>
      <c r="O189" s="218">
        <f t="shared" si="54"/>
        <v>431923862.86820996</v>
      </c>
      <c r="P189" s="218">
        <f t="shared" si="54"/>
        <v>4802910842.8628998</v>
      </c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/>
      <c r="CC189" s="37"/>
      <c r="CD189" s="37"/>
      <c r="CE189" s="37"/>
      <c r="CF189" s="37"/>
      <c r="CG189" s="37"/>
      <c r="CH189" s="37"/>
      <c r="CI189" s="37"/>
      <c r="CJ189" s="37"/>
      <c r="CK189" s="37"/>
      <c r="CL189" s="37"/>
      <c r="CM189" s="37"/>
      <c r="CN189" s="37"/>
      <c r="CO189" s="37"/>
      <c r="CP189" s="37"/>
      <c r="CQ189" s="37"/>
      <c r="CR189" s="37"/>
      <c r="CS189" s="37"/>
      <c r="CT189" s="37"/>
      <c r="CU189" s="37"/>
      <c r="CV189" s="37"/>
      <c r="CW189" s="37"/>
      <c r="CX189" s="37"/>
      <c r="CY189" s="37"/>
      <c r="CZ189" s="37"/>
      <c r="DA189" s="37"/>
      <c r="DB189" s="37"/>
      <c r="DC189" s="37"/>
      <c r="DD189" s="37"/>
      <c r="DE189" s="37"/>
      <c r="DF189" s="37"/>
      <c r="DG189" s="37"/>
      <c r="DH189" s="37"/>
      <c r="DI189" s="37"/>
      <c r="DJ189" s="37"/>
      <c r="DK189" s="37"/>
      <c r="DL189" s="37"/>
      <c r="DM189" s="37"/>
      <c r="DN189" s="37"/>
      <c r="DO189" s="37"/>
      <c r="DP189" s="37"/>
      <c r="DQ189" s="37"/>
      <c r="DR189" s="37"/>
      <c r="DS189" s="37"/>
      <c r="DT189" s="37"/>
      <c r="DU189" s="37"/>
      <c r="DV189" s="37"/>
      <c r="DW189" s="37"/>
      <c r="DX189" s="37"/>
      <c r="DY189" s="37"/>
      <c r="DZ189" s="37"/>
      <c r="EA189" s="37"/>
      <c r="EB189" s="37"/>
      <c r="EC189" s="37"/>
      <c r="ED189" s="37"/>
      <c r="EE189" s="37"/>
      <c r="EF189" s="37"/>
      <c r="EG189" s="37"/>
      <c r="EH189" s="37"/>
      <c r="EI189" s="37"/>
      <c r="EJ189" s="37"/>
      <c r="EK189" s="37"/>
      <c r="EL189" s="37"/>
      <c r="EM189" s="37"/>
      <c r="EN189" s="37"/>
    </row>
    <row r="190" spans="1:144" s="34" customFormat="1">
      <c r="A190" s="46"/>
      <c r="B190" s="78"/>
      <c r="C190" s="74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6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  <c r="CE190" s="37"/>
      <c r="CF190" s="37"/>
      <c r="CG190" s="37"/>
      <c r="CH190" s="37"/>
      <c r="CI190" s="37"/>
      <c r="CJ190" s="37"/>
      <c r="CK190" s="37"/>
      <c r="CL190" s="37"/>
      <c r="CM190" s="37"/>
      <c r="CN190" s="37"/>
      <c r="CO190" s="37"/>
      <c r="CP190" s="37"/>
      <c r="CQ190" s="37"/>
      <c r="CR190" s="37"/>
      <c r="CS190" s="37"/>
      <c r="CT190" s="37"/>
      <c r="CU190" s="37"/>
      <c r="CV190" s="37"/>
      <c r="CW190" s="37"/>
      <c r="CX190" s="37"/>
      <c r="CY190" s="37"/>
      <c r="CZ190" s="37"/>
      <c r="DA190" s="37"/>
      <c r="DB190" s="37"/>
      <c r="DC190" s="37"/>
      <c r="DD190" s="37"/>
      <c r="DE190" s="37"/>
      <c r="DF190" s="37"/>
      <c r="DG190" s="37"/>
      <c r="DH190" s="37"/>
      <c r="DI190" s="37"/>
      <c r="DJ190" s="37"/>
      <c r="DK190" s="37"/>
      <c r="DL190" s="37"/>
      <c r="DM190" s="37"/>
      <c r="DN190" s="37"/>
      <c r="DO190" s="37"/>
      <c r="DP190" s="37"/>
      <c r="DQ190" s="37"/>
      <c r="DR190" s="37"/>
      <c r="DS190" s="37"/>
      <c r="DT190" s="37"/>
      <c r="DU190" s="37"/>
      <c r="DV190" s="37"/>
      <c r="DW190" s="37"/>
      <c r="DX190" s="37"/>
      <c r="DY190" s="37"/>
      <c r="DZ190" s="37"/>
      <c r="EA190" s="37"/>
      <c r="EB190" s="37"/>
      <c r="EC190" s="37"/>
      <c r="ED190" s="37"/>
      <c r="EE190" s="37"/>
      <c r="EF190" s="37"/>
      <c r="EG190" s="37"/>
      <c r="EH190" s="37"/>
      <c r="EI190" s="37"/>
      <c r="EJ190" s="37"/>
      <c r="EK190" s="37"/>
      <c r="EL190" s="37"/>
      <c r="EM190" s="37"/>
      <c r="EN190" s="37"/>
    </row>
    <row r="191" spans="1:144" s="34" customFormat="1">
      <c r="A191" s="46">
        <v>11</v>
      </c>
      <c r="B191" s="96" t="s">
        <v>86</v>
      </c>
      <c r="C191" s="74" t="s">
        <v>6</v>
      </c>
      <c r="D191" s="84">
        <f>$R$174*D28</f>
        <v>763102777.19832003</v>
      </c>
      <c r="E191" s="84">
        <f t="shared" ref="E191:O191" si="55">$R$174*E28</f>
        <v>972519030.59687996</v>
      </c>
      <c r="F191" s="84">
        <f t="shared" si="55"/>
        <v>849536598.36168003</v>
      </c>
      <c r="G191" s="84">
        <f t="shared" si="55"/>
        <v>1002679862.73912</v>
      </c>
      <c r="H191" s="84">
        <f t="shared" si="55"/>
        <v>918676435.51169991</v>
      </c>
      <c r="I191" s="84">
        <f t="shared" si="55"/>
        <v>978680068.54955995</v>
      </c>
      <c r="J191" s="84">
        <f t="shared" si="55"/>
        <v>927138341.20157993</v>
      </c>
      <c r="K191" s="84">
        <f t="shared" si="55"/>
        <v>986643570.88331997</v>
      </c>
      <c r="L191" s="84">
        <f t="shared" si="55"/>
        <v>1039504854.98772</v>
      </c>
      <c r="M191" s="84">
        <f t="shared" si="55"/>
        <v>989051099.15429997</v>
      </c>
      <c r="N191" s="84">
        <f t="shared" si="55"/>
        <v>1008045280.41336</v>
      </c>
      <c r="O191" s="84">
        <f t="shared" si="55"/>
        <v>996264948.17339993</v>
      </c>
      <c r="P191" s="76">
        <f>SUM(D191:O191)</f>
        <v>11431842867.770939</v>
      </c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37"/>
      <c r="CD191" s="37"/>
      <c r="CE191" s="37"/>
      <c r="CF191" s="37"/>
      <c r="CG191" s="37"/>
      <c r="CH191" s="37"/>
      <c r="CI191" s="37"/>
      <c r="CJ191" s="37"/>
      <c r="CK191" s="37"/>
      <c r="CL191" s="37"/>
      <c r="CM191" s="37"/>
      <c r="CN191" s="37"/>
      <c r="CO191" s="37"/>
      <c r="CP191" s="37"/>
      <c r="CQ191" s="37"/>
      <c r="CR191" s="37"/>
      <c r="CS191" s="37"/>
      <c r="CT191" s="37"/>
      <c r="CU191" s="37"/>
      <c r="CV191" s="37"/>
      <c r="CW191" s="37"/>
      <c r="CX191" s="37"/>
      <c r="CY191" s="37"/>
      <c r="CZ191" s="37"/>
      <c r="DA191" s="37"/>
      <c r="DB191" s="37"/>
      <c r="DC191" s="37"/>
      <c r="DD191" s="37"/>
      <c r="DE191" s="37"/>
      <c r="DF191" s="37"/>
      <c r="DG191" s="37"/>
      <c r="DH191" s="37"/>
      <c r="DI191" s="37"/>
      <c r="DJ191" s="37"/>
      <c r="DK191" s="37"/>
      <c r="DL191" s="37"/>
      <c r="DM191" s="37"/>
      <c r="DN191" s="37"/>
      <c r="DO191" s="37"/>
      <c r="DP191" s="37"/>
      <c r="DQ191" s="37"/>
      <c r="DR191" s="37"/>
      <c r="DS191" s="37"/>
      <c r="DT191" s="37"/>
      <c r="DU191" s="37"/>
      <c r="DV191" s="37"/>
      <c r="DW191" s="37"/>
      <c r="DX191" s="37"/>
      <c r="DY191" s="37"/>
      <c r="DZ191" s="37"/>
      <c r="EA191" s="37"/>
      <c r="EB191" s="37"/>
      <c r="EC191" s="37"/>
      <c r="ED191" s="37"/>
      <c r="EE191" s="37"/>
      <c r="EF191" s="37"/>
      <c r="EG191" s="37"/>
      <c r="EH191" s="37"/>
      <c r="EI191" s="37"/>
      <c r="EJ191" s="37"/>
      <c r="EK191" s="37"/>
      <c r="EL191" s="37"/>
      <c r="EM191" s="37"/>
      <c r="EN191" s="37"/>
    </row>
    <row r="192" spans="1:144" s="34" customFormat="1">
      <c r="B192" s="78"/>
      <c r="C192" s="85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76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37"/>
      <c r="CD192" s="37"/>
      <c r="CE192" s="37"/>
      <c r="CF192" s="37"/>
      <c r="CG192" s="37"/>
      <c r="CH192" s="37"/>
      <c r="CI192" s="37"/>
      <c r="CJ192" s="37"/>
      <c r="CK192" s="37"/>
      <c r="CL192" s="37"/>
      <c r="CM192" s="37"/>
      <c r="CN192" s="37"/>
      <c r="CO192" s="37"/>
      <c r="CP192" s="37"/>
      <c r="CQ192" s="37"/>
      <c r="CR192" s="37"/>
      <c r="CS192" s="37"/>
      <c r="CT192" s="37"/>
      <c r="CU192" s="37"/>
      <c r="CV192" s="37"/>
      <c r="CW192" s="37"/>
      <c r="CX192" s="37"/>
      <c r="CY192" s="37"/>
      <c r="CZ192" s="37"/>
      <c r="DA192" s="37"/>
      <c r="DB192" s="37"/>
      <c r="DC192" s="37"/>
      <c r="DD192" s="37"/>
      <c r="DE192" s="37"/>
      <c r="DF192" s="37"/>
      <c r="DG192" s="37"/>
      <c r="DH192" s="37"/>
      <c r="DI192" s="37"/>
      <c r="DJ192" s="37"/>
      <c r="DK192" s="37"/>
      <c r="DL192" s="37"/>
      <c r="DM192" s="37"/>
      <c r="DN192" s="37"/>
      <c r="DO192" s="37"/>
      <c r="DP192" s="37"/>
      <c r="DQ192" s="37"/>
      <c r="DR192" s="37"/>
      <c r="DS192" s="37"/>
      <c r="DT192" s="37"/>
      <c r="DU192" s="37"/>
      <c r="DV192" s="37"/>
      <c r="DW192" s="37"/>
      <c r="DX192" s="37"/>
      <c r="DY192" s="37"/>
      <c r="DZ192" s="37"/>
      <c r="EA192" s="37"/>
      <c r="EB192" s="37"/>
      <c r="EC192" s="37"/>
      <c r="ED192" s="37"/>
      <c r="EE192" s="37"/>
      <c r="EF192" s="37"/>
      <c r="EG192" s="37"/>
      <c r="EH192" s="37"/>
      <c r="EI192" s="37"/>
      <c r="EJ192" s="37"/>
      <c r="EK192" s="37"/>
      <c r="EL192" s="37"/>
      <c r="EM192" s="37"/>
      <c r="EN192" s="37"/>
    </row>
    <row r="193" spans="1:145" s="34" customFormat="1">
      <c r="A193" s="46">
        <v>12</v>
      </c>
      <c r="B193" s="68" t="s">
        <v>21</v>
      </c>
      <c r="C193" s="74" t="s">
        <v>4</v>
      </c>
      <c r="D193" s="71">
        <f>$R$172*D30</f>
        <v>21729291.510399997</v>
      </c>
      <c r="E193" s="71">
        <f t="shared" ref="E193:O193" si="56">$R$172*E30</f>
        <v>21817761.442199998</v>
      </c>
      <c r="F193" s="71">
        <f t="shared" si="56"/>
        <v>21638139.530999999</v>
      </c>
      <c r="G193" s="71">
        <f t="shared" si="56"/>
        <v>21683370.854999997</v>
      </c>
      <c r="H193" s="71">
        <f t="shared" si="56"/>
        <v>21553480.816799998</v>
      </c>
      <c r="I193" s="71">
        <f t="shared" si="56"/>
        <v>21616086.303199999</v>
      </c>
      <c r="J193" s="71">
        <f t="shared" si="56"/>
        <v>21589208.830999997</v>
      </c>
      <c r="K193" s="71">
        <f t="shared" si="56"/>
        <v>21577464.387599997</v>
      </c>
      <c r="L193" s="71">
        <f t="shared" si="56"/>
        <v>21500216.254799999</v>
      </c>
      <c r="M193" s="71">
        <f t="shared" si="56"/>
        <v>21561699.023599997</v>
      </c>
      <c r="N193" s="71">
        <f t="shared" si="56"/>
        <v>21406443.525599997</v>
      </c>
      <c r="O193" s="71">
        <f t="shared" si="56"/>
        <v>21429774.328599997</v>
      </c>
      <c r="P193" s="76">
        <f>SUM(D193:O193)</f>
        <v>259102936.80979994</v>
      </c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  <c r="CC193" s="37"/>
      <c r="CD193" s="37"/>
      <c r="CE193" s="37"/>
      <c r="CF193" s="37"/>
      <c r="CG193" s="37"/>
      <c r="CH193" s="37"/>
      <c r="CI193" s="37"/>
      <c r="CJ193" s="37"/>
      <c r="CK193" s="37"/>
      <c r="CL193" s="37"/>
      <c r="CM193" s="37"/>
      <c r="CN193" s="37"/>
      <c r="CO193" s="37"/>
      <c r="CP193" s="37"/>
      <c r="CQ193" s="37"/>
      <c r="CR193" s="37"/>
      <c r="CS193" s="37"/>
      <c r="CT193" s="37"/>
      <c r="CU193" s="37"/>
      <c r="CV193" s="37"/>
      <c r="CW193" s="37"/>
      <c r="CX193" s="37"/>
      <c r="CY193" s="37"/>
      <c r="CZ193" s="37"/>
      <c r="DA193" s="37"/>
      <c r="DB193" s="37"/>
      <c r="DC193" s="37"/>
      <c r="DD193" s="37"/>
      <c r="DE193" s="37"/>
      <c r="DF193" s="37"/>
      <c r="DG193" s="37"/>
      <c r="DH193" s="37"/>
      <c r="DI193" s="37"/>
      <c r="DJ193" s="37"/>
      <c r="DK193" s="37"/>
      <c r="DL193" s="37"/>
      <c r="DM193" s="37"/>
      <c r="DN193" s="37"/>
      <c r="DO193" s="37"/>
      <c r="DP193" s="37"/>
      <c r="DQ193" s="37"/>
      <c r="DR193" s="37"/>
      <c r="DS193" s="37"/>
      <c r="DT193" s="37"/>
      <c r="DU193" s="37"/>
      <c r="DV193" s="37"/>
      <c r="DW193" s="37"/>
      <c r="DX193" s="37"/>
      <c r="DY193" s="37"/>
      <c r="DZ193" s="37"/>
      <c r="EA193" s="37"/>
      <c r="EB193" s="37"/>
      <c r="EC193" s="37"/>
      <c r="ED193" s="37"/>
      <c r="EE193" s="37"/>
      <c r="EF193" s="37"/>
      <c r="EG193" s="37"/>
      <c r="EH193" s="37"/>
      <c r="EI193" s="37"/>
      <c r="EJ193" s="37"/>
      <c r="EK193" s="37"/>
      <c r="EL193" s="37"/>
      <c r="EM193" s="37"/>
      <c r="EN193" s="37"/>
    </row>
    <row r="194" spans="1:145" s="34" customFormat="1">
      <c r="A194" s="46"/>
      <c r="B194" s="78"/>
      <c r="C194" s="85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71"/>
      <c r="O194" s="71"/>
      <c r="P194" s="76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  <c r="CC194" s="37"/>
      <c r="CD194" s="37"/>
      <c r="CE194" s="37"/>
      <c r="CF194" s="37"/>
      <c r="CG194" s="37"/>
      <c r="CH194" s="37"/>
      <c r="CI194" s="37"/>
      <c r="CJ194" s="37"/>
      <c r="CK194" s="37"/>
      <c r="CL194" s="37"/>
      <c r="CM194" s="37"/>
      <c r="CN194" s="37"/>
      <c r="CO194" s="37"/>
      <c r="CP194" s="37"/>
      <c r="CQ194" s="37"/>
      <c r="CR194" s="37"/>
      <c r="CS194" s="37"/>
      <c r="CT194" s="37"/>
      <c r="CU194" s="37"/>
      <c r="CV194" s="37"/>
      <c r="CW194" s="37"/>
      <c r="CX194" s="37"/>
      <c r="CY194" s="37"/>
      <c r="CZ194" s="37"/>
      <c r="DA194" s="37"/>
      <c r="DB194" s="37"/>
      <c r="DC194" s="37"/>
      <c r="DD194" s="37"/>
      <c r="DE194" s="37"/>
      <c r="DF194" s="37"/>
      <c r="DG194" s="37"/>
      <c r="DH194" s="37"/>
      <c r="DI194" s="37"/>
      <c r="DJ194" s="37"/>
      <c r="DK194" s="37"/>
      <c r="DL194" s="37"/>
      <c r="DM194" s="37"/>
      <c r="DN194" s="37"/>
      <c r="DO194" s="37"/>
      <c r="DP194" s="37"/>
      <c r="DQ194" s="37"/>
      <c r="DR194" s="37"/>
      <c r="DS194" s="37"/>
      <c r="DT194" s="37"/>
      <c r="DU194" s="37"/>
      <c r="DV194" s="37"/>
      <c r="DW194" s="37"/>
      <c r="DX194" s="37"/>
      <c r="DY194" s="37"/>
      <c r="DZ194" s="37"/>
      <c r="EA194" s="37"/>
      <c r="EB194" s="37"/>
      <c r="EC194" s="37"/>
      <c r="ED194" s="37"/>
      <c r="EE194" s="37"/>
      <c r="EF194" s="37"/>
      <c r="EG194" s="37"/>
      <c r="EH194" s="37"/>
      <c r="EI194" s="37"/>
      <c r="EJ194" s="37"/>
      <c r="EK194" s="37"/>
      <c r="EL194" s="37"/>
      <c r="EM194" s="37"/>
      <c r="EN194" s="37"/>
    </row>
    <row r="195" spans="1:145" s="34" customFormat="1">
      <c r="A195" s="46">
        <v>13</v>
      </c>
      <c r="B195" s="114" t="s">
        <v>22</v>
      </c>
      <c r="C195" s="143"/>
      <c r="D195" s="115">
        <f t="shared" ref="D195:P195" si="57">D193+D191+D189+D183+D179+D177</f>
        <v>3196553571.0655603</v>
      </c>
      <c r="E195" s="115">
        <f t="shared" si="57"/>
        <v>3015083325.2610497</v>
      </c>
      <c r="F195" s="115">
        <f t="shared" si="57"/>
        <v>3057160320.8956299</v>
      </c>
      <c r="G195" s="115">
        <f t="shared" si="57"/>
        <v>3290438903.5711699</v>
      </c>
      <c r="H195" s="115">
        <f t="shared" si="57"/>
        <v>2978559904.0431795</v>
      </c>
      <c r="I195" s="115">
        <f t="shared" si="57"/>
        <v>2998435103.4131699</v>
      </c>
      <c r="J195" s="115">
        <f t="shared" si="57"/>
        <v>2977549300.99545</v>
      </c>
      <c r="K195" s="115">
        <f t="shared" si="57"/>
        <v>3155602970.3386598</v>
      </c>
      <c r="L195" s="115">
        <f t="shared" si="57"/>
        <v>3688776153.4658298</v>
      </c>
      <c r="M195" s="115">
        <f t="shared" si="57"/>
        <v>4166899806.1273794</v>
      </c>
      <c r="N195" s="115">
        <f t="shared" si="57"/>
        <v>4234283829.0051498</v>
      </c>
      <c r="O195" s="115">
        <f t="shared" si="57"/>
        <v>4188748888.3954096</v>
      </c>
      <c r="P195" s="115">
        <f t="shared" si="57"/>
        <v>40948092076.577637</v>
      </c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37"/>
      <c r="CD195" s="37"/>
      <c r="CE195" s="37"/>
      <c r="CF195" s="37"/>
      <c r="CG195" s="37"/>
      <c r="CH195" s="37"/>
      <c r="CI195" s="37"/>
      <c r="CJ195" s="37"/>
      <c r="CK195" s="37"/>
      <c r="CL195" s="37"/>
      <c r="CM195" s="37"/>
      <c r="CN195" s="37"/>
      <c r="CO195" s="37"/>
      <c r="CP195" s="37"/>
      <c r="CQ195" s="37"/>
      <c r="CR195" s="37"/>
      <c r="CS195" s="37"/>
      <c r="CT195" s="37"/>
      <c r="CU195" s="37"/>
      <c r="CV195" s="37"/>
      <c r="CW195" s="37"/>
      <c r="CX195" s="37"/>
      <c r="CY195" s="37"/>
      <c r="CZ195" s="37"/>
      <c r="DA195" s="37"/>
      <c r="DB195" s="37"/>
      <c r="DC195" s="37"/>
      <c r="DD195" s="37"/>
      <c r="DE195" s="37"/>
      <c r="DF195" s="37"/>
      <c r="DG195" s="37"/>
      <c r="DH195" s="37"/>
      <c r="DI195" s="37"/>
      <c r="DJ195" s="37"/>
      <c r="DK195" s="37"/>
      <c r="DL195" s="37"/>
      <c r="DM195" s="37"/>
      <c r="DN195" s="37"/>
      <c r="DO195" s="37"/>
      <c r="DP195" s="37"/>
      <c r="DQ195" s="37"/>
      <c r="DR195" s="37"/>
      <c r="DS195" s="37"/>
      <c r="DT195" s="37"/>
      <c r="DU195" s="37"/>
      <c r="DV195" s="37"/>
      <c r="DW195" s="37"/>
      <c r="DX195" s="37"/>
      <c r="DY195" s="37"/>
      <c r="DZ195" s="37"/>
      <c r="EA195" s="37"/>
      <c r="EB195" s="37"/>
      <c r="EC195" s="37"/>
      <c r="ED195" s="37"/>
      <c r="EE195" s="37"/>
      <c r="EF195" s="37"/>
      <c r="EG195" s="37"/>
      <c r="EH195" s="37"/>
      <c r="EI195" s="37"/>
      <c r="EJ195" s="37"/>
      <c r="EK195" s="37"/>
      <c r="EL195" s="37"/>
      <c r="EM195" s="37"/>
      <c r="EN195" s="37"/>
    </row>
    <row r="196" spans="1:145" s="34" customFormat="1">
      <c r="B196" s="143"/>
      <c r="C196" s="143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93"/>
      <c r="O196" s="93"/>
      <c r="P196" s="76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  <c r="CE196" s="37"/>
      <c r="CF196" s="37"/>
      <c r="CG196" s="37"/>
      <c r="CH196" s="37"/>
      <c r="CI196" s="37"/>
      <c r="CJ196" s="37"/>
      <c r="CK196" s="37"/>
      <c r="CL196" s="37"/>
      <c r="CM196" s="37"/>
      <c r="CN196" s="37"/>
      <c r="CO196" s="37"/>
      <c r="CP196" s="37"/>
      <c r="CQ196" s="37"/>
      <c r="CR196" s="37"/>
      <c r="CS196" s="37"/>
      <c r="CT196" s="37"/>
      <c r="CU196" s="37"/>
      <c r="CV196" s="37"/>
      <c r="CW196" s="37"/>
      <c r="CX196" s="37"/>
      <c r="CY196" s="37"/>
      <c r="CZ196" s="37"/>
      <c r="DA196" s="37"/>
      <c r="DB196" s="37"/>
      <c r="DC196" s="37"/>
      <c r="DD196" s="37"/>
      <c r="DE196" s="37"/>
      <c r="DF196" s="37"/>
      <c r="DG196" s="37"/>
      <c r="DH196" s="37"/>
      <c r="DI196" s="37"/>
      <c r="DJ196" s="37"/>
      <c r="DK196" s="37"/>
      <c r="DL196" s="37"/>
      <c r="DM196" s="37"/>
      <c r="DN196" s="37"/>
      <c r="DO196" s="37"/>
      <c r="DP196" s="37"/>
      <c r="DQ196" s="37"/>
      <c r="DR196" s="37"/>
      <c r="DS196" s="37"/>
      <c r="DT196" s="37"/>
      <c r="DU196" s="37"/>
      <c r="DV196" s="37"/>
      <c r="DW196" s="37"/>
      <c r="DX196" s="37"/>
      <c r="DY196" s="37"/>
      <c r="DZ196" s="37"/>
      <c r="EA196" s="37"/>
      <c r="EB196" s="37"/>
      <c r="EC196" s="37"/>
      <c r="ED196" s="37"/>
      <c r="EE196" s="37"/>
      <c r="EF196" s="37"/>
      <c r="EG196" s="37"/>
      <c r="EH196" s="37"/>
      <c r="EI196" s="37"/>
      <c r="EJ196" s="37"/>
      <c r="EK196" s="37"/>
      <c r="EL196" s="37"/>
      <c r="EM196" s="37"/>
      <c r="EN196" s="37"/>
    </row>
    <row r="197" spans="1:145" s="34" customFormat="1">
      <c r="A197" s="46">
        <v>14</v>
      </c>
      <c r="B197" s="89" t="s">
        <v>69</v>
      </c>
      <c r="C197" s="74" t="s">
        <v>5</v>
      </c>
      <c r="D197" s="84">
        <f t="shared" ref="D197:O197" si="58">$R$173*D34</f>
        <v>0</v>
      </c>
      <c r="E197" s="71">
        <f t="shared" si="58"/>
        <v>0</v>
      </c>
      <c r="F197" s="71">
        <f t="shared" si="58"/>
        <v>0</v>
      </c>
      <c r="G197" s="71">
        <f t="shared" si="58"/>
        <v>0</v>
      </c>
      <c r="H197" s="71">
        <f t="shared" si="58"/>
        <v>0</v>
      </c>
      <c r="I197" s="71">
        <f t="shared" si="58"/>
        <v>0</v>
      </c>
      <c r="J197" s="71">
        <f t="shared" si="58"/>
        <v>0</v>
      </c>
      <c r="K197" s="71">
        <f t="shared" si="58"/>
        <v>0</v>
      </c>
      <c r="L197" s="71">
        <f t="shared" si="58"/>
        <v>0</v>
      </c>
      <c r="M197" s="71">
        <f t="shared" si="58"/>
        <v>0</v>
      </c>
      <c r="N197" s="71">
        <f t="shared" si="58"/>
        <v>0</v>
      </c>
      <c r="O197" s="71">
        <f t="shared" si="58"/>
        <v>0</v>
      </c>
      <c r="P197" s="76">
        <f>SUM(D197:O197)</f>
        <v>0</v>
      </c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37"/>
      <c r="CD197" s="37"/>
      <c r="CE197" s="37"/>
      <c r="CF197" s="37"/>
      <c r="CG197" s="37"/>
      <c r="CH197" s="37"/>
      <c r="CI197" s="37"/>
      <c r="CJ197" s="37"/>
      <c r="CK197" s="37"/>
      <c r="CL197" s="37"/>
      <c r="CM197" s="37"/>
      <c r="CN197" s="37"/>
      <c r="CO197" s="37"/>
      <c r="CP197" s="37"/>
      <c r="CQ197" s="37"/>
      <c r="CR197" s="37"/>
      <c r="CS197" s="37"/>
      <c r="CT197" s="37"/>
      <c r="CU197" s="37"/>
      <c r="CV197" s="37"/>
      <c r="CW197" s="37"/>
      <c r="CX197" s="37"/>
      <c r="CY197" s="37"/>
      <c r="CZ197" s="37"/>
      <c r="DA197" s="37"/>
      <c r="DB197" s="37"/>
      <c r="DC197" s="37"/>
      <c r="DD197" s="37"/>
      <c r="DE197" s="37"/>
      <c r="DF197" s="37"/>
      <c r="DG197" s="37"/>
      <c r="DH197" s="37"/>
      <c r="DI197" s="37"/>
      <c r="DJ197" s="37"/>
      <c r="DK197" s="37"/>
      <c r="DL197" s="37"/>
      <c r="DM197" s="37"/>
      <c r="DN197" s="37"/>
      <c r="DO197" s="37"/>
      <c r="DP197" s="37"/>
      <c r="DQ197" s="37"/>
      <c r="DR197" s="37"/>
      <c r="DS197" s="37"/>
      <c r="DT197" s="37"/>
      <c r="DU197" s="37"/>
      <c r="DV197" s="37"/>
      <c r="DW197" s="37"/>
      <c r="DX197" s="37"/>
      <c r="DY197" s="37"/>
      <c r="DZ197" s="37"/>
      <c r="EA197" s="37"/>
      <c r="EB197" s="37"/>
      <c r="EC197" s="37"/>
      <c r="ED197" s="37"/>
      <c r="EE197" s="37"/>
      <c r="EF197" s="37"/>
      <c r="EG197" s="37"/>
      <c r="EH197" s="37"/>
      <c r="EI197" s="37"/>
      <c r="EJ197" s="37"/>
      <c r="EK197" s="37"/>
      <c r="EL197" s="37"/>
      <c r="EM197" s="37"/>
      <c r="EN197" s="37"/>
    </row>
    <row r="198" spans="1:145" s="34" customFormat="1">
      <c r="A198" s="46">
        <v>15</v>
      </c>
      <c r="B198" s="89" t="s">
        <v>70</v>
      </c>
      <c r="C198" s="74" t="s">
        <v>6</v>
      </c>
      <c r="D198" s="72">
        <f t="shared" ref="D198:O198" si="59">$R$174*D35</f>
        <v>0</v>
      </c>
      <c r="E198" s="72">
        <f t="shared" si="59"/>
        <v>0</v>
      </c>
      <c r="F198" s="72">
        <f t="shared" si="59"/>
        <v>0</v>
      </c>
      <c r="G198" s="72">
        <f t="shared" si="59"/>
        <v>0</v>
      </c>
      <c r="H198" s="72">
        <f t="shared" si="59"/>
        <v>0</v>
      </c>
      <c r="I198" s="72">
        <f t="shared" si="59"/>
        <v>0</v>
      </c>
      <c r="J198" s="72">
        <f t="shared" si="59"/>
        <v>0</v>
      </c>
      <c r="K198" s="72">
        <f t="shared" si="59"/>
        <v>0</v>
      </c>
      <c r="L198" s="72">
        <f t="shared" si="59"/>
        <v>0</v>
      </c>
      <c r="M198" s="72">
        <f t="shared" si="59"/>
        <v>0</v>
      </c>
      <c r="N198" s="72">
        <f t="shared" si="59"/>
        <v>0</v>
      </c>
      <c r="O198" s="72">
        <f t="shared" si="59"/>
        <v>0</v>
      </c>
      <c r="P198" s="98">
        <f>SUM(D198:O198)</f>
        <v>0</v>
      </c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37"/>
      <c r="CD198" s="37"/>
      <c r="CE198" s="37"/>
      <c r="CF198" s="37"/>
      <c r="CG198" s="37"/>
      <c r="CH198" s="37"/>
      <c r="CI198" s="37"/>
      <c r="CJ198" s="37"/>
      <c r="CK198" s="37"/>
      <c r="CL198" s="37"/>
      <c r="CM198" s="37"/>
      <c r="CN198" s="37"/>
      <c r="CO198" s="37"/>
      <c r="CP198" s="37"/>
      <c r="CQ198" s="37"/>
      <c r="CR198" s="37"/>
      <c r="CS198" s="37"/>
      <c r="CT198" s="37"/>
      <c r="CU198" s="37"/>
      <c r="CV198" s="37"/>
      <c r="CW198" s="37"/>
      <c r="CX198" s="37"/>
      <c r="CY198" s="37"/>
      <c r="CZ198" s="37"/>
      <c r="DA198" s="37"/>
      <c r="DB198" s="37"/>
      <c r="DC198" s="37"/>
      <c r="DD198" s="37"/>
      <c r="DE198" s="37"/>
      <c r="DF198" s="37"/>
      <c r="DG198" s="37"/>
      <c r="DH198" s="37"/>
      <c r="DI198" s="37"/>
      <c r="DJ198" s="37"/>
      <c r="DK198" s="37"/>
      <c r="DL198" s="37"/>
      <c r="DM198" s="37"/>
      <c r="DN198" s="37"/>
      <c r="DO198" s="37"/>
      <c r="DP198" s="37"/>
      <c r="DQ198" s="37"/>
      <c r="DR198" s="37"/>
      <c r="DS198" s="37"/>
      <c r="DT198" s="37"/>
      <c r="DU198" s="37"/>
      <c r="DV198" s="37"/>
      <c r="DW198" s="37"/>
      <c r="DX198" s="37"/>
      <c r="DY198" s="37"/>
      <c r="DZ198" s="37"/>
      <c r="EA198" s="37"/>
      <c r="EB198" s="37"/>
      <c r="EC198" s="37"/>
      <c r="ED198" s="37"/>
      <c r="EE198" s="37"/>
      <c r="EF198" s="37"/>
      <c r="EG198" s="37"/>
      <c r="EH198" s="37"/>
      <c r="EI198" s="37"/>
      <c r="EJ198" s="37"/>
      <c r="EK198" s="37"/>
      <c r="EL198" s="37"/>
      <c r="EM198" s="37"/>
      <c r="EN198" s="37"/>
    </row>
    <row r="199" spans="1:145" s="34" customFormat="1">
      <c r="A199" s="46">
        <v>16</v>
      </c>
      <c r="B199" s="114" t="s">
        <v>23</v>
      </c>
      <c r="C199" s="145"/>
      <c r="D199" s="100">
        <f t="shared" ref="D199:P199" si="60">SUM(D197:D198)</f>
        <v>0</v>
      </c>
      <c r="E199" s="100">
        <f t="shared" si="60"/>
        <v>0</v>
      </c>
      <c r="F199" s="100">
        <f t="shared" si="60"/>
        <v>0</v>
      </c>
      <c r="G199" s="100">
        <f t="shared" si="60"/>
        <v>0</v>
      </c>
      <c r="H199" s="100">
        <f t="shared" si="60"/>
        <v>0</v>
      </c>
      <c r="I199" s="100">
        <f t="shared" si="60"/>
        <v>0</v>
      </c>
      <c r="J199" s="100">
        <f t="shared" si="60"/>
        <v>0</v>
      </c>
      <c r="K199" s="100">
        <f t="shared" si="60"/>
        <v>0</v>
      </c>
      <c r="L199" s="100">
        <f t="shared" si="60"/>
        <v>0</v>
      </c>
      <c r="M199" s="100">
        <f t="shared" si="60"/>
        <v>0</v>
      </c>
      <c r="N199" s="93">
        <f t="shared" si="60"/>
        <v>0</v>
      </c>
      <c r="O199" s="93">
        <f t="shared" si="60"/>
        <v>0</v>
      </c>
      <c r="P199" s="93">
        <f t="shared" si="60"/>
        <v>0</v>
      </c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37"/>
      <c r="CD199" s="37"/>
      <c r="CE199" s="37"/>
      <c r="CF199" s="37"/>
      <c r="CG199" s="37"/>
      <c r="CH199" s="37"/>
      <c r="CI199" s="37"/>
      <c r="CJ199" s="37"/>
      <c r="CK199" s="37"/>
      <c r="CL199" s="37"/>
      <c r="CM199" s="37"/>
      <c r="CN199" s="37"/>
      <c r="CO199" s="37"/>
      <c r="CP199" s="37"/>
      <c r="CQ199" s="37"/>
      <c r="CR199" s="37"/>
      <c r="CS199" s="37"/>
      <c r="CT199" s="37"/>
      <c r="CU199" s="37"/>
      <c r="CV199" s="37"/>
      <c r="CW199" s="37"/>
      <c r="CX199" s="37"/>
      <c r="CY199" s="37"/>
      <c r="CZ199" s="37"/>
      <c r="DA199" s="37"/>
      <c r="DB199" s="37"/>
      <c r="DC199" s="37"/>
      <c r="DD199" s="37"/>
      <c r="DE199" s="37"/>
      <c r="DF199" s="37"/>
      <c r="DG199" s="37"/>
      <c r="DH199" s="37"/>
      <c r="DI199" s="37"/>
      <c r="DJ199" s="37"/>
      <c r="DK199" s="37"/>
      <c r="DL199" s="37"/>
      <c r="DM199" s="37"/>
      <c r="DN199" s="37"/>
      <c r="DO199" s="37"/>
      <c r="DP199" s="37"/>
      <c r="DQ199" s="37"/>
      <c r="DR199" s="37"/>
      <c r="DS199" s="37"/>
      <c r="DT199" s="37"/>
      <c r="DU199" s="37"/>
      <c r="DV199" s="37"/>
      <c r="DW199" s="37"/>
      <c r="DX199" s="37"/>
      <c r="DY199" s="37"/>
      <c r="DZ199" s="37"/>
      <c r="EA199" s="37"/>
      <c r="EB199" s="37"/>
      <c r="EC199" s="37"/>
      <c r="ED199" s="37"/>
      <c r="EE199" s="37"/>
      <c r="EF199" s="37"/>
      <c r="EG199" s="37"/>
      <c r="EH199" s="37"/>
      <c r="EI199" s="37"/>
      <c r="EJ199" s="37"/>
      <c r="EK199" s="37"/>
      <c r="EL199" s="37"/>
      <c r="EM199" s="37"/>
      <c r="EN199" s="37"/>
    </row>
    <row r="200" spans="1:145" s="34" customFormat="1">
      <c r="A200" s="46"/>
      <c r="B200" s="78"/>
      <c r="C200" s="116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71"/>
      <c r="O200" s="71"/>
      <c r="P200" s="76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  <c r="BU200" s="37"/>
      <c r="BV200" s="37"/>
      <c r="BW200" s="37"/>
      <c r="BX200" s="37"/>
      <c r="BY200" s="37"/>
      <c r="BZ200" s="37"/>
      <c r="CA200" s="37"/>
      <c r="CB200" s="37"/>
      <c r="CC200" s="37"/>
      <c r="CD200" s="37"/>
      <c r="CE200" s="37"/>
      <c r="CF200" s="37"/>
      <c r="CG200" s="37"/>
      <c r="CH200" s="37"/>
      <c r="CI200" s="37"/>
      <c r="CJ200" s="37"/>
      <c r="CK200" s="37"/>
      <c r="CL200" s="37"/>
      <c r="CM200" s="37"/>
      <c r="CN200" s="37"/>
      <c r="CO200" s="37"/>
      <c r="CP200" s="37"/>
      <c r="CQ200" s="37"/>
      <c r="CR200" s="37"/>
      <c r="CS200" s="37"/>
      <c r="CT200" s="37"/>
      <c r="CU200" s="37"/>
      <c r="CV200" s="37"/>
      <c r="CW200" s="37"/>
      <c r="CX200" s="37"/>
      <c r="CY200" s="37"/>
      <c r="CZ200" s="37"/>
      <c r="DA200" s="37"/>
      <c r="DB200" s="37"/>
      <c r="DC200" s="37"/>
      <c r="DD200" s="37"/>
      <c r="DE200" s="37"/>
      <c r="DF200" s="37"/>
      <c r="DG200" s="37"/>
      <c r="DH200" s="37"/>
      <c r="DI200" s="37"/>
      <c r="DJ200" s="37"/>
      <c r="DK200" s="37"/>
      <c r="DL200" s="37"/>
      <c r="DM200" s="37"/>
      <c r="DN200" s="37"/>
      <c r="DO200" s="37"/>
      <c r="DP200" s="37"/>
      <c r="DQ200" s="37"/>
      <c r="DR200" s="37"/>
      <c r="DS200" s="37"/>
      <c r="DT200" s="37"/>
      <c r="DU200" s="37"/>
      <c r="DV200" s="37"/>
      <c r="DW200" s="37"/>
      <c r="DX200" s="37"/>
      <c r="DY200" s="37"/>
      <c r="DZ200" s="37"/>
      <c r="EA200" s="37"/>
      <c r="EB200" s="37"/>
      <c r="EC200" s="37"/>
      <c r="ED200" s="37"/>
      <c r="EE200" s="37"/>
      <c r="EF200" s="37"/>
      <c r="EG200" s="37"/>
      <c r="EH200" s="37"/>
      <c r="EI200" s="37"/>
      <c r="EJ200" s="37"/>
      <c r="EK200" s="37"/>
      <c r="EL200" s="37"/>
      <c r="EM200" s="37"/>
      <c r="EN200" s="37"/>
    </row>
    <row r="201" spans="1:145" s="34" customFormat="1" ht="12" thickBot="1">
      <c r="A201" s="46">
        <v>17</v>
      </c>
      <c r="B201" s="147" t="s">
        <v>92</v>
      </c>
      <c r="C201" s="145"/>
      <c r="D201" s="148">
        <f t="shared" ref="D201:P201" si="61">+D199+D195</f>
        <v>3196553571.0655603</v>
      </c>
      <c r="E201" s="148">
        <f t="shared" si="61"/>
        <v>3015083325.2610497</v>
      </c>
      <c r="F201" s="148">
        <f t="shared" si="61"/>
        <v>3057160320.8956299</v>
      </c>
      <c r="G201" s="148">
        <f t="shared" si="61"/>
        <v>3290438903.5711699</v>
      </c>
      <c r="H201" s="148">
        <f t="shared" si="61"/>
        <v>2978559904.0431795</v>
      </c>
      <c r="I201" s="148">
        <f t="shared" si="61"/>
        <v>2998435103.4131699</v>
      </c>
      <c r="J201" s="148">
        <f t="shared" si="61"/>
        <v>2977549300.99545</v>
      </c>
      <c r="K201" s="148">
        <f t="shared" si="61"/>
        <v>3155602970.3386598</v>
      </c>
      <c r="L201" s="148">
        <f t="shared" si="61"/>
        <v>3688776153.4658298</v>
      </c>
      <c r="M201" s="148">
        <f t="shared" si="61"/>
        <v>4166899806.1273794</v>
      </c>
      <c r="N201" s="148">
        <f t="shared" si="61"/>
        <v>4234283829.0051498</v>
      </c>
      <c r="O201" s="148">
        <f t="shared" si="61"/>
        <v>4188748888.3954096</v>
      </c>
      <c r="P201" s="148">
        <f t="shared" si="61"/>
        <v>40948092076.577637</v>
      </c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37"/>
      <c r="CD201" s="37"/>
      <c r="CE201" s="37"/>
      <c r="CF201" s="37"/>
      <c r="CG201" s="37"/>
      <c r="CH201" s="37"/>
      <c r="CI201" s="37"/>
      <c r="CJ201" s="37"/>
      <c r="CK201" s="37"/>
      <c r="CL201" s="37"/>
      <c r="CM201" s="37"/>
      <c r="CN201" s="37"/>
      <c r="CO201" s="37"/>
      <c r="CP201" s="37"/>
      <c r="CQ201" s="37"/>
      <c r="CR201" s="37"/>
      <c r="CS201" s="37"/>
      <c r="CT201" s="37"/>
      <c r="CU201" s="37"/>
      <c r="CV201" s="37"/>
      <c r="CW201" s="37"/>
      <c r="CX201" s="37"/>
      <c r="CY201" s="37"/>
      <c r="CZ201" s="37"/>
      <c r="DA201" s="37"/>
      <c r="DB201" s="37"/>
      <c r="DC201" s="37"/>
      <c r="DD201" s="37"/>
      <c r="DE201" s="37"/>
      <c r="DF201" s="37"/>
      <c r="DG201" s="37"/>
      <c r="DH201" s="37"/>
      <c r="DI201" s="37"/>
      <c r="DJ201" s="37"/>
      <c r="DK201" s="37"/>
      <c r="DL201" s="37"/>
      <c r="DM201" s="37"/>
      <c r="DN201" s="37"/>
      <c r="DO201" s="37"/>
      <c r="DP201" s="37"/>
      <c r="DQ201" s="37"/>
      <c r="DR201" s="37"/>
      <c r="DS201" s="37"/>
      <c r="DT201" s="37"/>
      <c r="DU201" s="37"/>
      <c r="DV201" s="37"/>
      <c r="DW201" s="37"/>
      <c r="DX201" s="37"/>
      <c r="DY201" s="37"/>
      <c r="DZ201" s="37"/>
      <c r="EA201" s="37"/>
      <c r="EB201" s="37"/>
      <c r="EC201" s="37"/>
      <c r="ED201" s="37"/>
      <c r="EE201" s="37"/>
      <c r="EF201" s="37"/>
      <c r="EG201" s="37"/>
      <c r="EH201" s="37"/>
      <c r="EI201" s="37"/>
      <c r="EJ201" s="37"/>
      <c r="EK201" s="37"/>
      <c r="EL201" s="37"/>
      <c r="EM201" s="37"/>
      <c r="EN201" s="37"/>
    </row>
    <row r="202" spans="1:145" customFormat="1" ht="13.5" thickTop="1"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</row>
    <row r="203" spans="1:145">
      <c r="B203" s="366" t="str">
        <f>B7</f>
        <v>AEP TEXAS</v>
      </c>
      <c r="C203" s="366"/>
      <c r="D203" s="366"/>
      <c r="E203" s="366"/>
      <c r="F203" s="366"/>
      <c r="G203" s="366"/>
      <c r="H203" s="366"/>
      <c r="I203" s="366"/>
      <c r="J203" s="366"/>
      <c r="K203" s="366"/>
      <c r="L203" s="366"/>
      <c r="M203" s="366"/>
      <c r="N203" s="366"/>
      <c r="O203" s="366"/>
      <c r="P203" s="105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</row>
    <row r="204" spans="1:145">
      <c r="B204" s="366" t="s">
        <v>56</v>
      </c>
      <c r="C204" s="366"/>
      <c r="D204" s="366"/>
      <c r="E204" s="366"/>
      <c r="F204" s="366"/>
      <c r="G204" s="366"/>
      <c r="H204" s="366"/>
      <c r="I204" s="366"/>
      <c r="J204" s="366"/>
      <c r="K204" s="366"/>
      <c r="L204" s="366"/>
      <c r="M204" s="366"/>
      <c r="N204" s="366"/>
      <c r="O204" s="366"/>
      <c r="P204" s="88" t="s">
        <v>1</v>
      </c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</row>
    <row r="205" spans="1:145">
      <c r="B205" s="366" t="str">
        <f>G9</f>
        <v>FOR TEST YEAR ENDED SEPTEMBER 30, 2023</v>
      </c>
      <c r="C205" s="366"/>
      <c r="D205" s="366"/>
      <c r="E205" s="366"/>
      <c r="F205" s="366"/>
      <c r="G205" s="366"/>
      <c r="H205" s="366"/>
      <c r="I205" s="366"/>
      <c r="J205" s="366"/>
      <c r="K205" s="366"/>
      <c r="L205" s="366"/>
      <c r="M205" s="366"/>
      <c r="N205" s="366"/>
      <c r="O205" s="366"/>
      <c r="P205" s="87" t="s">
        <v>1</v>
      </c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</row>
    <row r="206" spans="1:145" customFormat="1" ht="12.75"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</row>
    <row r="207" spans="1:145">
      <c r="B207" s="106"/>
      <c r="C207" s="105"/>
      <c r="D207" s="107"/>
      <c r="E207" s="108"/>
      <c r="F207" s="108"/>
      <c r="G207" s="107"/>
      <c r="H207" s="94"/>
      <c r="I207" s="94"/>
      <c r="J207" s="94"/>
      <c r="K207" s="94"/>
      <c r="L207" s="94"/>
      <c r="M207" s="94"/>
      <c r="N207" s="94"/>
      <c r="O207" s="71"/>
      <c r="P207" s="109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</row>
    <row r="208" spans="1:145">
      <c r="A208" s="18" t="s">
        <v>8</v>
      </c>
      <c r="B208" s="144" t="s">
        <v>0</v>
      </c>
      <c r="C208" s="144" t="s">
        <v>7</v>
      </c>
      <c r="D208" s="97" t="str">
        <f>+D12</f>
        <v>Oct-22</v>
      </c>
      <c r="E208" s="97" t="str">
        <f t="shared" ref="E208:O208" si="62">+E12</f>
        <v>Nov-22</v>
      </c>
      <c r="F208" s="97" t="str">
        <f t="shared" si="62"/>
        <v>Dec-22</v>
      </c>
      <c r="G208" s="97" t="str">
        <f t="shared" si="62"/>
        <v>Jan-23</v>
      </c>
      <c r="H208" s="97" t="str">
        <f t="shared" si="62"/>
        <v>Feb-23</v>
      </c>
      <c r="I208" s="97" t="str">
        <f t="shared" si="62"/>
        <v>Mar-23</v>
      </c>
      <c r="J208" s="97" t="str">
        <f t="shared" si="62"/>
        <v>Apr-23</v>
      </c>
      <c r="K208" s="97" t="str">
        <f t="shared" si="62"/>
        <v>May-23</v>
      </c>
      <c r="L208" s="97" t="str">
        <f t="shared" si="62"/>
        <v>Jun-23</v>
      </c>
      <c r="M208" s="97" t="str">
        <f t="shared" si="62"/>
        <v>Jul-23</v>
      </c>
      <c r="N208" s="97" t="str">
        <f t="shared" si="62"/>
        <v>Aug-23</v>
      </c>
      <c r="O208" s="97" t="str">
        <f t="shared" si="62"/>
        <v>Sep-23</v>
      </c>
      <c r="P208" s="110" t="s">
        <v>2</v>
      </c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</row>
    <row r="209" spans="1:144" s="34" customFormat="1">
      <c r="A209" s="46"/>
      <c r="B209" s="111"/>
      <c r="C209" s="112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37"/>
    </row>
    <row r="210" spans="1:144" s="34" customFormat="1">
      <c r="A210" s="46" t="s">
        <v>9</v>
      </c>
      <c r="B210" s="78" t="s">
        <v>17</v>
      </c>
      <c r="C210" s="85" t="s">
        <v>4</v>
      </c>
      <c r="D210" s="71">
        <f t="shared" ref="D210:O210" si="63">D46*$R$172</f>
        <v>18485209.759199936</v>
      </c>
      <c r="E210" s="71">
        <f t="shared" si="63"/>
        <v>16812061.573999997</v>
      </c>
      <c r="F210" s="71">
        <f t="shared" si="63"/>
        <v>-51562604.924199954</v>
      </c>
      <c r="G210" s="71">
        <f t="shared" si="63"/>
        <v>-30025007.765399981</v>
      </c>
      <c r="H210" s="71">
        <f t="shared" si="63"/>
        <v>28748870.375200037</v>
      </c>
      <c r="I210" s="71">
        <f t="shared" si="63"/>
        <v>-15411938.091599958</v>
      </c>
      <c r="J210" s="71">
        <f t="shared" si="63"/>
        <v>-40764058.629999973</v>
      </c>
      <c r="K210" s="71">
        <f t="shared" si="63"/>
        <v>42372609.687999956</v>
      </c>
      <c r="L210" s="71">
        <f t="shared" si="63"/>
        <v>27808775.052400142</v>
      </c>
      <c r="M210" s="71">
        <f t="shared" si="63"/>
        <v>-117570182.67280002</v>
      </c>
      <c r="N210" s="71">
        <f t="shared" si="63"/>
        <v>-107756398.44039996</v>
      </c>
      <c r="O210" s="71">
        <f t="shared" si="63"/>
        <v>-107811433.11080001</v>
      </c>
      <c r="P210" s="76">
        <f>SUM(D210:O210)</f>
        <v>-336674097.18639982</v>
      </c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  <c r="BV210" s="37"/>
      <c r="BW210" s="37"/>
      <c r="BX210" s="37"/>
      <c r="BY210" s="37"/>
      <c r="BZ210" s="37"/>
      <c r="CA210" s="37"/>
      <c r="CB210" s="37"/>
      <c r="CC210" s="37"/>
      <c r="CD210" s="37"/>
      <c r="CE210" s="37"/>
      <c r="CF210" s="37"/>
      <c r="CG210" s="37"/>
      <c r="CH210" s="37"/>
      <c r="CI210" s="37"/>
      <c r="CJ210" s="37"/>
      <c r="CK210" s="37"/>
      <c r="CL210" s="37"/>
      <c r="CM210" s="37"/>
      <c r="CN210" s="37"/>
      <c r="CO210" s="37"/>
      <c r="CP210" s="37"/>
      <c r="CQ210" s="37"/>
      <c r="CR210" s="37"/>
      <c r="CS210" s="37"/>
      <c r="CT210" s="37"/>
      <c r="CU210" s="37"/>
      <c r="CV210" s="37"/>
      <c r="CW210" s="37"/>
      <c r="CX210" s="37"/>
      <c r="CY210" s="37"/>
      <c r="CZ210" s="37"/>
      <c r="DA210" s="37"/>
      <c r="DB210" s="37"/>
      <c r="DC210" s="37"/>
      <c r="DD210" s="37"/>
      <c r="DE210" s="37"/>
      <c r="DF210" s="37"/>
      <c r="DG210" s="37"/>
      <c r="DH210" s="37"/>
      <c r="DI210" s="37"/>
      <c r="DJ210" s="37"/>
      <c r="DK210" s="37"/>
      <c r="DL210" s="37"/>
      <c r="DM210" s="37"/>
      <c r="DN210" s="37"/>
      <c r="DO210" s="37"/>
      <c r="DP210" s="37"/>
      <c r="DQ210" s="37"/>
      <c r="DR210" s="37"/>
      <c r="DS210" s="37"/>
      <c r="DT210" s="37"/>
      <c r="DU210" s="37"/>
      <c r="DV210" s="37"/>
      <c r="DW210" s="37"/>
      <c r="DX210" s="37"/>
      <c r="DY210" s="37"/>
      <c r="DZ210" s="37"/>
      <c r="EA210" s="37"/>
      <c r="EB210" s="37"/>
      <c r="EC210" s="37"/>
      <c r="ED210" s="37"/>
      <c r="EE210" s="37"/>
      <c r="EF210" s="37"/>
      <c r="EG210" s="37"/>
      <c r="EH210" s="37"/>
      <c r="EI210" s="37"/>
      <c r="EJ210" s="37"/>
      <c r="EK210" s="37"/>
      <c r="EL210" s="37"/>
      <c r="EM210" s="37"/>
      <c r="EN210" s="37"/>
    </row>
    <row r="211" spans="1:144" s="34" customFormat="1">
      <c r="B211" s="78"/>
      <c r="C211" s="85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93"/>
      <c r="O211" s="93"/>
      <c r="P211" s="76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  <c r="CC211" s="37"/>
      <c r="CD211" s="37"/>
      <c r="CE211" s="37"/>
      <c r="CF211" s="37"/>
      <c r="CG211" s="37"/>
      <c r="CH211" s="37"/>
      <c r="CI211" s="37"/>
      <c r="CJ211" s="37"/>
      <c r="CK211" s="37"/>
      <c r="CL211" s="37"/>
      <c r="CM211" s="37"/>
      <c r="CN211" s="37"/>
      <c r="CO211" s="37"/>
      <c r="CP211" s="37"/>
      <c r="CQ211" s="37"/>
      <c r="CR211" s="37"/>
      <c r="CS211" s="37"/>
      <c r="CT211" s="37"/>
      <c r="CU211" s="37"/>
      <c r="CV211" s="37"/>
      <c r="CW211" s="37"/>
      <c r="CX211" s="37"/>
      <c r="CY211" s="37"/>
      <c r="CZ211" s="37"/>
      <c r="DA211" s="37"/>
      <c r="DB211" s="37"/>
      <c r="DC211" s="37"/>
      <c r="DD211" s="37"/>
      <c r="DE211" s="37"/>
      <c r="DF211" s="37"/>
      <c r="DG211" s="37"/>
      <c r="DH211" s="37"/>
      <c r="DI211" s="37"/>
      <c r="DJ211" s="37"/>
      <c r="DK211" s="37"/>
      <c r="DL211" s="37"/>
      <c r="DM211" s="37"/>
      <c r="DN211" s="37"/>
      <c r="DO211" s="37"/>
      <c r="DP211" s="37"/>
      <c r="DQ211" s="37"/>
      <c r="DR211" s="37"/>
      <c r="DS211" s="37"/>
      <c r="DT211" s="37"/>
      <c r="DU211" s="37"/>
      <c r="DV211" s="37"/>
      <c r="DW211" s="37"/>
      <c r="DX211" s="37"/>
      <c r="DY211" s="37"/>
      <c r="DZ211" s="37"/>
      <c r="EA211" s="37"/>
      <c r="EB211" s="37"/>
      <c r="EC211" s="37"/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</row>
    <row r="212" spans="1:144" s="34" customFormat="1">
      <c r="A212" s="46">
        <v>2</v>
      </c>
      <c r="B212" s="78" t="s">
        <v>150</v>
      </c>
      <c r="C212" s="85" t="s">
        <v>4</v>
      </c>
      <c r="D212" s="71">
        <f t="shared" ref="D212:O212" si="64">D48*$R$172</f>
        <v>424052.23591143743</v>
      </c>
      <c r="E212" s="71">
        <f t="shared" si="64"/>
        <v>599638.76241289021</v>
      </c>
      <c r="F212" s="71">
        <f t="shared" si="64"/>
        <v>-501039.38101197052</v>
      </c>
      <c r="G212" s="71">
        <f t="shared" si="64"/>
        <v>-222623.44770927259</v>
      </c>
      <c r="H212" s="71">
        <f t="shared" si="64"/>
        <v>32558.502269982651</v>
      </c>
      <c r="I212" s="71">
        <f t="shared" si="64"/>
        <v>-1559622.1717665014</v>
      </c>
      <c r="J212" s="71">
        <f t="shared" si="64"/>
        <v>-719622.66111632634</v>
      </c>
      <c r="K212" s="71">
        <f t="shared" si="64"/>
        <v>889199.41375966882</v>
      </c>
      <c r="L212" s="71">
        <f t="shared" si="64"/>
        <v>755974.71416423365</v>
      </c>
      <c r="M212" s="71">
        <f t="shared" si="64"/>
        <v>-3035594.3619234897</v>
      </c>
      <c r="N212" s="71">
        <f t="shared" si="64"/>
        <v>-3063778.2983940104</v>
      </c>
      <c r="O212" s="71">
        <f t="shared" si="64"/>
        <v>-3027935.1625710996</v>
      </c>
      <c r="P212" s="76">
        <f>SUM(D212:O212)</f>
        <v>-9428791.8559744582</v>
      </c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37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7"/>
      <c r="CS212" s="37"/>
      <c r="CT212" s="37"/>
      <c r="CU212" s="37"/>
      <c r="CV212" s="37"/>
      <c r="CW212" s="37"/>
      <c r="CX212" s="37"/>
      <c r="CY212" s="37"/>
      <c r="CZ212" s="37"/>
      <c r="DA212" s="37"/>
      <c r="DB212" s="37"/>
      <c r="DC212" s="37"/>
      <c r="DD212" s="37"/>
      <c r="DE212" s="37"/>
      <c r="DF212" s="37"/>
      <c r="DG212" s="37"/>
      <c r="DH212" s="37"/>
      <c r="DI212" s="37"/>
      <c r="DJ212" s="37"/>
      <c r="DK212" s="37"/>
      <c r="DL212" s="37"/>
      <c r="DM212" s="37"/>
      <c r="DN212" s="37"/>
      <c r="DO212" s="37"/>
      <c r="DP212" s="37"/>
      <c r="DQ212" s="37"/>
      <c r="DR212" s="37"/>
      <c r="DS212" s="37"/>
      <c r="DT212" s="37"/>
      <c r="DU212" s="37"/>
      <c r="DV212" s="37"/>
      <c r="DW212" s="37"/>
      <c r="DX212" s="37"/>
      <c r="DY212" s="37"/>
      <c r="DZ212" s="37"/>
      <c r="EA212" s="37"/>
      <c r="EB212" s="37"/>
      <c r="EC212" s="37"/>
      <c r="ED212" s="37"/>
      <c r="EE212" s="37"/>
      <c r="EF212" s="37"/>
      <c r="EG212" s="37"/>
      <c r="EH212" s="37"/>
      <c r="EI212" s="37"/>
      <c r="EJ212" s="37"/>
      <c r="EK212" s="37"/>
      <c r="EL212" s="37"/>
      <c r="EM212" s="37"/>
      <c r="EN212" s="37"/>
    </row>
    <row r="213" spans="1:144" s="34" customFormat="1">
      <c r="A213" s="46"/>
      <c r="B213" s="78"/>
      <c r="C213" s="85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93"/>
      <c r="P213" s="76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  <c r="BX213" s="37"/>
      <c r="BY213" s="37"/>
      <c r="BZ213" s="37"/>
      <c r="CA213" s="37"/>
      <c r="CB213" s="37"/>
      <c r="CC213" s="37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7"/>
      <c r="CO213" s="37"/>
      <c r="CP213" s="37"/>
      <c r="CQ213" s="37"/>
      <c r="CR213" s="37"/>
      <c r="CS213" s="37"/>
      <c r="CT213" s="37"/>
      <c r="CU213" s="37"/>
      <c r="CV213" s="37"/>
      <c r="CW213" s="37"/>
      <c r="CX213" s="37"/>
      <c r="CY213" s="37"/>
      <c r="CZ213" s="37"/>
      <c r="DA213" s="37"/>
      <c r="DB213" s="37"/>
      <c r="DC213" s="37"/>
      <c r="DD213" s="37"/>
      <c r="DE213" s="37"/>
      <c r="DF213" s="37"/>
      <c r="DG213" s="37"/>
      <c r="DH213" s="37"/>
      <c r="DI213" s="37"/>
      <c r="DJ213" s="37"/>
      <c r="DK213" s="37"/>
      <c r="DL213" s="37"/>
      <c r="DM213" s="37"/>
      <c r="DN213" s="37"/>
      <c r="DO213" s="37"/>
      <c r="DP213" s="37"/>
      <c r="DQ213" s="37"/>
      <c r="DR213" s="37"/>
      <c r="DS213" s="37"/>
      <c r="DT213" s="37"/>
      <c r="DU213" s="37"/>
      <c r="DV213" s="37"/>
      <c r="DW213" s="37"/>
      <c r="DX213" s="37"/>
      <c r="DY213" s="37"/>
      <c r="DZ213" s="37"/>
      <c r="EA213" s="37"/>
      <c r="EB213" s="37"/>
      <c r="EC213" s="37"/>
      <c r="ED213" s="37"/>
      <c r="EE213" s="37"/>
      <c r="EF213" s="37"/>
      <c r="EG213" s="37"/>
      <c r="EH213" s="37"/>
      <c r="EI213" s="37"/>
      <c r="EJ213" s="37"/>
      <c r="EK213" s="37"/>
      <c r="EL213" s="37"/>
      <c r="EM213" s="37"/>
      <c r="EN213" s="37"/>
    </row>
    <row r="214" spans="1:144" s="34" customFormat="1">
      <c r="A214" s="46">
        <v>3</v>
      </c>
      <c r="B214" s="87" t="s">
        <v>81</v>
      </c>
      <c r="C214" s="74" t="s">
        <v>4</v>
      </c>
      <c r="D214" s="71">
        <f t="shared" ref="D214:O214" si="65">D50*$R$172</f>
        <v>6255992.774358334</v>
      </c>
      <c r="E214" s="71">
        <f t="shared" si="65"/>
        <v>8122959.5946694836</v>
      </c>
      <c r="F214" s="71">
        <f t="shared" si="65"/>
        <v>-6049389.6834411165</v>
      </c>
      <c r="G214" s="71">
        <f t="shared" si="65"/>
        <v>-4007290.7764857113</v>
      </c>
      <c r="H214" s="71">
        <f t="shared" si="65"/>
        <v>112667.39754594119</v>
      </c>
      <c r="I214" s="71">
        <f t="shared" si="65"/>
        <v>-23555739.233881086</v>
      </c>
      <c r="J214" s="71">
        <f t="shared" si="65"/>
        <v>-10620418.373302687</v>
      </c>
      <c r="K214" s="71">
        <f t="shared" si="65"/>
        <v>13294594.753528608</v>
      </c>
      <c r="L214" s="71">
        <f t="shared" si="65"/>
        <v>9583411.9981845338</v>
      </c>
      <c r="M214" s="71">
        <f t="shared" si="65"/>
        <v>-39533497.762486674</v>
      </c>
      <c r="N214" s="71">
        <f t="shared" si="65"/>
        <v>-36952333.07968244</v>
      </c>
      <c r="O214" s="71">
        <f t="shared" si="65"/>
        <v>-37386582.045011058</v>
      </c>
      <c r="P214" s="76">
        <f>SUM(D214:O214)</f>
        <v>-120735624.43600388</v>
      </c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7"/>
      <c r="BU214" s="37"/>
      <c r="BV214" s="37"/>
      <c r="BW214" s="37"/>
      <c r="BX214" s="37"/>
      <c r="BY214" s="37"/>
      <c r="BZ214" s="37"/>
      <c r="CA214" s="37"/>
      <c r="CB214" s="37"/>
      <c r="CC214" s="37"/>
      <c r="CD214" s="37"/>
      <c r="CE214" s="37"/>
      <c r="CF214" s="37"/>
      <c r="CG214" s="37"/>
      <c r="CH214" s="37"/>
      <c r="CI214" s="37"/>
      <c r="CJ214" s="37"/>
      <c r="CK214" s="37"/>
      <c r="CL214" s="37"/>
      <c r="CM214" s="37"/>
      <c r="CN214" s="37"/>
      <c r="CO214" s="37"/>
      <c r="CP214" s="37"/>
      <c r="CQ214" s="37"/>
      <c r="CR214" s="37"/>
      <c r="CS214" s="37"/>
      <c r="CT214" s="37"/>
      <c r="CU214" s="37"/>
      <c r="CV214" s="37"/>
      <c r="CW214" s="37"/>
      <c r="CX214" s="37"/>
      <c r="CY214" s="37"/>
      <c r="CZ214" s="37"/>
      <c r="DA214" s="37"/>
      <c r="DB214" s="37"/>
      <c r="DC214" s="37"/>
      <c r="DD214" s="37"/>
      <c r="DE214" s="37"/>
      <c r="DF214" s="37"/>
      <c r="DG214" s="37"/>
      <c r="DH214" s="37"/>
      <c r="DI214" s="37"/>
      <c r="DJ214" s="37"/>
      <c r="DK214" s="37"/>
      <c r="DL214" s="37"/>
      <c r="DM214" s="37"/>
      <c r="DN214" s="37"/>
      <c r="DO214" s="37"/>
      <c r="DP214" s="37"/>
      <c r="DQ214" s="37"/>
      <c r="DR214" s="37"/>
      <c r="DS214" s="37"/>
      <c r="DT214" s="37"/>
      <c r="DU214" s="37"/>
      <c r="DV214" s="37"/>
      <c r="DW214" s="37"/>
      <c r="DX214" s="37"/>
      <c r="DY214" s="37"/>
      <c r="DZ214" s="37"/>
      <c r="EA214" s="37"/>
      <c r="EB214" s="37"/>
      <c r="EC214" s="37"/>
      <c r="ED214" s="37"/>
      <c r="EE214" s="37"/>
      <c r="EF214" s="37"/>
      <c r="EG214" s="37"/>
      <c r="EH214" s="37"/>
      <c r="EI214" s="37"/>
      <c r="EJ214" s="37"/>
      <c r="EK214" s="37"/>
      <c r="EL214" s="37"/>
      <c r="EM214" s="37"/>
      <c r="EN214" s="37"/>
    </row>
    <row r="215" spans="1:144" s="34" customFormat="1">
      <c r="A215" s="46">
        <v>4</v>
      </c>
      <c r="B215" s="87" t="s">
        <v>85</v>
      </c>
      <c r="C215" s="74" t="s">
        <v>4</v>
      </c>
      <c r="D215" s="72">
        <f t="shared" ref="D215:O215" si="66">D51*$R$172</f>
        <v>1039010.8551792986</v>
      </c>
      <c r="E215" s="72">
        <f t="shared" si="66"/>
        <v>1151314.6447932103</v>
      </c>
      <c r="F215" s="72">
        <f t="shared" si="66"/>
        <v>-488579.45129239047</v>
      </c>
      <c r="G215" s="72">
        <f t="shared" si="66"/>
        <v>-597870.43888046534</v>
      </c>
      <c r="H215" s="72">
        <f t="shared" si="66"/>
        <v>106194.20483648431</v>
      </c>
      <c r="I215" s="72">
        <f t="shared" si="66"/>
        <v>-3183649.1148067145</v>
      </c>
      <c r="J215" s="72">
        <f t="shared" si="66"/>
        <v>-1253499.8326921184</v>
      </c>
      <c r="K215" s="72">
        <f t="shared" si="66"/>
        <v>2028730.0122774397</v>
      </c>
      <c r="L215" s="72">
        <f t="shared" si="66"/>
        <v>911237.66138930176</v>
      </c>
      <c r="M215" s="72">
        <f t="shared" si="66"/>
        <v>-3512837.3410176844</v>
      </c>
      <c r="N215" s="72">
        <f t="shared" si="66"/>
        <v>-2691239.8813548293</v>
      </c>
      <c r="O215" s="72">
        <f t="shared" si="66"/>
        <v>-2676272.7634353247</v>
      </c>
      <c r="P215" s="98">
        <f>SUM(D215:O215)</f>
        <v>-9167461.4450037926</v>
      </c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B215" s="37"/>
      <c r="CC215" s="37"/>
      <c r="CD215" s="37"/>
      <c r="CE215" s="37"/>
      <c r="CF215" s="37"/>
      <c r="CG215" s="37"/>
      <c r="CH215" s="37"/>
      <c r="CI215" s="37"/>
      <c r="CJ215" s="37"/>
      <c r="CK215" s="37"/>
      <c r="CL215" s="37"/>
      <c r="CM215" s="37"/>
      <c r="CN215" s="37"/>
      <c r="CO215" s="37"/>
      <c r="CP215" s="37"/>
      <c r="CQ215" s="37"/>
      <c r="CR215" s="37"/>
      <c r="CS215" s="37"/>
      <c r="CT215" s="37"/>
      <c r="CU215" s="37"/>
      <c r="CV215" s="37"/>
      <c r="CW215" s="37"/>
      <c r="CX215" s="37"/>
      <c r="CY215" s="37"/>
      <c r="CZ215" s="37"/>
      <c r="DA215" s="37"/>
      <c r="DB215" s="37"/>
      <c r="DC215" s="37"/>
      <c r="DD215" s="37"/>
      <c r="DE215" s="37"/>
      <c r="DF215" s="37"/>
      <c r="DG215" s="37"/>
      <c r="DH215" s="37"/>
      <c r="DI215" s="37"/>
      <c r="DJ215" s="37"/>
      <c r="DK215" s="37"/>
      <c r="DL215" s="37"/>
      <c r="DM215" s="37"/>
      <c r="DN215" s="37"/>
      <c r="DO215" s="37"/>
      <c r="DP215" s="37"/>
      <c r="DQ215" s="37"/>
      <c r="DR215" s="37"/>
      <c r="DS215" s="37"/>
      <c r="DT215" s="37"/>
      <c r="DU215" s="37"/>
      <c r="DV215" s="37"/>
      <c r="DW215" s="37"/>
      <c r="DX215" s="37"/>
      <c r="DY215" s="37"/>
      <c r="DZ215" s="37"/>
      <c r="EA215" s="37"/>
      <c r="EB215" s="37"/>
      <c r="EC215" s="37"/>
      <c r="ED215" s="37"/>
      <c r="EE215" s="37"/>
      <c r="EF215" s="37"/>
      <c r="EG215" s="37"/>
      <c r="EH215" s="37"/>
      <c r="EI215" s="37"/>
      <c r="EJ215" s="37"/>
      <c r="EK215" s="37"/>
      <c r="EL215" s="37"/>
      <c r="EM215" s="37"/>
      <c r="EN215" s="37"/>
    </row>
    <row r="216" spans="1:144" s="34" customFormat="1">
      <c r="A216" s="46">
        <v>5</v>
      </c>
      <c r="B216" s="96" t="s">
        <v>18</v>
      </c>
      <c r="C216" s="85"/>
      <c r="D216" s="94">
        <f t="shared" ref="D216:N216" si="67">SUM(D214:D215)</f>
        <v>7295003.6295376327</v>
      </c>
      <c r="E216" s="94">
        <f t="shared" si="67"/>
        <v>9274274.2394626942</v>
      </c>
      <c r="F216" s="94">
        <f t="shared" si="67"/>
        <v>-6537969.1347335074</v>
      </c>
      <c r="G216" s="94">
        <f t="shared" si="67"/>
        <v>-4605161.2153661763</v>
      </c>
      <c r="H216" s="94">
        <f t="shared" si="67"/>
        <v>218861.60238242551</v>
      </c>
      <c r="I216" s="94">
        <f t="shared" si="67"/>
        <v>-26739388.348687802</v>
      </c>
      <c r="J216" s="94">
        <f t="shared" si="67"/>
        <v>-11873918.205994805</v>
      </c>
      <c r="K216" s="94">
        <f t="shared" si="67"/>
        <v>15323324.765806047</v>
      </c>
      <c r="L216" s="94">
        <f t="shared" si="67"/>
        <v>10494649.659573836</v>
      </c>
      <c r="M216" s="94">
        <f t="shared" si="67"/>
        <v>-43046335.10350436</v>
      </c>
      <c r="N216" s="94">
        <f t="shared" si="67"/>
        <v>-39643572.961037271</v>
      </c>
      <c r="O216" s="94">
        <f>SUM(O214:O215)</f>
        <v>-40062854.808446385</v>
      </c>
      <c r="P216" s="94">
        <f>SUM(P214:P215)</f>
        <v>-129903085.88100767</v>
      </c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37"/>
      <c r="CD216" s="37"/>
      <c r="CE216" s="37"/>
      <c r="CF216" s="37"/>
      <c r="CG216" s="37"/>
      <c r="CH216" s="37"/>
      <c r="CI216" s="37"/>
      <c r="CJ216" s="37"/>
      <c r="CK216" s="37"/>
      <c r="CL216" s="37"/>
      <c r="CM216" s="37"/>
      <c r="CN216" s="37"/>
      <c r="CO216" s="37"/>
      <c r="CP216" s="37"/>
      <c r="CQ216" s="37"/>
      <c r="CR216" s="37"/>
      <c r="CS216" s="37"/>
      <c r="CT216" s="37"/>
      <c r="CU216" s="37"/>
      <c r="CV216" s="37"/>
      <c r="CW216" s="37"/>
      <c r="CX216" s="37"/>
      <c r="CY216" s="37"/>
      <c r="CZ216" s="37"/>
      <c r="DA216" s="37"/>
      <c r="DB216" s="37"/>
      <c r="DC216" s="37"/>
      <c r="DD216" s="37"/>
      <c r="DE216" s="37"/>
      <c r="DF216" s="37"/>
      <c r="DG216" s="37"/>
      <c r="DH216" s="37"/>
      <c r="DI216" s="37"/>
      <c r="DJ216" s="37"/>
      <c r="DK216" s="37"/>
      <c r="DL216" s="37"/>
      <c r="DM216" s="37"/>
      <c r="DN216" s="37"/>
      <c r="DO216" s="37"/>
      <c r="DP216" s="37"/>
      <c r="DQ216" s="37"/>
      <c r="DR216" s="37"/>
      <c r="DS216" s="37"/>
      <c r="DT216" s="37"/>
      <c r="DU216" s="37"/>
      <c r="DV216" s="37"/>
      <c r="DW216" s="37"/>
      <c r="DX216" s="37"/>
      <c r="DY216" s="37"/>
      <c r="DZ216" s="37"/>
      <c r="EA216" s="37"/>
      <c r="EB216" s="37"/>
      <c r="EC216" s="37"/>
      <c r="ED216" s="37"/>
      <c r="EE216" s="37"/>
      <c r="EF216" s="37"/>
      <c r="EG216" s="37"/>
      <c r="EH216" s="37"/>
      <c r="EI216" s="37"/>
      <c r="EJ216" s="37"/>
      <c r="EK216" s="37"/>
      <c r="EL216" s="37"/>
      <c r="EM216" s="37"/>
      <c r="EN216" s="37"/>
    </row>
    <row r="217" spans="1:144" s="34" customFormat="1">
      <c r="B217" s="146"/>
      <c r="C217" s="85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71"/>
      <c r="O217" s="71"/>
      <c r="P217" s="76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37"/>
      <c r="BV217" s="37"/>
      <c r="BW217" s="37"/>
      <c r="BX217" s="37"/>
      <c r="BY217" s="37"/>
      <c r="BZ217" s="37"/>
      <c r="CA217" s="37"/>
      <c r="CB217" s="37"/>
      <c r="CC217" s="37"/>
      <c r="CD217" s="37"/>
      <c r="CE217" s="37"/>
      <c r="CF217" s="37"/>
      <c r="CG217" s="37"/>
      <c r="CH217" s="37"/>
      <c r="CI217" s="37"/>
      <c r="CJ217" s="37"/>
      <c r="CK217" s="37"/>
      <c r="CL217" s="37"/>
      <c r="CM217" s="37"/>
      <c r="CN217" s="37"/>
      <c r="CO217" s="37"/>
      <c r="CP217" s="37"/>
      <c r="CQ217" s="37"/>
      <c r="CR217" s="37"/>
      <c r="CS217" s="37"/>
      <c r="CT217" s="37"/>
      <c r="CU217" s="37"/>
      <c r="CV217" s="37"/>
      <c r="CW217" s="37"/>
      <c r="CX217" s="37"/>
      <c r="CY217" s="37"/>
      <c r="CZ217" s="37"/>
      <c r="DA217" s="37"/>
      <c r="DB217" s="37"/>
      <c r="DC217" s="37"/>
      <c r="DD217" s="37"/>
      <c r="DE217" s="37"/>
      <c r="DF217" s="37"/>
      <c r="DG217" s="37"/>
      <c r="DH217" s="37"/>
      <c r="DI217" s="37"/>
      <c r="DJ217" s="37"/>
      <c r="DK217" s="37"/>
      <c r="DL217" s="37"/>
      <c r="DM217" s="37"/>
      <c r="DN217" s="37"/>
      <c r="DO217" s="37"/>
      <c r="DP217" s="37"/>
      <c r="DQ217" s="37"/>
      <c r="DR217" s="37"/>
      <c r="DS217" s="37"/>
      <c r="DT217" s="37"/>
      <c r="DU217" s="37"/>
      <c r="DV217" s="37"/>
      <c r="DW217" s="37"/>
      <c r="DX217" s="37"/>
      <c r="DY217" s="37"/>
      <c r="DZ217" s="37"/>
      <c r="EA217" s="37"/>
      <c r="EB217" s="37"/>
      <c r="EC217" s="37"/>
      <c r="ED217" s="37"/>
      <c r="EE217" s="37"/>
      <c r="EF217" s="37"/>
      <c r="EG217" s="37"/>
      <c r="EH217" s="37"/>
      <c r="EI217" s="37"/>
      <c r="EJ217" s="37"/>
      <c r="EK217" s="37"/>
      <c r="EL217" s="37"/>
      <c r="EM217" s="37"/>
      <c r="EN217" s="37"/>
    </row>
    <row r="218" spans="1:144" s="34" customFormat="1">
      <c r="A218" s="46">
        <v>6</v>
      </c>
      <c r="B218" s="87" t="s">
        <v>82</v>
      </c>
      <c r="C218" s="74" t="s">
        <v>5</v>
      </c>
      <c r="D218" s="71">
        <f t="shared" ref="D218:O218" si="68">D54*$R$173</f>
        <v>32383.81347341838</v>
      </c>
      <c r="E218" s="71">
        <f t="shared" si="68"/>
        <v>48221.930470640385</v>
      </c>
      <c r="F218" s="71">
        <f t="shared" si="68"/>
        <v>-124751.24678434055</v>
      </c>
      <c r="G218" s="71">
        <f t="shared" si="68"/>
        <v>-140183.64276735761</v>
      </c>
      <c r="H218" s="71">
        <f t="shared" si="68"/>
        <v>-57332.266329129197</v>
      </c>
      <c r="I218" s="71">
        <f t="shared" si="68"/>
        <v>-538016.95301979384</v>
      </c>
      <c r="J218" s="71">
        <f t="shared" si="68"/>
        <v>-288073.5146992472</v>
      </c>
      <c r="K218" s="71">
        <f t="shared" si="68"/>
        <v>297572.62496831408</v>
      </c>
      <c r="L218" s="71">
        <f t="shared" si="68"/>
        <v>44798.062347978346</v>
      </c>
      <c r="M218" s="71">
        <f t="shared" si="68"/>
        <v>-589887.65783538378</v>
      </c>
      <c r="N218" s="71">
        <f t="shared" si="68"/>
        <v>-467852.91495148418</v>
      </c>
      <c r="O218" s="71">
        <f t="shared" si="68"/>
        <v>-436356.11721205909</v>
      </c>
      <c r="P218" s="76">
        <f>SUM(D218:O218)</f>
        <v>-2219477.8823384442</v>
      </c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7"/>
      <c r="BU218" s="37"/>
      <c r="BV218" s="37"/>
      <c r="BW218" s="37"/>
      <c r="BX218" s="37"/>
      <c r="BY218" s="37"/>
      <c r="BZ218" s="37"/>
      <c r="CA218" s="37"/>
      <c r="CB218" s="37"/>
      <c r="CC218" s="37"/>
      <c r="CD218" s="37"/>
      <c r="CE218" s="37"/>
      <c r="CF218" s="37"/>
      <c r="CG218" s="37"/>
      <c r="CH218" s="37"/>
      <c r="CI218" s="37"/>
      <c r="CJ218" s="37"/>
      <c r="CK218" s="37"/>
      <c r="CL218" s="37"/>
      <c r="CM218" s="37"/>
      <c r="CN218" s="37"/>
      <c r="CO218" s="37"/>
      <c r="CP218" s="37"/>
      <c r="CQ218" s="37"/>
      <c r="CR218" s="37"/>
      <c r="CS218" s="37"/>
      <c r="CT218" s="37"/>
      <c r="CU218" s="37"/>
      <c r="CV218" s="37"/>
      <c r="CW218" s="37"/>
      <c r="CX218" s="37"/>
      <c r="CY218" s="37"/>
      <c r="CZ218" s="37"/>
      <c r="DA218" s="37"/>
      <c r="DB218" s="37"/>
      <c r="DC218" s="37"/>
      <c r="DD218" s="37"/>
      <c r="DE218" s="37"/>
      <c r="DF218" s="37"/>
      <c r="DG218" s="37"/>
      <c r="DH218" s="37"/>
      <c r="DI218" s="37"/>
      <c r="DJ218" s="37"/>
      <c r="DK218" s="37"/>
      <c r="DL218" s="37"/>
      <c r="DM218" s="37"/>
      <c r="DN218" s="37"/>
      <c r="DO218" s="37"/>
      <c r="DP218" s="37"/>
      <c r="DQ218" s="37"/>
      <c r="DR218" s="37"/>
      <c r="DS218" s="37"/>
      <c r="DT218" s="37"/>
      <c r="DU218" s="37"/>
      <c r="DV218" s="37"/>
      <c r="DW218" s="37"/>
      <c r="DX218" s="37"/>
      <c r="DY218" s="37"/>
      <c r="DZ218" s="37"/>
      <c r="EA218" s="37"/>
      <c r="EB218" s="37"/>
      <c r="EC218" s="37"/>
      <c r="ED218" s="37"/>
      <c r="EE218" s="37"/>
      <c r="EF218" s="37"/>
      <c r="EG218" s="37"/>
      <c r="EH218" s="37"/>
      <c r="EI218" s="37"/>
      <c r="EJ218" s="37"/>
      <c r="EK218" s="37"/>
      <c r="EL218" s="37"/>
      <c r="EM218" s="37"/>
      <c r="EN218" s="37"/>
    </row>
    <row r="219" spans="1:144" s="34" customFormat="1">
      <c r="A219" s="46">
        <v>7</v>
      </c>
      <c r="B219" s="87" t="s">
        <v>83</v>
      </c>
      <c r="C219" s="74" t="s">
        <v>5</v>
      </c>
      <c r="D219" s="84">
        <f t="shared" ref="D219:O219" si="69">D55*$R$173</f>
        <v>728110.73592462391</v>
      </c>
      <c r="E219" s="84">
        <f t="shared" si="69"/>
        <v>1189036.8656002292</v>
      </c>
      <c r="F219" s="84">
        <f t="shared" si="69"/>
        <v>-1849553.1017707617</v>
      </c>
      <c r="G219" s="84">
        <f t="shared" si="69"/>
        <v>-1854520.5832012889</v>
      </c>
      <c r="H219" s="84">
        <f t="shared" si="69"/>
        <v>-346856.15574834793</v>
      </c>
      <c r="I219" s="84">
        <f t="shared" si="69"/>
        <v>-6094429.4133195374</v>
      </c>
      <c r="J219" s="84">
        <f t="shared" si="69"/>
        <v>-2989408.9041012158</v>
      </c>
      <c r="K219" s="84">
        <f t="shared" si="69"/>
        <v>2447478.6796213114</v>
      </c>
      <c r="L219" s="84">
        <f t="shared" si="69"/>
        <v>1245991.3426795979</v>
      </c>
      <c r="M219" s="84">
        <f t="shared" si="69"/>
        <v>-8186031.6470548809</v>
      </c>
      <c r="N219" s="84">
        <f t="shared" si="69"/>
        <v>-7738919.4765241994</v>
      </c>
      <c r="O219" s="84">
        <f t="shared" si="69"/>
        <v>-7445585.9619677747</v>
      </c>
      <c r="P219" s="76">
        <f>SUM(D219:O219)</f>
        <v>-30894687.619862244</v>
      </c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37"/>
      <c r="CD219" s="37"/>
      <c r="CE219" s="37"/>
      <c r="CF219" s="37"/>
      <c r="CG219" s="37"/>
      <c r="CH219" s="37"/>
      <c r="CI219" s="37"/>
      <c r="CJ219" s="37"/>
      <c r="CK219" s="37"/>
      <c r="CL219" s="37"/>
      <c r="CM219" s="37"/>
      <c r="CN219" s="37"/>
      <c r="CO219" s="37"/>
      <c r="CP219" s="37"/>
      <c r="CQ219" s="37"/>
      <c r="CR219" s="37"/>
      <c r="CS219" s="37"/>
      <c r="CT219" s="37"/>
      <c r="CU219" s="37"/>
      <c r="CV219" s="37"/>
      <c r="CW219" s="37"/>
      <c r="CX219" s="37"/>
      <c r="CY219" s="37"/>
      <c r="CZ219" s="37"/>
      <c r="DA219" s="37"/>
      <c r="DB219" s="37"/>
      <c r="DC219" s="37"/>
      <c r="DD219" s="37"/>
      <c r="DE219" s="37"/>
      <c r="DF219" s="37"/>
      <c r="DG219" s="37"/>
      <c r="DH219" s="37"/>
      <c r="DI219" s="37"/>
      <c r="DJ219" s="37"/>
      <c r="DK219" s="37"/>
      <c r="DL219" s="37"/>
      <c r="DM219" s="37"/>
      <c r="DN219" s="37"/>
      <c r="DO219" s="37"/>
      <c r="DP219" s="37"/>
      <c r="DQ219" s="37"/>
      <c r="DR219" s="37"/>
      <c r="DS219" s="37"/>
      <c r="DT219" s="37"/>
      <c r="DU219" s="37"/>
      <c r="DV219" s="37"/>
      <c r="DW219" s="37"/>
      <c r="DX219" s="37"/>
      <c r="DY219" s="37"/>
      <c r="DZ219" s="37"/>
      <c r="EA219" s="37"/>
      <c r="EB219" s="37"/>
      <c r="EC219" s="37"/>
      <c r="ED219" s="37"/>
      <c r="EE219" s="37"/>
      <c r="EF219" s="37"/>
      <c r="EG219" s="37"/>
      <c r="EH219" s="37"/>
      <c r="EI219" s="37"/>
      <c r="EJ219" s="37"/>
      <c r="EK219" s="37"/>
      <c r="EL219" s="37"/>
      <c r="EM219" s="37"/>
      <c r="EN219" s="37"/>
    </row>
    <row r="220" spans="1:144" s="34" customFormat="1">
      <c r="A220" s="46">
        <v>8</v>
      </c>
      <c r="B220" s="87" t="s">
        <v>148</v>
      </c>
      <c r="C220" s="74" t="s">
        <v>5</v>
      </c>
      <c r="D220" s="84">
        <f t="shared" ref="D220" si="70">D56*$R$173</f>
        <v>0</v>
      </c>
      <c r="E220" s="84">
        <f t="shared" ref="E220:O220" si="71">E56*$R$173</f>
        <v>0</v>
      </c>
      <c r="F220" s="84">
        <f t="shared" si="71"/>
        <v>0</v>
      </c>
      <c r="G220" s="84">
        <f t="shared" si="71"/>
        <v>0</v>
      </c>
      <c r="H220" s="84">
        <f t="shared" si="71"/>
        <v>0</v>
      </c>
      <c r="I220" s="84">
        <f t="shared" si="71"/>
        <v>0</v>
      </c>
      <c r="J220" s="84">
        <f t="shared" si="71"/>
        <v>0</v>
      </c>
      <c r="K220" s="84">
        <f t="shared" si="71"/>
        <v>0</v>
      </c>
      <c r="L220" s="84">
        <f t="shared" si="71"/>
        <v>0</v>
      </c>
      <c r="M220" s="84">
        <f t="shared" si="71"/>
        <v>0</v>
      </c>
      <c r="N220" s="84">
        <f t="shared" si="71"/>
        <v>0</v>
      </c>
      <c r="O220" s="84">
        <f t="shared" si="71"/>
        <v>0</v>
      </c>
      <c r="P220" s="76">
        <f t="shared" ref="P220:P221" si="72">SUM(D220:O220)</f>
        <v>0</v>
      </c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37"/>
      <c r="CD220" s="37"/>
      <c r="CE220" s="37"/>
      <c r="CF220" s="37"/>
      <c r="CG220" s="37"/>
      <c r="CH220" s="37"/>
      <c r="CI220" s="37"/>
      <c r="CJ220" s="37"/>
      <c r="CK220" s="37"/>
      <c r="CL220" s="37"/>
      <c r="CM220" s="37"/>
      <c r="CN220" s="37"/>
      <c r="CO220" s="37"/>
      <c r="CP220" s="37"/>
      <c r="CQ220" s="37"/>
      <c r="CR220" s="37"/>
      <c r="CS220" s="37"/>
      <c r="CT220" s="37"/>
      <c r="CU220" s="37"/>
      <c r="CV220" s="37"/>
      <c r="CW220" s="37"/>
      <c r="CX220" s="37"/>
      <c r="CY220" s="37"/>
      <c r="CZ220" s="37"/>
      <c r="DA220" s="37"/>
      <c r="DB220" s="37"/>
      <c r="DC220" s="37"/>
      <c r="DD220" s="37"/>
      <c r="DE220" s="37"/>
      <c r="DF220" s="37"/>
      <c r="DG220" s="37"/>
      <c r="DH220" s="37"/>
      <c r="DI220" s="37"/>
      <c r="DJ220" s="37"/>
      <c r="DK220" s="37"/>
      <c r="DL220" s="37"/>
      <c r="DM220" s="37"/>
      <c r="DN220" s="37"/>
      <c r="DO220" s="37"/>
      <c r="DP220" s="37"/>
      <c r="DQ220" s="37"/>
      <c r="DR220" s="37"/>
      <c r="DS220" s="37"/>
      <c r="DT220" s="37"/>
      <c r="DU220" s="37"/>
      <c r="DV220" s="37"/>
      <c r="DW220" s="37"/>
      <c r="DX220" s="37"/>
      <c r="DY220" s="37"/>
      <c r="DZ220" s="37"/>
      <c r="EA220" s="37"/>
      <c r="EB220" s="37"/>
      <c r="EC220" s="37"/>
      <c r="ED220" s="37"/>
      <c r="EE220" s="37"/>
      <c r="EF220" s="37"/>
      <c r="EG220" s="37"/>
      <c r="EH220" s="37"/>
      <c r="EI220" s="37"/>
      <c r="EJ220" s="37"/>
      <c r="EK220" s="37"/>
      <c r="EL220" s="37"/>
      <c r="EM220" s="37"/>
      <c r="EN220" s="37"/>
    </row>
    <row r="221" spans="1:144" s="34" customFormat="1">
      <c r="A221" s="46">
        <v>9</v>
      </c>
      <c r="B221" s="87" t="s">
        <v>149</v>
      </c>
      <c r="C221" s="74" t="s">
        <v>5</v>
      </c>
      <c r="D221" s="84">
        <f t="shared" ref="D221" si="73">D57*$R$173</f>
        <v>0</v>
      </c>
      <c r="E221" s="84">
        <f t="shared" ref="E221:O221" si="74">E57*$R$173</f>
        <v>0</v>
      </c>
      <c r="F221" s="84">
        <f t="shared" si="74"/>
        <v>0</v>
      </c>
      <c r="G221" s="84">
        <f t="shared" si="74"/>
        <v>0</v>
      </c>
      <c r="H221" s="84">
        <f t="shared" si="74"/>
        <v>0</v>
      </c>
      <c r="I221" s="84">
        <f t="shared" si="74"/>
        <v>0</v>
      </c>
      <c r="J221" s="84">
        <f t="shared" si="74"/>
        <v>0</v>
      </c>
      <c r="K221" s="84">
        <f t="shared" si="74"/>
        <v>0</v>
      </c>
      <c r="L221" s="84">
        <f t="shared" si="74"/>
        <v>0</v>
      </c>
      <c r="M221" s="84">
        <f t="shared" si="74"/>
        <v>0</v>
      </c>
      <c r="N221" s="84">
        <f t="shared" si="74"/>
        <v>0</v>
      </c>
      <c r="O221" s="84">
        <f t="shared" si="74"/>
        <v>0</v>
      </c>
      <c r="P221" s="76">
        <f t="shared" si="72"/>
        <v>0</v>
      </c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BZ221" s="37"/>
      <c r="CA221" s="37"/>
      <c r="CB221" s="37"/>
      <c r="CC221" s="37"/>
      <c r="CD221" s="37"/>
      <c r="CE221" s="37"/>
      <c r="CF221" s="37"/>
      <c r="CG221" s="37"/>
      <c r="CH221" s="37"/>
      <c r="CI221" s="37"/>
      <c r="CJ221" s="37"/>
      <c r="CK221" s="37"/>
      <c r="CL221" s="37"/>
      <c r="CM221" s="37"/>
      <c r="CN221" s="37"/>
      <c r="CO221" s="37"/>
      <c r="CP221" s="37"/>
      <c r="CQ221" s="37"/>
      <c r="CR221" s="37"/>
      <c r="CS221" s="37"/>
      <c r="CT221" s="37"/>
      <c r="CU221" s="37"/>
      <c r="CV221" s="37"/>
      <c r="CW221" s="37"/>
      <c r="CX221" s="37"/>
      <c r="CY221" s="37"/>
      <c r="CZ221" s="37"/>
      <c r="DA221" s="37"/>
      <c r="DB221" s="37"/>
      <c r="DC221" s="37"/>
      <c r="DD221" s="37"/>
      <c r="DE221" s="37"/>
      <c r="DF221" s="37"/>
      <c r="DG221" s="37"/>
      <c r="DH221" s="37"/>
      <c r="DI221" s="37"/>
      <c r="DJ221" s="37"/>
      <c r="DK221" s="37"/>
      <c r="DL221" s="37"/>
      <c r="DM221" s="37"/>
      <c r="DN221" s="37"/>
      <c r="DO221" s="37"/>
      <c r="DP221" s="37"/>
      <c r="DQ221" s="37"/>
      <c r="DR221" s="37"/>
      <c r="DS221" s="37"/>
      <c r="DT221" s="37"/>
      <c r="DU221" s="37"/>
      <c r="DV221" s="37"/>
      <c r="DW221" s="37"/>
      <c r="DX221" s="37"/>
      <c r="DY221" s="37"/>
      <c r="DZ221" s="37"/>
      <c r="EA221" s="37"/>
      <c r="EB221" s="37"/>
      <c r="EC221" s="37"/>
      <c r="ED221" s="37"/>
      <c r="EE221" s="37"/>
      <c r="EF221" s="37"/>
      <c r="EG221" s="37"/>
      <c r="EH221" s="37"/>
      <c r="EI221" s="37"/>
      <c r="EJ221" s="37"/>
      <c r="EK221" s="37"/>
      <c r="EL221" s="37"/>
      <c r="EM221" s="37"/>
      <c r="EN221" s="37"/>
    </row>
    <row r="222" spans="1:144" s="34" customFormat="1">
      <c r="A222" s="46">
        <v>10</v>
      </c>
      <c r="B222" s="78" t="s">
        <v>19</v>
      </c>
      <c r="C222" s="74"/>
      <c r="D222" s="218">
        <f>SUM(D218:D221)</f>
        <v>760494.54939804226</v>
      </c>
      <c r="E222" s="218">
        <f t="shared" ref="E222:P222" si="75">SUM(E218:E221)</f>
        <v>1237258.7960708695</v>
      </c>
      <c r="F222" s="218">
        <f t="shared" si="75"/>
        <v>-1974304.3485551022</v>
      </c>
      <c r="G222" s="218">
        <f t="shared" si="75"/>
        <v>-1994704.2259686466</v>
      </c>
      <c r="H222" s="218">
        <f t="shared" si="75"/>
        <v>-404188.42207747709</v>
      </c>
      <c r="I222" s="218">
        <f t="shared" si="75"/>
        <v>-6632446.3663393315</v>
      </c>
      <c r="J222" s="218">
        <f t="shared" si="75"/>
        <v>-3277482.418800463</v>
      </c>
      <c r="K222" s="218">
        <f t="shared" si="75"/>
        <v>2745051.3045896254</v>
      </c>
      <c r="L222" s="218">
        <f t="shared" si="75"/>
        <v>1290789.4050275763</v>
      </c>
      <c r="M222" s="218">
        <f t="shared" si="75"/>
        <v>-8775919.3048902638</v>
      </c>
      <c r="N222" s="218">
        <f>SUM(N218:N221)</f>
        <v>-8206772.3914756831</v>
      </c>
      <c r="O222" s="218">
        <f t="shared" si="75"/>
        <v>-7881942.0791798336</v>
      </c>
      <c r="P222" s="218">
        <f t="shared" si="75"/>
        <v>-33114165.502200689</v>
      </c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37"/>
      <c r="CD222" s="37"/>
      <c r="CE222" s="37"/>
      <c r="CF222" s="37"/>
      <c r="CG222" s="37"/>
      <c r="CH222" s="37"/>
      <c r="CI222" s="37"/>
      <c r="CJ222" s="37"/>
      <c r="CK222" s="37"/>
      <c r="CL222" s="37"/>
      <c r="CM222" s="37"/>
      <c r="CN222" s="37"/>
      <c r="CO222" s="37"/>
      <c r="CP222" s="37"/>
      <c r="CQ222" s="37"/>
      <c r="CR222" s="37"/>
      <c r="CS222" s="37"/>
      <c r="CT222" s="37"/>
      <c r="CU222" s="37"/>
      <c r="CV222" s="37"/>
      <c r="CW222" s="37"/>
      <c r="CX222" s="37"/>
      <c r="CY222" s="37"/>
      <c r="CZ222" s="37"/>
      <c r="DA222" s="37"/>
      <c r="DB222" s="37"/>
      <c r="DC222" s="37"/>
      <c r="DD222" s="37"/>
      <c r="DE222" s="37"/>
      <c r="DF222" s="37"/>
      <c r="DG222" s="37"/>
      <c r="DH222" s="37"/>
      <c r="DI222" s="37"/>
      <c r="DJ222" s="37"/>
      <c r="DK222" s="37"/>
      <c r="DL222" s="37"/>
      <c r="DM222" s="37"/>
      <c r="DN222" s="37"/>
      <c r="DO222" s="37"/>
      <c r="DP222" s="37"/>
      <c r="DQ222" s="37"/>
      <c r="DR222" s="37"/>
      <c r="DS222" s="37"/>
      <c r="DT222" s="37"/>
      <c r="DU222" s="37"/>
      <c r="DV222" s="37"/>
      <c r="DW222" s="37"/>
      <c r="DX222" s="37"/>
      <c r="DY222" s="37"/>
      <c r="DZ222" s="37"/>
      <c r="EA222" s="37"/>
      <c r="EB222" s="37"/>
      <c r="EC222" s="37"/>
      <c r="ED222" s="37"/>
      <c r="EE222" s="37"/>
      <c r="EF222" s="37"/>
      <c r="EG222" s="37"/>
      <c r="EH222" s="37"/>
      <c r="EI222" s="37"/>
      <c r="EJ222" s="37"/>
      <c r="EK222" s="37"/>
      <c r="EL222" s="37"/>
      <c r="EM222" s="37"/>
      <c r="EN222" s="37"/>
    </row>
    <row r="223" spans="1:144" s="34" customFormat="1">
      <c r="A223" s="46"/>
      <c r="B223" s="78"/>
      <c r="C223" s="74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6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  <c r="CA223" s="37"/>
      <c r="CB223" s="37"/>
      <c r="CC223" s="37"/>
      <c r="CD223" s="37"/>
      <c r="CE223" s="37"/>
      <c r="CF223" s="37"/>
      <c r="CG223" s="37"/>
      <c r="CH223" s="37"/>
      <c r="CI223" s="37"/>
      <c r="CJ223" s="37"/>
      <c r="CK223" s="37"/>
      <c r="CL223" s="37"/>
      <c r="CM223" s="37"/>
      <c r="CN223" s="37"/>
      <c r="CO223" s="37"/>
      <c r="CP223" s="37"/>
      <c r="CQ223" s="37"/>
      <c r="CR223" s="37"/>
      <c r="CS223" s="37"/>
      <c r="CT223" s="37"/>
      <c r="CU223" s="37"/>
      <c r="CV223" s="37"/>
      <c r="CW223" s="37"/>
      <c r="CX223" s="37"/>
      <c r="CY223" s="37"/>
      <c r="CZ223" s="37"/>
      <c r="DA223" s="37"/>
      <c r="DB223" s="37"/>
      <c r="DC223" s="37"/>
      <c r="DD223" s="37"/>
      <c r="DE223" s="37"/>
      <c r="DF223" s="37"/>
      <c r="DG223" s="37"/>
      <c r="DH223" s="37"/>
      <c r="DI223" s="37"/>
      <c r="DJ223" s="37"/>
      <c r="DK223" s="37"/>
      <c r="DL223" s="37"/>
      <c r="DM223" s="37"/>
      <c r="DN223" s="37"/>
      <c r="DO223" s="37"/>
      <c r="DP223" s="37"/>
      <c r="DQ223" s="37"/>
      <c r="DR223" s="37"/>
      <c r="DS223" s="37"/>
      <c r="DT223" s="37"/>
      <c r="DU223" s="37"/>
      <c r="DV223" s="37"/>
      <c r="DW223" s="37"/>
      <c r="DX223" s="37"/>
      <c r="DY223" s="37"/>
      <c r="DZ223" s="37"/>
      <c r="EA223" s="37"/>
      <c r="EB223" s="37"/>
      <c r="EC223" s="37"/>
      <c r="ED223" s="37"/>
      <c r="EE223" s="37"/>
      <c r="EF223" s="37"/>
      <c r="EG223" s="37"/>
      <c r="EH223" s="37"/>
      <c r="EI223" s="37"/>
      <c r="EJ223" s="37"/>
      <c r="EK223" s="37"/>
      <c r="EL223" s="37"/>
      <c r="EM223" s="37"/>
      <c r="EN223" s="37"/>
    </row>
    <row r="224" spans="1:144" s="34" customFormat="1">
      <c r="A224" s="46">
        <v>11</v>
      </c>
      <c r="B224" s="96" t="s">
        <v>86</v>
      </c>
      <c r="C224" s="74" t="s">
        <v>6</v>
      </c>
      <c r="D224" s="71">
        <f t="shared" ref="D224:O224" si="76">D60*$R$174</f>
        <v>-97293.322799999994</v>
      </c>
      <c r="E224" s="71">
        <f t="shared" si="76"/>
        <v>-99753.707519999996</v>
      </c>
      <c r="F224" s="71">
        <f t="shared" si="76"/>
        <v>-100135.20995999999</v>
      </c>
      <c r="G224" s="71">
        <f t="shared" si="76"/>
        <v>-107300.11139999999</v>
      </c>
      <c r="H224" s="71">
        <f t="shared" si="76"/>
        <v>-68480.708039999998</v>
      </c>
      <c r="I224" s="71">
        <f t="shared" si="76"/>
        <v>-102195.73116</v>
      </c>
      <c r="J224" s="71">
        <f t="shared" si="76"/>
        <v>-125467.37999999999</v>
      </c>
      <c r="K224" s="71">
        <f t="shared" si="76"/>
        <v>-108628.22951999999</v>
      </c>
      <c r="L224" s="71">
        <f t="shared" si="76"/>
        <v>-123514.98516000001</v>
      </c>
      <c r="M224" s="71">
        <f t="shared" si="76"/>
        <v>-121093.36271999999</v>
      </c>
      <c r="N224" s="71">
        <f t="shared" si="76"/>
        <v>-128868.26003999999</v>
      </c>
      <c r="O224" s="71">
        <f t="shared" si="76"/>
        <v>-125934.56748</v>
      </c>
      <c r="P224" s="76">
        <f>SUM(D224:O224)</f>
        <v>-1308665.5758</v>
      </c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  <c r="CA224" s="37"/>
      <c r="CB224" s="37"/>
      <c r="CC224" s="37"/>
      <c r="CD224" s="37"/>
      <c r="CE224" s="37"/>
      <c r="CF224" s="37"/>
      <c r="CG224" s="37"/>
      <c r="CH224" s="37"/>
      <c r="CI224" s="37"/>
      <c r="CJ224" s="37"/>
      <c r="CK224" s="37"/>
      <c r="CL224" s="37"/>
      <c r="CM224" s="37"/>
      <c r="CN224" s="37"/>
      <c r="CO224" s="37"/>
      <c r="CP224" s="37"/>
      <c r="CQ224" s="37"/>
      <c r="CR224" s="37"/>
      <c r="CS224" s="37"/>
      <c r="CT224" s="37"/>
      <c r="CU224" s="37"/>
      <c r="CV224" s="37"/>
      <c r="CW224" s="37"/>
      <c r="CX224" s="37"/>
      <c r="CY224" s="37"/>
      <c r="CZ224" s="37"/>
      <c r="DA224" s="37"/>
      <c r="DB224" s="37"/>
      <c r="DC224" s="37"/>
      <c r="DD224" s="37"/>
      <c r="DE224" s="37"/>
      <c r="DF224" s="37"/>
      <c r="DG224" s="37"/>
      <c r="DH224" s="37"/>
      <c r="DI224" s="37"/>
      <c r="DJ224" s="37"/>
      <c r="DK224" s="37"/>
      <c r="DL224" s="37"/>
      <c r="DM224" s="37"/>
      <c r="DN224" s="37"/>
      <c r="DO224" s="37"/>
      <c r="DP224" s="37"/>
      <c r="DQ224" s="37"/>
      <c r="DR224" s="37"/>
      <c r="DS224" s="37"/>
      <c r="DT224" s="37"/>
      <c r="DU224" s="37"/>
      <c r="DV224" s="37"/>
      <c r="DW224" s="37"/>
      <c r="DX224" s="37"/>
      <c r="DY224" s="37"/>
      <c r="DZ224" s="37"/>
      <c r="EA224" s="37"/>
      <c r="EB224" s="37"/>
      <c r="EC224" s="37"/>
      <c r="ED224" s="37"/>
      <c r="EE224" s="37"/>
      <c r="EF224" s="37"/>
      <c r="EG224" s="37"/>
      <c r="EH224" s="37"/>
      <c r="EI224" s="37"/>
      <c r="EJ224" s="37"/>
      <c r="EK224" s="37"/>
      <c r="EL224" s="37"/>
      <c r="EM224" s="37"/>
      <c r="EN224" s="37"/>
    </row>
    <row r="225" spans="1:145" s="34" customFormat="1">
      <c r="B225" s="78"/>
      <c r="C225" s="85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71"/>
      <c r="O225" s="71"/>
      <c r="P225" s="76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  <c r="CA225" s="37"/>
      <c r="CB225" s="37"/>
      <c r="CC225" s="37"/>
      <c r="CD225" s="37"/>
      <c r="CE225" s="37"/>
      <c r="CF225" s="37"/>
      <c r="CG225" s="37"/>
      <c r="CH225" s="37"/>
      <c r="CI225" s="37"/>
      <c r="CJ225" s="37"/>
      <c r="CK225" s="37"/>
      <c r="CL225" s="37"/>
      <c r="CM225" s="37"/>
      <c r="CN225" s="37"/>
      <c r="CO225" s="37"/>
      <c r="CP225" s="37"/>
      <c r="CQ225" s="37"/>
      <c r="CR225" s="37"/>
      <c r="CS225" s="37"/>
      <c r="CT225" s="37"/>
      <c r="CU225" s="37"/>
      <c r="CV225" s="37"/>
      <c r="CW225" s="37"/>
      <c r="CX225" s="37"/>
      <c r="CY225" s="37"/>
      <c r="CZ225" s="37"/>
      <c r="DA225" s="37"/>
      <c r="DB225" s="37"/>
      <c r="DC225" s="37"/>
      <c r="DD225" s="37"/>
      <c r="DE225" s="37"/>
      <c r="DF225" s="37"/>
      <c r="DG225" s="37"/>
      <c r="DH225" s="37"/>
      <c r="DI225" s="37"/>
      <c r="DJ225" s="37"/>
      <c r="DK225" s="37"/>
      <c r="DL225" s="37"/>
      <c r="DM225" s="37"/>
      <c r="DN225" s="37"/>
      <c r="DO225" s="37"/>
      <c r="DP225" s="37"/>
      <c r="DQ225" s="37"/>
      <c r="DR225" s="37"/>
      <c r="DS225" s="37"/>
      <c r="DT225" s="37"/>
      <c r="DU225" s="37"/>
      <c r="DV225" s="37"/>
      <c r="DW225" s="37"/>
      <c r="DX225" s="37"/>
      <c r="DY225" s="37"/>
      <c r="DZ225" s="37"/>
      <c r="EA225" s="37"/>
      <c r="EB225" s="37"/>
      <c r="EC225" s="37"/>
      <c r="ED225" s="37"/>
      <c r="EE225" s="37"/>
      <c r="EF225" s="37"/>
      <c r="EG225" s="37"/>
      <c r="EH225" s="37"/>
      <c r="EI225" s="37"/>
      <c r="EJ225" s="37"/>
      <c r="EK225" s="37"/>
      <c r="EL225" s="37"/>
      <c r="EM225" s="37"/>
      <c r="EN225" s="37"/>
    </row>
    <row r="226" spans="1:145" s="34" customFormat="1">
      <c r="A226" s="46">
        <v>12</v>
      </c>
      <c r="B226" s="68" t="s">
        <v>21</v>
      </c>
      <c r="C226" s="74" t="s">
        <v>4</v>
      </c>
      <c r="D226" s="71">
        <f t="shared" ref="D226:O226" si="77">D62*$R$172</f>
        <v>0</v>
      </c>
      <c r="E226" s="71">
        <f t="shared" si="77"/>
        <v>0</v>
      </c>
      <c r="F226" s="71">
        <f t="shared" si="77"/>
        <v>0</v>
      </c>
      <c r="G226" s="71">
        <f t="shared" si="77"/>
        <v>0</v>
      </c>
      <c r="H226" s="71">
        <f t="shared" si="77"/>
        <v>0</v>
      </c>
      <c r="I226" s="71">
        <f t="shared" si="77"/>
        <v>0</v>
      </c>
      <c r="J226" s="71">
        <f t="shared" si="77"/>
        <v>0</v>
      </c>
      <c r="K226" s="71">
        <f t="shared" si="77"/>
        <v>0</v>
      </c>
      <c r="L226" s="71">
        <f t="shared" si="77"/>
        <v>0</v>
      </c>
      <c r="M226" s="71">
        <f t="shared" si="77"/>
        <v>41.940599999999996</v>
      </c>
      <c r="N226" s="71">
        <f t="shared" si="77"/>
        <v>0</v>
      </c>
      <c r="O226" s="71">
        <f t="shared" si="77"/>
        <v>0</v>
      </c>
      <c r="P226" s="76">
        <f>SUM(D226:O226)</f>
        <v>41.940599999999996</v>
      </c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37"/>
      <c r="CD226" s="37"/>
      <c r="CE226" s="37"/>
      <c r="CF226" s="37"/>
      <c r="CG226" s="37"/>
      <c r="CH226" s="37"/>
      <c r="CI226" s="37"/>
      <c r="CJ226" s="37"/>
      <c r="CK226" s="37"/>
      <c r="CL226" s="37"/>
      <c r="CM226" s="37"/>
      <c r="CN226" s="37"/>
      <c r="CO226" s="37"/>
      <c r="CP226" s="37"/>
      <c r="CQ226" s="37"/>
      <c r="CR226" s="37"/>
      <c r="CS226" s="37"/>
      <c r="CT226" s="37"/>
      <c r="CU226" s="37"/>
      <c r="CV226" s="37"/>
      <c r="CW226" s="37"/>
      <c r="CX226" s="37"/>
      <c r="CY226" s="37"/>
      <c r="CZ226" s="37"/>
      <c r="DA226" s="37"/>
      <c r="DB226" s="37"/>
      <c r="DC226" s="37"/>
      <c r="DD226" s="37"/>
      <c r="DE226" s="37"/>
      <c r="DF226" s="37"/>
      <c r="DG226" s="37"/>
      <c r="DH226" s="37"/>
      <c r="DI226" s="37"/>
      <c r="DJ226" s="37"/>
      <c r="DK226" s="37"/>
      <c r="DL226" s="37"/>
      <c r="DM226" s="37"/>
      <c r="DN226" s="37"/>
      <c r="DO226" s="37"/>
      <c r="DP226" s="37"/>
      <c r="DQ226" s="37"/>
      <c r="DR226" s="37"/>
      <c r="DS226" s="37"/>
      <c r="DT226" s="37"/>
      <c r="DU226" s="37"/>
      <c r="DV226" s="37"/>
      <c r="DW226" s="37"/>
      <c r="DX226" s="37"/>
      <c r="DY226" s="37"/>
      <c r="DZ226" s="37"/>
      <c r="EA226" s="37"/>
      <c r="EB226" s="37"/>
      <c r="EC226" s="37"/>
      <c r="ED226" s="37"/>
      <c r="EE226" s="37"/>
      <c r="EF226" s="37"/>
      <c r="EG226" s="37"/>
      <c r="EH226" s="37"/>
      <c r="EI226" s="37"/>
      <c r="EJ226" s="37"/>
      <c r="EK226" s="37"/>
      <c r="EL226" s="37"/>
      <c r="EM226" s="37"/>
      <c r="EN226" s="37"/>
    </row>
    <row r="227" spans="1:145" s="34" customFormat="1">
      <c r="A227" s="46"/>
      <c r="B227" s="78"/>
      <c r="C227" s="85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71"/>
      <c r="O227" s="71"/>
      <c r="P227" s="76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37"/>
      <c r="CD227" s="37"/>
      <c r="CE227" s="37"/>
      <c r="CF227" s="37"/>
      <c r="CG227" s="37"/>
      <c r="CH227" s="37"/>
      <c r="CI227" s="37"/>
      <c r="CJ227" s="37"/>
      <c r="CK227" s="37"/>
      <c r="CL227" s="37"/>
      <c r="CM227" s="37"/>
      <c r="CN227" s="37"/>
      <c r="CO227" s="37"/>
      <c r="CP227" s="37"/>
      <c r="CQ227" s="37"/>
      <c r="CR227" s="37"/>
      <c r="CS227" s="37"/>
      <c r="CT227" s="37"/>
      <c r="CU227" s="37"/>
      <c r="CV227" s="37"/>
      <c r="CW227" s="37"/>
      <c r="CX227" s="37"/>
      <c r="CY227" s="37"/>
      <c r="CZ227" s="37"/>
      <c r="DA227" s="37"/>
      <c r="DB227" s="37"/>
      <c r="DC227" s="37"/>
      <c r="DD227" s="37"/>
      <c r="DE227" s="37"/>
      <c r="DF227" s="37"/>
      <c r="DG227" s="37"/>
      <c r="DH227" s="37"/>
      <c r="DI227" s="37"/>
      <c r="DJ227" s="37"/>
      <c r="DK227" s="37"/>
      <c r="DL227" s="37"/>
      <c r="DM227" s="37"/>
      <c r="DN227" s="37"/>
      <c r="DO227" s="37"/>
      <c r="DP227" s="37"/>
      <c r="DQ227" s="37"/>
      <c r="DR227" s="37"/>
      <c r="DS227" s="37"/>
      <c r="DT227" s="37"/>
      <c r="DU227" s="37"/>
      <c r="DV227" s="37"/>
      <c r="DW227" s="37"/>
      <c r="DX227" s="37"/>
      <c r="DY227" s="37"/>
      <c r="DZ227" s="37"/>
      <c r="EA227" s="37"/>
      <c r="EB227" s="37"/>
      <c r="EC227" s="37"/>
      <c r="ED227" s="37"/>
      <c r="EE227" s="37"/>
      <c r="EF227" s="37"/>
      <c r="EG227" s="37"/>
      <c r="EH227" s="37"/>
      <c r="EI227" s="37"/>
      <c r="EJ227" s="37"/>
      <c r="EK227" s="37"/>
      <c r="EL227" s="37"/>
      <c r="EM227" s="37"/>
      <c r="EN227" s="37"/>
    </row>
    <row r="228" spans="1:145" s="34" customFormat="1">
      <c r="A228" s="46">
        <v>13</v>
      </c>
      <c r="B228" s="114" t="s">
        <v>22</v>
      </c>
      <c r="C228" s="143"/>
      <c r="D228" s="115">
        <f t="shared" ref="D228:P228" si="78">D226+D224+D222+D216+D212+D210</f>
        <v>26867466.85124705</v>
      </c>
      <c r="E228" s="115">
        <f t="shared" si="78"/>
        <v>27823479.664426453</v>
      </c>
      <c r="F228" s="115">
        <f t="shared" si="78"/>
        <v>-60676052.998460531</v>
      </c>
      <c r="G228" s="115">
        <f t="shared" si="78"/>
        <v>-36954796.765844077</v>
      </c>
      <c r="H228" s="115">
        <f t="shared" si="78"/>
        <v>28527621.349734969</v>
      </c>
      <c r="I228" s="115">
        <f t="shared" si="78"/>
        <v>-50445590.709553592</v>
      </c>
      <c r="J228" s="115">
        <f t="shared" si="78"/>
        <v>-56760549.295911565</v>
      </c>
      <c r="K228" s="115">
        <f t="shared" si="78"/>
        <v>61221556.942635298</v>
      </c>
      <c r="L228" s="115">
        <f t="shared" si="78"/>
        <v>40226673.84600579</v>
      </c>
      <c r="M228" s="115">
        <f t="shared" si="78"/>
        <v>-172549082.86523813</v>
      </c>
      <c r="N228" s="115">
        <f t="shared" si="78"/>
        <v>-158799390.35134691</v>
      </c>
      <c r="O228" s="115">
        <f t="shared" si="78"/>
        <v>-158910099.72847733</v>
      </c>
      <c r="P228" s="115">
        <f t="shared" si="78"/>
        <v>-510428764.06078267</v>
      </c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37"/>
      <c r="CD228" s="37"/>
      <c r="CE228" s="37"/>
      <c r="CF228" s="37"/>
      <c r="CG228" s="37"/>
      <c r="CH228" s="37"/>
      <c r="CI228" s="37"/>
      <c r="CJ228" s="37"/>
      <c r="CK228" s="37"/>
      <c r="CL228" s="37"/>
      <c r="CM228" s="37"/>
      <c r="CN228" s="37"/>
      <c r="CO228" s="37"/>
      <c r="CP228" s="37"/>
      <c r="CQ228" s="37"/>
      <c r="CR228" s="37"/>
      <c r="CS228" s="37"/>
      <c r="CT228" s="37"/>
      <c r="CU228" s="37"/>
      <c r="CV228" s="37"/>
      <c r="CW228" s="37"/>
      <c r="CX228" s="37"/>
      <c r="CY228" s="37"/>
      <c r="CZ228" s="37"/>
      <c r="DA228" s="37"/>
      <c r="DB228" s="37"/>
      <c r="DC228" s="37"/>
      <c r="DD228" s="37"/>
      <c r="DE228" s="37"/>
      <c r="DF228" s="37"/>
      <c r="DG228" s="37"/>
      <c r="DH228" s="37"/>
      <c r="DI228" s="37"/>
      <c r="DJ228" s="37"/>
      <c r="DK228" s="37"/>
      <c r="DL228" s="37"/>
      <c r="DM228" s="37"/>
      <c r="DN228" s="37"/>
      <c r="DO228" s="37"/>
      <c r="DP228" s="37"/>
      <c r="DQ228" s="37"/>
      <c r="DR228" s="37"/>
      <c r="DS228" s="37"/>
      <c r="DT228" s="37"/>
      <c r="DU228" s="37"/>
      <c r="DV228" s="37"/>
      <c r="DW228" s="37"/>
      <c r="DX228" s="37"/>
      <c r="DY228" s="37"/>
      <c r="DZ228" s="37"/>
      <c r="EA228" s="37"/>
      <c r="EB228" s="37"/>
      <c r="EC228" s="37"/>
      <c r="ED228" s="37"/>
      <c r="EE228" s="37"/>
      <c r="EF228" s="37"/>
      <c r="EG228" s="37"/>
      <c r="EH228" s="37"/>
      <c r="EI228" s="37"/>
      <c r="EJ228" s="37"/>
      <c r="EK228" s="37"/>
      <c r="EL228" s="37"/>
      <c r="EM228" s="37"/>
      <c r="EN228" s="37"/>
    </row>
    <row r="229" spans="1:145" s="34" customFormat="1">
      <c r="B229" s="143"/>
      <c r="C229" s="143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93"/>
      <c r="O229" s="93"/>
      <c r="P229" s="76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  <c r="BV229" s="37"/>
      <c r="BW229" s="37"/>
      <c r="BX229" s="37"/>
      <c r="BY229" s="37"/>
      <c r="BZ229" s="37"/>
      <c r="CA229" s="37"/>
      <c r="CB229" s="37"/>
      <c r="CC229" s="37"/>
      <c r="CD229" s="37"/>
      <c r="CE229" s="37"/>
      <c r="CF229" s="37"/>
      <c r="CG229" s="37"/>
      <c r="CH229" s="37"/>
      <c r="CI229" s="37"/>
      <c r="CJ229" s="37"/>
      <c r="CK229" s="37"/>
      <c r="CL229" s="37"/>
      <c r="CM229" s="37"/>
      <c r="CN229" s="37"/>
      <c r="CO229" s="37"/>
      <c r="CP229" s="37"/>
      <c r="CQ229" s="37"/>
      <c r="CR229" s="37"/>
      <c r="CS229" s="37"/>
      <c r="CT229" s="37"/>
      <c r="CU229" s="37"/>
      <c r="CV229" s="37"/>
      <c r="CW229" s="37"/>
      <c r="CX229" s="37"/>
      <c r="CY229" s="37"/>
      <c r="CZ229" s="37"/>
      <c r="DA229" s="37"/>
      <c r="DB229" s="37"/>
      <c r="DC229" s="37"/>
      <c r="DD229" s="37"/>
      <c r="DE229" s="37"/>
      <c r="DF229" s="37"/>
      <c r="DG229" s="37"/>
      <c r="DH229" s="37"/>
      <c r="DI229" s="37"/>
      <c r="DJ229" s="37"/>
      <c r="DK229" s="37"/>
      <c r="DL229" s="37"/>
      <c r="DM229" s="37"/>
      <c r="DN229" s="37"/>
      <c r="DO229" s="37"/>
      <c r="DP229" s="37"/>
      <c r="DQ229" s="37"/>
      <c r="DR229" s="37"/>
      <c r="DS229" s="37"/>
      <c r="DT229" s="37"/>
      <c r="DU229" s="37"/>
      <c r="DV229" s="37"/>
      <c r="DW229" s="37"/>
      <c r="DX229" s="37"/>
      <c r="DY229" s="37"/>
      <c r="DZ229" s="37"/>
      <c r="EA229" s="37"/>
      <c r="EB229" s="37"/>
      <c r="EC229" s="37"/>
      <c r="ED229" s="37"/>
      <c r="EE229" s="37"/>
      <c r="EF229" s="37"/>
      <c r="EG229" s="37"/>
      <c r="EH229" s="37"/>
      <c r="EI229" s="37"/>
      <c r="EJ229" s="37"/>
      <c r="EK229" s="37"/>
      <c r="EL229" s="37"/>
      <c r="EM229" s="37"/>
      <c r="EN229" s="37"/>
    </row>
    <row r="230" spans="1:145" s="34" customFormat="1">
      <c r="A230" s="46">
        <v>14</v>
      </c>
      <c r="B230" s="89" t="s">
        <v>69</v>
      </c>
      <c r="C230" s="74" t="s">
        <v>5</v>
      </c>
      <c r="D230" s="71">
        <f t="shared" ref="D230:O230" si="79">D66*$R$173</f>
        <v>0</v>
      </c>
      <c r="E230" s="71">
        <f t="shared" si="79"/>
        <v>0</v>
      </c>
      <c r="F230" s="71">
        <f t="shared" si="79"/>
        <v>0</v>
      </c>
      <c r="G230" s="71">
        <f t="shared" si="79"/>
        <v>0</v>
      </c>
      <c r="H230" s="71">
        <f t="shared" si="79"/>
        <v>0</v>
      </c>
      <c r="I230" s="71">
        <f t="shared" si="79"/>
        <v>0</v>
      </c>
      <c r="J230" s="71">
        <f t="shared" si="79"/>
        <v>0</v>
      </c>
      <c r="K230" s="71">
        <f t="shared" si="79"/>
        <v>0</v>
      </c>
      <c r="L230" s="71">
        <f t="shared" si="79"/>
        <v>0</v>
      </c>
      <c r="M230" s="71">
        <f t="shared" si="79"/>
        <v>0</v>
      </c>
      <c r="N230" s="71">
        <f t="shared" si="79"/>
        <v>0</v>
      </c>
      <c r="O230" s="71">
        <f t="shared" si="79"/>
        <v>0</v>
      </c>
      <c r="P230" s="76">
        <f>SUM(D230:O230)</f>
        <v>0</v>
      </c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  <c r="BU230" s="37"/>
      <c r="BV230" s="37"/>
      <c r="BW230" s="37"/>
      <c r="BX230" s="37"/>
      <c r="BY230" s="37"/>
      <c r="BZ230" s="37"/>
      <c r="CA230" s="37"/>
      <c r="CB230" s="37"/>
      <c r="CC230" s="37"/>
      <c r="CD230" s="37"/>
      <c r="CE230" s="37"/>
      <c r="CF230" s="37"/>
      <c r="CG230" s="37"/>
      <c r="CH230" s="37"/>
      <c r="CI230" s="37"/>
      <c r="CJ230" s="37"/>
      <c r="CK230" s="37"/>
      <c r="CL230" s="37"/>
      <c r="CM230" s="37"/>
      <c r="CN230" s="37"/>
      <c r="CO230" s="37"/>
      <c r="CP230" s="37"/>
      <c r="CQ230" s="37"/>
      <c r="CR230" s="37"/>
      <c r="CS230" s="37"/>
      <c r="CT230" s="37"/>
      <c r="CU230" s="37"/>
      <c r="CV230" s="37"/>
      <c r="CW230" s="37"/>
      <c r="CX230" s="37"/>
      <c r="CY230" s="37"/>
      <c r="CZ230" s="37"/>
      <c r="DA230" s="37"/>
      <c r="DB230" s="37"/>
      <c r="DC230" s="37"/>
      <c r="DD230" s="37"/>
      <c r="DE230" s="37"/>
      <c r="DF230" s="37"/>
      <c r="DG230" s="37"/>
      <c r="DH230" s="37"/>
      <c r="DI230" s="37"/>
      <c r="DJ230" s="37"/>
      <c r="DK230" s="37"/>
      <c r="DL230" s="37"/>
      <c r="DM230" s="37"/>
      <c r="DN230" s="37"/>
      <c r="DO230" s="37"/>
      <c r="DP230" s="37"/>
      <c r="DQ230" s="37"/>
      <c r="DR230" s="37"/>
      <c r="DS230" s="37"/>
      <c r="DT230" s="37"/>
      <c r="DU230" s="37"/>
      <c r="DV230" s="37"/>
      <c r="DW230" s="37"/>
      <c r="DX230" s="37"/>
      <c r="DY230" s="37"/>
      <c r="DZ230" s="37"/>
      <c r="EA230" s="37"/>
      <c r="EB230" s="37"/>
      <c r="EC230" s="37"/>
      <c r="ED230" s="37"/>
      <c r="EE230" s="37"/>
      <c r="EF230" s="37"/>
      <c r="EG230" s="37"/>
      <c r="EH230" s="37"/>
      <c r="EI230" s="37"/>
      <c r="EJ230" s="37"/>
      <c r="EK230" s="37"/>
      <c r="EL230" s="37"/>
      <c r="EM230" s="37"/>
      <c r="EN230" s="37"/>
    </row>
    <row r="231" spans="1:145" s="34" customFormat="1">
      <c r="A231" s="46">
        <v>15</v>
      </c>
      <c r="B231" s="89" t="s">
        <v>70</v>
      </c>
      <c r="C231" s="74" t="s">
        <v>6</v>
      </c>
      <c r="D231" s="72">
        <f t="shared" ref="D231:O231" si="80">D67*$R$174</f>
        <v>0</v>
      </c>
      <c r="E231" s="72">
        <f t="shared" si="80"/>
        <v>0</v>
      </c>
      <c r="F231" s="72">
        <f t="shared" si="80"/>
        <v>0</v>
      </c>
      <c r="G231" s="72">
        <f t="shared" si="80"/>
        <v>0</v>
      </c>
      <c r="H231" s="72">
        <f t="shared" si="80"/>
        <v>0</v>
      </c>
      <c r="I231" s="72">
        <f t="shared" si="80"/>
        <v>0</v>
      </c>
      <c r="J231" s="72">
        <f t="shared" si="80"/>
        <v>0</v>
      </c>
      <c r="K231" s="72">
        <f t="shared" si="80"/>
        <v>0</v>
      </c>
      <c r="L231" s="72">
        <f t="shared" si="80"/>
        <v>0</v>
      </c>
      <c r="M231" s="72">
        <f t="shared" si="80"/>
        <v>0</v>
      </c>
      <c r="N231" s="72">
        <f t="shared" si="80"/>
        <v>0</v>
      </c>
      <c r="O231" s="72">
        <f t="shared" si="80"/>
        <v>0</v>
      </c>
      <c r="P231" s="98">
        <f>SUM(D231:O231)</f>
        <v>0</v>
      </c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  <c r="BV231" s="37"/>
      <c r="BW231" s="37"/>
      <c r="BX231" s="37"/>
      <c r="BY231" s="37"/>
      <c r="BZ231" s="37"/>
      <c r="CA231" s="37"/>
      <c r="CB231" s="37"/>
      <c r="CC231" s="37"/>
      <c r="CD231" s="37"/>
      <c r="CE231" s="37"/>
      <c r="CF231" s="37"/>
      <c r="CG231" s="37"/>
      <c r="CH231" s="37"/>
      <c r="CI231" s="37"/>
      <c r="CJ231" s="37"/>
      <c r="CK231" s="37"/>
      <c r="CL231" s="37"/>
      <c r="CM231" s="37"/>
      <c r="CN231" s="37"/>
      <c r="CO231" s="37"/>
      <c r="CP231" s="37"/>
      <c r="CQ231" s="37"/>
      <c r="CR231" s="37"/>
      <c r="CS231" s="37"/>
      <c r="CT231" s="37"/>
      <c r="CU231" s="37"/>
      <c r="CV231" s="37"/>
      <c r="CW231" s="37"/>
      <c r="CX231" s="37"/>
      <c r="CY231" s="37"/>
      <c r="CZ231" s="37"/>
      <c r="DA231" s="37"/>
      <c r="DB231" s="37"/>
      <c r="DC231" s="37"/>
      <c r="DD231" s="37"/>
      <c r="DE231" s="37"/>
      <c r="DF231" s="37"/>
      <c r="DG231" s="37"/>
      <c r="DH231" s="37"/>
      <c r="DI231" s="37"/>
      <c r="DJ231" s="37"/>
      <c r="DK231" s="37"/>
      <c r="DL231" s="37"/>
      <c r="DM231" s="37"/>
      <c r="DN231" s="37"/>
      <c r="DO231" s="37"/>
      <c r="DP231" s="37"/>
      <c r="DQ231" s="37"/>
      <c r="DR231" s="37"/>
      <c r="DS231" s="37"/>
      <c r="DT231" s="37"/>
      <c r="DU231" s="37"/>
      <c r="DV231" s="37"/>
      <c r="DW231" s="37"/>
      <c r="DX231" s="37"/>
      <c r="DY231" s="37"/>
      <c r="DZ231" s="37"/>
      <c r="EA231" s="37"/>
      <c r="EB231" s="37"/>
      <c r="EC231" s="37"/>
      <c r="ED231" s="37"/>
      <c r="EE231" s="37"/>
      <c r="EF231" s="37"/>
      <c r="EG231" s="37"/>
      <c r="EH231" s="37"/>
      <c r="EI231" s="37"/>
      <c r="EJ231" s="37"/>
      <c r="EK231" s="37"/>
      <c r="EL231" s="37"/>
      <c r="EM231" s="37"/>
      <c r="EN231" s="37"/>
    </row>
    <row r="232" spans="1:145" s="34" customFormat="1">
      <c r="A232" s="46">
        <v>16</v>
      </c>
      <c r="B232" s="114" t="s">
        <v>23</v>
      </c>
      <c r="C232" s="145"/>
      <c r="D232" s="100">
        <f t="shared" ref="D232:P232" si="81">SUM(D230:D231)</f>
        <v>0</v>
      </c>
      <c r="E232" s="100">
        <f t="shared" si="81"/>
        <v>0</v>
      </c>
      <c r="F232" s="100">
        <f t="shared" si="81"/>
        <v>0</v>
      </c>
      <c r="G232" s="100">
        <f t="shared" si="81"/>
        <v>0</v>
      </c>
      <c r="H232" s="100">
        <f t="shared" si="81"/>
        <v>0</v>
      </c>
      <c r="I232" s="100">
        <f t="shared" si="81"/>
        <v>0</v>
      </c>
      <c r="J232" s="100">
        <f t="shared" si="81"/>
        <v>0</v>
      </c>
      <c r="K232" s="100">
        <f t="shared" si="81"/>
        <v>0</v>
      </c>
      <c r="L232" s="100">
        <f t="shared" si="81"/>
        <v>0</v>
      </c>
      <c r="M232" s="100">
        <f t="shared" si="81"/>
        <v>0</v>
      </c>
      <c r="N232" s="93">
        <f t="shared" si="81"/>
        <v>0</v>
      </c>
      <c r="O232" s="93">
        <f t="shared" si="81"/>
        <v>0</v>
      </c>
      <c r="P232" s="93">
        <f t="shared" si="81"/>
        <v>0</v>
      </c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  <c r="BQ232" s="37"/>
      <c r="BR232" s="37"/>
      <c r="BS232" s="37"/>
      <c r="BT232" s="37"/>
      <c r="BU232" s="37"/>
      <c r="BV232" s="37"/>
      <c r="BW232" s="37"/>
      <c r="BX232" s="37"/>
      <c r="BY232" s="37"/>
      <c r="BZ232" s="37"/>
      <c r="CA232" s="37"/>
      <c r="CB232" s="37"/>
      <c r="CC232" s="37"/>
      <c r="CD232" s="37"/>
      <c r="CE232" s="37"/>
      <c r="CF232" s="37"/>
      <c r="CG232" s="37"/>
      <c r="CH232" s="37"/>
      <c r="CI232" s="37"/>
      <c r="CJ232" s="37"/>
      <c r="CK232" s="37"/>
      <c r="CL232" s="37"/>
      <c r="CM232" s="37"/>
      <c r="CN232" s="37"/>
      <c r="CO232" s="37"/>
      <c r="CP232" s="37"/>
      <c r="CQ232" s="37"/>
      <c r="CR232" s="37"/>
      <c r="CS232" s="37"/>
      <c r="CT232" s="37"/>
      <c r="CU232" s="37"/>
      <c r="CV232" s="37"/>
      <c r="CW232" s="37"/>
      <c r="CX232" s="37"/>
      <c r="CY232" s="37"/>
      <c r="CZ232" s="37"/>
      <c r="DA232" s="37"/>
      <c r="DB232" s="37"/>
      <c r="DC232" s="37"/>
      <c r="DD232" s="37"/>
      <c r="DE232" s="37"/>
      <c r="DF232" s="37"/>
      <c r="DG232" s="37"/>
      <c r="DH232" s="37"/>
      <c r="DI232" s="37"/>
      <c r="DJ232" s="37"/>
      <c r="DK232" s="37"/>
      <c r="DL232" s="37"/>
      <c r="DM232" s="37"/>
      <c r="DN232" s="37"/>
      <c r="DO232" s="37"/>
      <c r="DP232" s="37"/>
      <c r="DQ232" s="37"/>
      <c r="DR232" s="37"/>
      <c r="DS232" s="37"/>
      <c r="DT232" s="37"/>
      <c r="DU232" s="37"/>
      <c r="DV232" s="37"/>
      <c r="DW232" s="37"/>
      <c r="DX232" s="37"/>
      <c r="DY232" s="37"/>
      <c r="DZ232" s="37"/>
      <c r="EA232" s="37"/>
      <c r="EB232" s="37"/>
      <c r="EC232" s="37"/>
      <c r="ED232" s="37"/>
      <c r="EE232" s="37"/>
      <c r="EF232" s="37"/>
      <c r="EG232" s="37"/>
      <c r="EH232" s="37"/>
      <c r="EI232" s="37"/>
      <c r="EJ232" s="37"/>
      <c r="EK232" s="37"/>
      <c r="EL232" s="37"/>
      <c r="EM232" s="37"/>
      <c r="EN232" s="37"/>
    </row>
    <row r="233" spans="1:145" s="34" customFormat="1">
      <c r="A233" s="46"/>
      <c r="B233" s="78"/>
      <c r="C233" s="116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71"/>
      <c r="O233" s="71"/>
      <c r="P233" s="76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7"/>
      <c r="BU233" s="37"/>
      <c r="BV233" s="37"/>
      <c r="BW233" s="37"/>
      <c r="BX233" s="37"/>
      <c r="BY233" s="37"/>
      <c r="BZ233" s="37"/>
      <c r="CA233" s="37"/>
      <c r="CB233" s="37"/>
      <c r="CC233" s="37"/>
      <c r="CD233" s="37"/>
      <c r="CE233" s="37"/>
      <c r="CF233" s="37"/>
      <c r="CG233" s="37"/>
      <c r="CH233" s="37"/>
      <c r="CI233" s="37"/>
      <c r="CJ233" s="37"/>
      <c r="CK233" s="37"/>
      <c r="CL233" s="37"/>
      <c r="CM233" s="37"/>
      <c r="CN233" s="37"/>
      <c r="CO233" s="37"/>
      <c r="CP233" s="37"/>
      <c r="CQ233" s="37"/>
      <c r="CR233" s="37"/>
      <c r="CS233" s="37"/>
      <c r="CT233" s="37"/>
      <c r="CU233" s="37"/>
      <c r="CV233" s="37"/>
      <c r="CW233" s="37"/>
      <c r="CX233" s="37"/>
      <c r="CY233" s="37"/>
      <c r="CZ233" s="37"/>
      <c r="DA233" s="37"/>
      <c r="DB233" s="37"/>
      <c r="DC233" s="37"/>
      <c r="DD233" s="37"/>
      <c r="DE233" s="37"/>
      <c r="DF233" s="37"/>
      <c r="DG233" s="37"/>
      <c r="DH233" s="37"/>
      <c r="DI233" s="37"/>
      <c r="DJ233" s="37"/>
      <c r="DK233" s="37"/>
      <c r="DL233" s="37"/>
      <c r="DM233" s="37"/>
      <c r="DN233" s="37"/>
      <c r="DO233" s="37"/>
      <c r="DP233" s="37"/>
      <c r="DQ233" s="37"/>
      <c r="DR233" s="37"/>
      <c r="DS233" s="37"/>
      <c r="DT233" s="37"/>
      <c r="DU233" s="37"/>
      <c r="DV233" s="37"/>
      <c r="DW233" s="37"/>
      <c r="DX233" s="37"/>
      <c r="DY233" s="37"/>
      <c r="DZ233" s="37"/>
      <c r="EA233" s="37"/>
      <c r="EB233" s="37"/>
      <c r="EC233" s="37"/>
      <c r="ED233" s="37"/>
      <c r="EE233" s="37"/>
      <c r="EF233" s="37"/>
      <c r="EG233" s="37"/>
      <c r="EH233" s="37"/>
      <c r="EI233" s="37"/>
      <c r="EJ233" s="37"/>
      <c r="EK233" s="37"/>
      <c r="EL233" s="37"/>
      <c r="EM233" s="37"/>
      <c r="EN233" s="37"/>
    </row>
    <row r="234" spans="1:145" s="34" customFormat="1" ht="12" thickBot="1">
      <c r="A234" s="46">
        <v>17</v>
      </c>
      <c r="B234" s="147" t="s">
        <v>92</v>
      </c>
      <c r="C234" s="145"/>
      <c r="D234" s="148">
        <f t="shared" ref="D234:P234" si="82">+D232+D228</f>
        <v>26867466.85124705</v>
      </c>
      <c r="E234" s="148">
        <f t="shared" si="82"/>
        <v>27823479.664426453</v>
      </c>
      <c r="F234" s="148">
        <f t="shared" si="82"/>
        <v>-60676052.998460531</v>
      </c>
      <c r="G234" s="148">
        <f t="shared" si="82"/>
        <v>-36954796.765844077</v>
      </c>
      <c r="H234" s="148">
        <f t="shared" si="82"/>
        <v>28527621.349734969</v>
      </c>
      <c r="I234" s="148">
        <f t="shared" si="82"/>
        <v>-50445590.709553592</v>
      </c>
      <c r="J234" s="148">
        <f t="shared" si="82"/>
        <v>-56760549.295911565</v>
      </c>
      <c r="K234" s="148">
        <f t="shared" si="82"/>
        <v>61221556.942635298</v>
      </c>
      <c r="L234" s="148">
        <f t="shared" si="82"/>
        <v>40226673.84600579</v>
      </c>
      <c r="M234" s="148">
        <f t="shared" si="82"/>
        <v>-172549082.86523813</v>
      </c>
      <c r="N234" s="148">
        <f t="shared" si="82"/>
        <v>-158799390.35134691</v>
      </c>
      <c r="O234" s="148">
        <f t="shared" si="82"/>
        <v>-158910099.72847733</v>
      </c>
      <c r="P234" s="148">
        <f t="shared" si="82"/>
        <v>-510428764.06078267</v>
      </c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  <c r="BQ234" s="37"/>
      <c r="BR234" s="37"/>
      <c r="BS234" s="37"/>
      <c r="BT234" s="37"/>
      <c r="BU234" s="37"/>
      <c r="BV234" s="37"/>
      <c r="BW234" s="37"/>
      <c r="BX234" s="37"/>
      <c r="BY234" s="37"/>
      <c r="BZ234" s="37"/>
      <c r="CA234" s="37"/>
      <c r="CB234" s="37"/>
      <c r="CC234" s="37"/>
      <c r="CD234" s="37"/>
      <c r="CE234" s="37"/>
      <c r="CF234" s="37"/>
      <c r="CG234" s="37"/>
      <c r="CH234" s="37"/>
      <c r="CI234" s="37"/>
      <c r="CJ234" s="37"/>
      <c r="CK234" s="37"/>
      <c r="CL234" s="37"/>
      <c r="CM234" s="37"/>
      <c r="CN234" s="37"/>
      <c r="CO234" s="37"/>
      <c r="CP234" s="37"/>
      <c r="CQ234" s="37"/>
      <c r="CR234" s="37"/>
      <c r="CS234" s="37"/>
      <c r="CT234" s="37"/>
      <c r="CU234" s="37"/>
      <c r="CV234" s="37"/>
      <c r="CW234" s="37"/>
      <c r="CX234" s="37"/>
      <c r="CY234" s="37"/>
      <c r="CZ234" s="37"/>
      <c r="DA234" s="37"/>
      <c r="DB234" s="37"/>
      <c r="DC234" s="37"/>
      <c r="DD234" s="37"/>
      <c r="DE234" s="37"/>
      <c r="DF234" s="37"/>
      <c r="DG234" s="37"/>
      <c r="DH234" s="37"/>
      <c r="DI234" s="37"/>
      <c r="DJ234" s="37"/>
      <c r="DK234" s="37"/>
      <c r="DL234" s="37"/>
      <c r="DM234" s="37"/>
      <c r="DN234" s="37"/>
      <c r="DO234" s="37"/>
      <c r="DP234" s="37"/>
      <c r="DQ234" s="37"/>
      <c r="DR234" s="37"/>
      <c r="DS234" s="37"/>
      <c r="DT234" s="37"/>
      <c r="DU234" s="37"/>
      <c r="DV234" s="37"/>
      <c r="DW234" s="37"/>
      <c r="DX234" s="37"/>
      <c r="DY234" s="37"/>
      <c r="DZ234" s="37"/>
      <c r="EA234" s="37"/>
      <c r="EB234" s="37"/>
      <c r="EC234" s="37"/>
      <c r="ED234" s="37"/>
      <c r="EE234" s="37"/>
      <c r="EF234" s="37"/>
      <c r="EG234" s="37"/>
      <c r="EH234" s="37"/>
      <c r="EI234" s="37"/>
      <c r="EJ234" s="37"/>
      <c r="EK234" s="37"/>
      <c r="EL234" s="37"/>
      <c r="EM234" s="37"/>
      <c r="EN234" s="37"/>
    </row>
    <row r="235" spans="1:145" customFormat="1" ht="13.5" thickTop="1"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</row>
    <row r="236" spans="1:145" customFormat="1" ht="12.75"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</row>
    <row r="237" spans="1:145" customFormat="1" ht="12.75"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</row>
    <row r="238" spans="1:145" ht="12.75" customHeight="1">
      <c r="B238" s="366" t="str">
        <f>B7</f>
        <v>AEP TEXAS</v>
      </c>
      <c r="C238" s="366"/>
      <c r="D238" s="366"/>
      <c r="E238" s="366"/>
      <c r="F238" s="366"/>
      <c r="G238" s="366"/>
      <c r="H238" s="366"/>
      <c r="I238" s="366"/>
      <c r="J238" s="366"/>
      <c r="K238" s="366"/>
      <c r="L238" s="366"/>
      <c r="M238" s="366"/>
      <c r="N238" s="366"/>
      <c r="O238" s="366"/>
      <c r="P238" s="105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</row>
    <row r="239" spans="1:145">
      <c r="B239" s="366" t="s">
        <v>58</v>
      </c>
      <c r="C239" s="366"/>
      <c r="D239" s="366"/>
      <c r="E239" s="366"/>
      <c r="F239" s="366"/>
      <c r="G239" s="366"/>
      <c r="H239" s="366"/>
      <c r="I239" s="366"/>
      <c r="J239" s="366"/>
      <c r="K239" s="366"/>
      <c r="L239" s="366"/>
      <c r="M239" s="366"/>
      <c r="N239" s="366"/>
      <c r="O239" s="366"/>
      <c r="P239" s="88" t="s">
        <v>1</v>
      </c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</row>
    <row r="240" spans="1:145">
      <c r="B240" s="366" t="str">
        <f>G9</f>
        <v>FOR TEST YEAR ENDED SEPTEMBER 30, 2023</v>
      </c>
      <c r="C240" s="366"/>
      <c r="D240" s="366"/>
      <c r="E240" s="366"/>
      <c r="F240" s="366"/>
      <c r="G240" s="366"/>
      <c r="H240" s="366"/>
      <c r="I240" s="366"/>
      <c r="J240" s="366"/>
      <c r="K240" s="366"/>
      <c r="L240" s="366"/>
      <c r="M240" s="366"/>
      <c r="N240" s="366"/>
      <c r="O240" s="366"/>
      <c r="P240" s="87" t="s">
        <v>1</v>
      </c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</row>
    <row r="241" spans="1:145" customFormat="1" ht="12.75"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</row>
    <row r="242" spans="1:145">
      <c r="B242" s="106"/>
      <c r="C242" s="105"/>
      <c r="D242" s="107"/>
      <c r="E242" s="108"/>
      <c r="F242" s="108"/>
      <c r="G242" s="107"/>
      <c r="H242" s="94"/>
      <c r="I242" s="94"/>
      <c r="J242" s="94"/>
      <c r="K242" s="94"/>
      <c r="L242" s="94"/>
      <c r="M242" s="94"/>
      <c r="N242" s="94"/>
      <c r="O242" s="71"/>
      <c r="P242" s="109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</row>
    <row r="243" spans="1:145">
      <c r="A243" s="18" t="s">
        <v>8</v>
      </c>
      <c r="B243" s="144" t="s">
        <v>0</v>
      </c>
      <c r="C243" s="144" t="s">
        <v>7</v>
      </c>
      <c r="D243" s="97" t="str">
        <f>+D12</f>
        <v>Oct-22</v>
      </c>
      <c r="E243" s="97" t="str">
        <f t="shared" ref="E243:O243" si="83">+E12</f>
        <v>Nov-22</v>
      </c>
      <c r="F243" s="97" t="str">
        <f t="shared" si="83"/>
        <v>Dec-22</v>
      </c>
      <c r="G243" s="97" t="str">
        <f t="shared" si="83"/>
        <v>Jan-23</v>
      </c>
      <c r="H243" s="97" t="str">
        <f t="shared" si="83"/>
        <v>Feb-23</v>
      </c>
      <c r="I243" s="97" t="str">
        <f t="shared" si="83"/>
        <v>Mar-23</v>
      </c>
      <c r="J243" s="97" t="str">
        <f t="shared" si="83"/>
        <v>Apr-23</v>
      </c>
      <c r="K243" s="97" t="str">
        <f t="shared" si="83"/>
        <v>May-23</v>
      </c>
      <c r="L243" s="97" t="str">
        <f t="shared" si="83"/>
        <v>Jun-23</v>
      </c>
      <c r="M243" s="97" t="str">
        <f t="shared" si="83"/>
        <v>Jul-23</v>
      </c>
      <c r="N243" s="97" t="str">
        <f t="shared" si="83"/>
        <v>Aug-23</v>
      </c>
      <c r="O243" s="97" t="str">
        <f t="shared" si="83"/>
        <v>Sep-23</v>
      </c>
      <c r="P243" s="110" t="s">
        <v>2</v>
      </c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</row>
    <row r="244" spans="1:145" s="34" customFormat="1">
      <c r="A244" s="46"/>
      <c r="B244" s="111"/>
      <c r="C244" s="112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37"/>
    </row>
    <row r="245" spans="1:145" s="34" customFormat="1">
      <c r="A245" s="46" t="s">
        <v>9</v>
      </c>
      <c r="B245" s="78" t="s">
        <v>17</v>
      </c>
      <c r="C245" s="85" t="s">
        <v>4</v>
      </c>
      <c r="D245" s="71">
        <f t="shared" ref="D245:O245" si="84">D78*$R$172</f>
        <v>21465561.129195768</v>
      </c>
      <c r="E245" s="71">
        <f t="shared" si="84"/>
        <v>15361354.859591179</v>
      </c>
      <c r="F245" s="71">
        <f t="shared" si="84"/>
        <v>16864200.015222795</v>
      </c>
      <c r="G245" s="71">
        <f t="shared" si="84"/>
        <v>16819309.587961681</v>
      </c>
      <c r="H245" s="71">
        <f t="shared" si="84"/>
        <v>13495936.449863551</v>
      </c>
      <c r="I245" s="71">
        <f t="shared" si="84"/>
        <v>11235865.36633672</v>
      </c>
      <c r="J245" s="71">
        <f t="shared" si="84"/>
        <v>9157362.1744362097</v>
      </c>
      <c r="K245" s="71">
        <f t="shared" si="84"/>
        <v>5725062.0138058662</v>
      </c>
      <c r="L245" s="71">
        <f t="shared" si="84"/>
        <v>4373258.6568519482</v>
      </c>
      <c r="M245" s="71">
        <f t="shared" si="84"/>
        <v>549967.96992652083</v>
      </c>
      <c r="N245" s="71">
        <f t="shared" si="84"/>
        <v>-1162342.2921275571</v>
      </c>
      <c r="O245" s="71">
        <f t="shared" si="84"/>
        <v>0</v>
      </c>
      <c r="P245" s="76">
        <f>SUM(D245:O245)</f>
        <v>113885535.9310647</v>
      </c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37"/>
      <c r="BO245" s="37"/>
      <c r="BP245" s="37"/>
      <c r="BQ245" s="37"/>
      <c r="BR245" s="37"/>
      <c r="BS245" s="37"/>
      <c r="BT245" s="37"/>
      <c r="BU245" s="37"/>
      <c r="BV245" s="37"/>
      <c r="BW245" s="37"/>
      <c r="BX245" s="37"/>
      <c r="BY245" s="37"/>
      <c r="BZ245" s="37"/>
      <c r="CA245" s="37"/>
      <c r="CB245" s="37"/>
      <c r="CC245" s="37"/>
      <c r="CD245" s="37"/>
      <c r="CE245" s="37"/>
      <c r="CF245" s="37"/>
      <c r="CG245" s="37"/>
      <c r="CH245" s="37"/>
      <c r="CI245" s="37"/>
      <c r="CJ245" s="37"/>
      <c r="CK245" s="37"/>
      <c r="CL245" s="37"/>
      <c r="CM245" s="37"/>
      <c r="CN245" s="37"/>
      <c r="CO245" s="37"/>
      <c r="CP245" s="37"/>
      <c r="CQ245" s="37"/>
      <c r="CR245" s="37"/>
      <c r="CS245" s="37"/>
      <c r="CT245" s="37"/>
      <c r="CU245" s="37"/>
      <c r="CV245" s="37"/>
      <c r="CW245" s="37"/>
      <c r="CX245" s="37"/>
      <c r="CY245" s="37"/>
      <c r="CZ245" s="37"/>
      <c r="DA245" s="37"/>
      <c r="DB245" s="37"/>
      <c r="DC245" s="37"/>
      <c r="DD245" s="37"/>
      <c r="DE245" s="37"/>
      <c r="DF245" s="37"/>
      <c r="DG245" s="37"/>
      <c r="DH245" s="37"/>
      <c r="DI245" s="37"/>
      <c r="DJ245" s="37"/>
      <c r="DK245" s="37"/>
      <c r="DL245" s="37"/>
      <c r="DM245" s="37"/>
      <c r="DN245" s="37"/>
      <c r="DO245" s="37"/>
      <c r="DP245" s="37"/>
      <c r="DQ245" s="37"/>
      <c r="DR245" s="37"/>
      <c r="DS245" s="37"/>
      <c r="DT245" s="37"/>
      <c r="DU245" s="37"/>
      <c r="DV245" s="37"/>
      <c r="DW245" s="37"/>
      <c r="DX245" s="37"/>
      <c r="DY245" s="37"/>
      <c r="DZ245" s="37"/>
      <c r="EA245" s="37"/>
      <c r="EB245" s="37"/>
      <c r="EC245" s="37"/>
      <c r="ED245" s="37"/>
      <c r="EE245" s="37"/>
      <c r="EF245" s="37"/>
      <c r="EG245" s="37"/>
      <c r="EH245" s="37"/>
      <c r="EI245" s="37"/>
      <c r="EJ245" s="37"/>
      <c r="EK245" s="37"/>
      <c r="EL245" s="37"/>
      <c r="EM245" s="37"/>
      <c r="EN245" s="37"/>
    </row>
    <row r="246" spans="1:145" s="34" customFormat="1">
      <c r="B246" s="78"/>
      <c r="C246" s="85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93"/>
      <c r="O246" s="93"/>
      <c r="P246" s="76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37"/>
      <c r="BO246" s="37"/>
      <c r="BP246" s="37"/>
      <c r="BQ246" s="37"/>
      <c r="BR246" s="37"/>
      <c r="BS246" s="37"/>
      <c r="BT246" s="37"/>
      <c r="BU246" s="37"/>
      <c r="BV246" s="37"/>
      <c r="BW246" s="37"/>
      <c r="BX246" s="37"/>
      <c r="BY246" s="37"/>
      <c r="BZ246" s="37"/>
      <c r="CA246" s="37"/>
      <c r="CB246" s="37"/>
      <c r="CC246" s="37"/>
      <c r="CD246" s="37"/>
      <c r="CE246" s="37"/>
      <c r="CF246" s="37"/>
      <c r="CG246" s="37"/>
      <c r="CH246" s="37"/>
      <c r="CI246" s="37"/>
      <c r="CJ246" s="37"/>
      <c r="CK246" s="37"/>
      <c r="CL246" s="37"/>
      <c r="CM246" s="37"/>
      <c r="CN246" s="37"/>
      <c r="CO246" s="37"/>
      <c r="CP246" s="37"/>
      <c r="CQ246" s="37"/>
      <c r="CR246" s="37"/>
      <c r="CS246" s="37"/>
      <c r="CT246" s="37"/>
      <c r="CU246" s="37"/>
      <c r="CV246" s="37"/>
      <c r="CW246" s="37"/>
      <c r="CX246" s="37"/>
      <c r="CY246" s="37"/>
      <c r="CZ246" s="37"/>
      <c r="DA246" s="37"/>
      <c r="DB246" s="37"/>
      <c r="DC246" s="37"/>
      <c r="DD246" s="37"/>
      <c r="DE246" s="37"/>
      <c r="DF246" s="37"/>
      <c r="DG246" s="37"/>
      <c r="DH246" s="37"/>
      <c r="DI246" s="37"/>
      <c r="DJ246" s="37"/>
      <c r="DK246" s="37"/>
      <c r="DL246" s="37"/>
      <c r="DM246" s="37"/>
      <c r="DN246" s="37"/>
      <c r="DO246" s="37"/>
      <c r="DP246" s="37"/>
      <c r="DQ246" s="37"/>
      <c r="DR246" s="37"/>
      <c r="DS246" s="37"/>
      <c r="DT246" s="37"/>
      <c r="DU246" s="37"/>
      <c r="DV246" s="37"/>
      <c r="DW246" s="37"/>
      <c r="DX246" s="37"/>
      <c r="DY246" s="37"/>
      <c r="DZ246" s="37"/>
      <c r="EA246" s="37"/>
      <c r="EB246" s="37"/>
      <c r="EC246" s="37"/>
      <c r="ED246" s="37"/>
      <c r="EE246" s="37"/>
      <c r="EF246" s="37"/>
      <c r="EG246" s="37"/>
      <c r="EH246" s="37"/>
      <c r="EI246" s="37"/>
      <c r="EJ246" s="37"/>
      <c r="EK246" s="37"/>
      <c r="EL246" s="37"/>
      <c r="EM246" s="37"/>
      <c r="EN246" s="37"/>
    </row>
    <row r="247" spans="1:145" s="34" customFormat="1">
      <c r="A247" s="46">
        <v>2</v>
      </c>
      <c r="B247" s="78" t="s">
        <v>150</v>
      </c>
      <c r="C247" s="85" t="s">
        <v>4</v>
      </c>
      <c r="D247" s="71">
        <f t="shared" ref="D247:O247" si="85">D80*$R$172</f>
        <v>6961.5934833544379</v>
      </c>
      <c r="E247" s="71">
        <f t="shared" si="85"/>
        <v>-120183.88278516954</v>
      </c>
      <c r="F247" s="71">
        <f t="shared" si="85"/>
        <v>-29131.149774259087</v>
      </c>
      <c r="G247" s="71">
        <f t="shared" si="85"/>
        <v>545460.09065723477</v>
      </c>
      <c r="H247" s="71">
        <f t="shared" si="85"/>
        <v>735031.67931269924</v>
      </c>
      <c r="I247" s="71">
        <f t="shared" si="85"/>
        <v>626372.8615217756</v>
      </c>
      <c r="J247" s="71">
        <f t="shared" si="85"/>
        <v>339623.73718453699</v>
      </c>
      <c r="K247" s="71">
        <f t="shared" si="85"/>
        <v>99919.635909662116</v>
      </c>
      <c r="L247" s="71">
        <f t="shared" si="85"/>
        <v>67706.15515283987</v>
      </c>
      <c r="M247" s="71">
        <f t="shared" si="85"/>
        <v>64091.505618699382</v>
      </c>
      <c r="N247" s="71">
        <f t="shared" si="85"/>
        <v>-67673.519701719255</v>
      </c>
      <c r="O247" s="71">
        <f t="shared" si="85"/>
        <v>0</v>
      </c>
      <c r="P247" s="76">
        <f>SUM(D247:O247)</f>
        <v>2268178.7065796545</v>
      </c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37"/>
      <c r="BV247" s="37"/>
      <c r="BW247" s="37"/>
      <c r="BX247" s="37"/>
      <c r="BY247" s="37"/>
      <c r="BZ247" s="37"/>
      <c r="CA247" s="37"/>
      <c r="CB247" s="37"/>
      <c r="CC247" s="37"/>
      <c r="CD247" s="37"/>
      <c r="CE247" s="37"/>
      <c r="CF247" s="37"/>
      <c r="CG247" s="37"/>
      <c r="CH247" s="37"/>
      <c r="CI247" s="37"/>
      <c r="CJ247" s="37"/>
      <c r="CK247" s="37"/>
      <c r="CL247" s="37"/>
      <c r="CM247" s="37"/>
      <c r="CN247" s="37"/>
      <c r="CO247" s="37"/>
      <c r="CP247" s="37"/>
      <c r="CQ247" s="37"/>
      <c r="CR247" s="37"/>
      <c r="CS247" s="37"/>
      <c r="CT247" s="37"/>
      <c r="CU247" s="37"/>
      <c r="CV247" s="37"/>
      <c r="CW247" s="37"/>
      <c r="CX247" s="37"/>
      <c r="CY247" s="37"/>
      <c r="CZ247" s="37"/>
      <c r="DA247" s="37"/>
      <c r="DB247" s="37"/>
      <c r="DC247" s="37"/>
      <c r="DD247" s="37"/>
      <c r="DE247" s="37"/>
      <c r="DF247" s="37"/>
      <c r="DG247" s="37"/>
      <c r="DH247" s="37"/>
      <c r="DI247" s="37"/>
      <c r="DJ247" s="37"/>
      <c r="DK247" s="37"/>
      <c r="DL247" s="37"/>
      <c r="DM247" s="37"/>
      <c r="DN247" s="37"/>
      <c r="DO247" s="37"/>
      <c r="DP247" s="37"/>
      <c r="DQ247" s="37"/>
      <c r="DR247" s="37"/>
      <c r="DS247" s="37"/>
      <c r="DT247" s="37"/>
      <c r="DU247" s="37"/>
      <c r="DV247" s="37"/>
      <c r="DW247" s="37"/>
      <c r="DX247" s="37"/>
      <c r="DY247" s="37"/>
      <c r="DZ247" s="37"/>
      <c r="EA247" s="37"/>
      <c r="EB247" s="37"/>
      <c r="EC247" s="37"/>
      <c r="ED247" s="37"/>
      <c r="EE247" s="37"/>
      <c r="EF247" s="37"/>
      <c r="EG247" s="37"/>
      <c r="EH247" s="37"/>
      <c r="EI247" s="37"/>
      <c r="EJ247" s="37"/>
      <c r="EK247" s="37"/>
      <c r="EL247" s="37"/>
      <c r="EM247" s="37"/>
      <c r="EN247" s="37"/>
    </row>
    <row r="248" spans="1:145" s="34" customFormat="1">
      <c r="A248" s="46"/>
      <c r="B248" s="78"/>
      <c r="C248" s="85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6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  <c r="BO248" s="37"/>
      <c r="BP248" s="37"/>
      <c r="BQ248" s="37"/>
      <c r="BR248" s="37"/>
      <c r="BS248" s="37"/>
      <c r="BT248" s="37"/>
      <c r="BU248" s="37"/>
      <c r="BV248" s="37"/>
      <c r="BW248" s="37"/>
      <c r="BX248" s="37"/>
      <c r="BY248" s="37"/>
      <c r="BZ248" s="37"/>
      <c r="CA248" s="37"/>
      <c r="CB248" s="37"/>
      <c r="CC248" s="37"/>
      <c r="CD248" s="37"/>
      <c r="CE248" s="37"/>
      <c r="CF248" s="37"/>
      <c r="CG248" s="37"/>
      <c r="CH248" s="37"/>
      <c r="CI248" s="37"/>
      <c r="CJ248" s="37"/>
      <c r="CK248" s="37"/>
      <c r="CL248" s="37"/>
      <c r="CM248" s="37"/>
      <c r="CN248" s="37"/>
      <c r="CO248" s="37"/>
      <c r="CP248" s="37"/>
      <c r="CQ248" s="37"/>
      <c r="CR248" s="37"/>
      <c r="CS248" s="37"/>
      <c r="CT248" s="37"/>
      <c r="CU248" s="37"/>
      <c r="CV248" s="37"/>
      <c r="CW248" s="37"/>
      <c r="CX248" s="37"/>
      <c r="CY248" s="37"/>
      <c r="CZ248" s="37"/>
      <c r="DA248" s="37"/>
      <c r="DB248" s="37"/>
      <c r="DC248" s="37"/>
      <c r="DD248" s="37"/>
      <c r="DE248" s="37"/>
      <c r="DF248" s="37"/>
      <c r="DG248" s="37"/>
      <c r="DH248" s="37"/>
      <c r="DI248" s="37"/>
      <c r="DJ248" s="37"/>
      <c r="DK248" s="37"/>
      <c r="DL248" s="37"/>
      <c r="DM248" s="37"/>
      <c r="DN248" s="37"/>
      <c r="DO248" s="37"/>
      <c r="DP248" s="37"/>
      <c r="DQ248" s="37"/>
      <c r="DR248" s="37"/>
      <c r="DS248" s="37"/>
      <c r="DT248" s="37"/>
      <c r="DU248" s="37"/>
      <c r="DV248" s="37"/>
      <c r="DW248" s="37"/>
      <c r="DX248" s="37"/>
      <c r="DY248" s="37"/>
      <c r="DZ248" s="37"/>
      <c r="EA248" s="37"/>
      <c r="EB248" s="37"/>
      <c r="EC248" s="37"/>
      <c r="ED248" s="37"/>
      <c r="EE248" s="37"/>
      <c r="EF248" s="37"/>
      <c r="EG248" s="37"/>
      <c r="EH248" s="37"/>
      <c r="EI248" s="37"/>
      <c r="EJ248" s="37"/>
      <c r="EK248" s="37"/>
      <c r="EL248" s="37"/>
      <c r="EM248" s="37"/>
      <c r="EN248" s="37"/>
    </row>
    <row r="249" spans="1:145" s="34" customFormat="1">
      <c r="A249" s="46">
        <v>3</v>
      </c>
      <c r="B249" s="87" t="s">
        <v>81</v>
      </c>
      <c r="C249" s="74" t="s">
        <v>4</v>
      </c>
      <c r="D249" s="71">
        <f t="shared" ref="D249:O249" si="86">D82*$R$172</f>
        <v>15680450.026197752</v>
      </c>
      <c r="E249" s="71">
        <f t="shared" si="86"/>
        <v>15207479.597185647</v>
      </c>
      <c r="F249" s="71">
        <f t="shared" si="86"/>
        <v>14043712.265130602</v>
      </c>
      <c r="G249" s="71">
        <f t="shared" si="86"/>
        <v>3651028.4518499537</v>
      </c>
      <c r="H249" s="71">
        <f t="shared" si="86"/>
        <v>-911561.1047835449</v>
      </c>
      <c r="I249" s="71">
        <f t="shared" si="86"/>
        <v>-1422982.8907581808</v>
      </c>
      <c r="J249" s="71">
        <f t="shared" si="86"/>
        <v>3550363.7122837491</v>
      </c>
      <c r="K249" s="71">
        <f t="shared" si="86"/>
        <v>3052864.8453853396</v>
      </c>
      <c r="L249" s="71">
        <f t="shared" si="86"/>
        <v>2333161.5361044141</v>
      </c>
      <c r="M249" s="71">
        <f t="shared" si="86"/>
        <v>1365491.2768060442</v>
      </c>
      <c r="N249" s="71">
        <f t="shared" si="86"/>
        <v>-1273956.9125642956</v>
      </c>
      <c r="O249" s="71">
        <f t="shared" si="86"/>
        <v>0</v>
      </c>
      <c r="P249" s="76">
        <f>SUM(D249:O249)</f>
        <v>55276050.802837476</v>
      </c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37"/>
      <c r="BO249" s="37"/>
      <c r="BP249" s="37"/>
      <c r="BQ249" s="37"/>
      <c r="BR249" s="37"/>
      <c r="BS249" s="37"/>
      <c r="BT249" s="37"/>
      <c r="BU249" s="37"/>
      <c r="BV249" s="37"/>
      <c r="BW249" s="37"/>
      <c r="BX249" s="37"/>
      <c r="BY249" s="37"/>
      <c r="BZ249" s="37"/>
      <c r="CA249" s="37"/>
      <c r="CB249" s="37"/>
      <c r="CC249" s="37"/>
      <c r="CD249" s="37"/>
      <c r="CE249" s="37"/>
      <c r="CF249" s="37"/>
      <c r="CG249" s="37"/>
      <c r="CH249" s="37"/>
      <c r="CI249" s="37"/>
      <c r="CJ249" s="37"/>
      <c r="CK249" s="37"/>
      <c r="CL249" s="37"/>
      <c r="CM249" s="37"/>
      <c r="CN249" s="37"/>
      <c r="CO249" s="37"/>
      <c r="CP249" s="37"/>
      <c r="CQ249" s="37"/>
      <c r="CR249" s="37"/>
      <c r="CS249" s="37"/>
      <c r="CT249" s="37"/>
      <c r="CU249" s="37"/>
      <c r="CV249" s="37"/>
      <c r="CW249" s="37"/>
      <c r="CX249" s="37"/>
      <c r="CY249" s="37"/>
      <c r="CZ249" s="37"/>
      <c r="DA249" s="37"/>
      <c r="DB249" s="37"/>
      <c r="DC249" s="37"/>
      <c r="DD249" s="37"/>
      <c r="DE249" s="37"/>
      <c r="DF249" s="37"/>
      <c r="DG249" s="37"/>
      <c r="DH249" s="37"/>
      <c r="DI249" s="37"/>
      <c r="DJ249" s="37"/>
      <c r="DK249" s="37"/>
      <c r="DL249" s="37"/>
      <c r="DM249" s="37"/>
      <c r="DN249" s="37"/>
      <c r="DO249" s="37"/>
      <c r="DP249" s="37"/>
      <c r="DQ249" s="37"/>
      <c r="DR249" s="37"/>
      <c r="DS249" s="37"/>
      <c r="DT249" s="37"/>
      <c r="DU249" s="37"/>
      <c r="DV249" s="37"/>
      <c r="DW249" s="37"/>
      <c r="DX249" s="37"/>
      <c r="DY249" s="37"/>
      <c r="DZ249" s="37"/>
      <c r="EA249" s="37"/>
      <c r="EB249" s="37"/>
      <c r="EC249" s="37"/>
      <c r="ED249" s="37"/>
      <c r="EE249" s="37"/>
      <c r="EF249" s="37"/>
      <c r="EG249" s="37"/>
      <c r="EH249" s="37"/>
      <c r="EI249" s="37"/>
      <c r="EJ249" s="37"/>
      <c r="EK249" s="37"/>
      <c r="EL249" s="37"/>
      <c r="EM249" s="37"/>
      <c r="EN249" s="37"/>
    </row>
    <row r="250" spans="1:145" s="34" customFormat="1">
      <c r="A250" s="46">
        <v>4</v>
      </c>
      <c r="B250" s="87" t="s">
        <v>85</v>
      </c>
      <c r="C250" s="74" t="s">
        <v>4</v>
      </c>
      <c r="D250" s="72">
        <f t="shared" ref="D250:O250" si="87">D83*$R$172</f>
        <v>3919966.5141853276</v>
      </c>
      <c r="E250" s="72">
        <f t="shared" si="87"/>
        <v>2190688.710461312</v>
      </c>
      <c r="F250" s="72">
        <f t="shared" si="87"/>
        <v>2036239.9020241827</v>
      </c>
      <c r="G250" s="72">
        <f t="shared" si="87"/>
        <v>2138187.4103560089</v>
      </c>
      <c r="H250" s="72">
        <f t="shared" si="87"/>
        <v>1351208.5481895022</v>
      </c>
      <c r="I250" s="72">
        <f t="shared" si="87"/>
        <v>1180004.871563379</v>
      </c>
      <c r="J250" s="72">
        <f t="shared" si="87"/>
        <v>789601.04451199784</v>
      </c>
      <c r="K250" s="72">
        <f t="shared" si="87"/>
        <v>-12644.546520015119</v>
      </c>
      <c r="L250" s="72">
        <f t="shared" si="87"/>
        <v>-530339.97590069589</v>
      </c>
      <c r="M250" s="72">
        <f t="shared" si="87"/>
        <v>-473940.14013454894</v>
      </c>
      <c r="N250" s="72">
        <f t="shared" si="87"/>
        <v>-1193516.8876480581</v>
      </c>
      <c r="O250" s="72">
        <f t="shared" si="87"/>
        <v>0</v>
      </c>
      <c r="P250" s="98">
        <f>SUM(D250:O250)</f>
        <v>11395455.451088391</v>
      </c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  <c r="BM250" s="37"/>
      <c r="BN250" s="37"/>
      <c r="BO250" s="37"/>
      <c r="BP250" s="37"/>
      <c r="BQ250" s="37"/>
      <c r="BR250" s="37"/>
      <c r="BS250" s="37"/>
      <c r="BT250" s="37"/>
      <c r="BU250" s="37"/>
      <c r="BV250" s="37"/>
      <c r="BW250" s="37"/>
      <c r="BX250" s="37"/>
      <c r="BY250" s="37"/>
      <c r="BZ250" s="37"/>
      <c r="CA250" s="37"/>
      <c r="CB250" s="37"/>
      <c r="CC250" s="37"/>
      <c r="CD250" s="37"/>
      <c r="CE250" s="37"/>
      <c r="CF250" s="37"/>
      <c r="CG250" s="37"/>
      <c r="CH250" s="37"/>
      <c r="CI250" s="37"/>
      <c r="CJ250" s="37"/>
      <c r="CK250" s="37"/>
      <c r="CL250" s="37"/>
      <c r="CM250" s="37"/>
      <c r="CN250" s="37"/>
      <c r="CO250" s="37"/>
      <c r="CP250" s="37"/>
      <c r="CQ250" s="37"/>
      <c r="CR250" s="37"/>
      <c r="CS250" s="37"/>
      <c r="CT250" s="37"/>
      <c r="CU250" s="37"/>
      <c r="CV250" s="37"/>
      <c r="CW250" s="37"/>
      <c r="CX250" s="37"/>
      <c r="CY250" s="37"/>
      <c r="CZ250" s="37"/>
      <c r="DA250" s="37"/>
      <c r="DB250" s="37"/>
      <c r="DC250" s="37"/>
      <c r="DD250" s="37"/>
      <c r="DE250" s="37"/>
      <c r="DF250" s="37"/>
      <c r="DG250" s="37"/>
      <c r="DH250" s="37"/>
      <c r="DI250" s="37"/>
      <c r="DJ250" s="37"/>
      <c r="DK250" s="37"/>
      <c r="DL250" s="37"/>
      <c r="DM250" s="37"/>
      <c r="DN250" s="37"/>
      <c r="DO250" s="37"/>
      <c r="DP250" s="37"/>
      <c r="DQ250" s="37"/>
      <c r="DR250" s="37"/>
      <c r="DS250" s="37"/>
      <c r="DT250" s="37"/>
      <c r="DU250" s="37"/>
      <c r="DV250" s="37"/>
      <c r="DW250" s="37"/>
      <c r="DX250" s="37"/>
      <c r="DY250" s="37"/>
      <c r="DZ250" s="37"/>
      <c r="EA250" s="37"/>
      <c r="EB250" s="37"/>
      <c r="EC250" s="37"/>
      <c r="ED250" s="37"/>
      <c r="EE250" s="37"/>
      <c r="EF250" s="37"/>
      <c r="EG250" s="37"/>
      <c r="EH250" s="37"/>
      <c r="EI250" s="37"/>
      <c r="EJ250" s="37"/>
      <c r="EK250" s="37"/>
      <c r="EL250" s="37"/>
      <c r="EM250" s="37"/>
      <c r="EN250" s="37"/>
    </row>
    <row r="251" spans="1:145" s="34" customFormat="1">
      <c r="A251" s="46">
        <v>5</v>
      </c>
      <c r="B251" s="96" t="s">
        <v>18</v>
      </c>
      <c r="C251" s="85"/>
      <c r="D251" s="94">
        <f t="shared" ref="D251:P251" si="88">SUM(D249:D250)</f>
        <v>19600416.540383078</v>
      </c>
      <c r="E251" s="94">
        <f t="shared" si="88"/>
        <v>17398168.30764696</v>
      </c>
      <c r="F251" s="94">
        <f t="shared" si="88"/>
        <v>16079952.167154785</v>
      </c>
      <c r="G251" s="94">
        <f t="shared" si="88"/>
        <v>5789215.8622059627</v>
      </c>
      <c r="H251" s="94">
        <f t="shared" si="88"/>
        <v>439647.44340595731</v>
      </c>
      <c r="I251" s="94">
        <f t="shared" si="88"/>
        <v>-242978.0191948018</v>
      </c>
      <c r="J251" s="94">
        <f t="shared" si="88"/>
        <v>4339964.7567957472</v>
      </c>
      <c r="K251" s="94">
        <f t="shared" si="88"/>
        <v>3040220.2988653244</v>
      </c>
      <c r="L251" s="94">
        <f t="shared" si="88"/>
        <v>1802821.5602037183</v>
      </c>
      <c r="M251" s="94">
        <f t="shared" si="88"/>
        <v>891551.13667149516</v>
      </c>
      <c r="N251" s="94">
        <f t="shared" si="88"/>
        <v>-2467473.8002123535</v>
      </c>
      <c r="O251" s="94">
        <f t="shared" si="88"/>
        <v>0</v>
      </c>
      <c r="P251" s="94">
        <f t="shared" si="88"/>
        <v>66671506.253925867</v>
      </c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  <c r="BO251" s="37"/>
      <c r="BP251" s="37"/>
      <c r="BQ251" s="37"/>
      <c r="BR251" s="37"/>
      <c r="BS251" s="37"/>
      <c r="BT251" s="37"/>
      <c r="BU251" s="37"/>
      <c r="BV251" s="37"/>
      <c r="BW251" s="37"/>
      <c r="BX251" s="37"/>
      <c r="BY251" s="37"/>
      <c r="BZ251" s="37"/>
      <c r="CA251" s="37"/>
      <c r="CB251" s="37"/>
      <c r="CC251" s="37"/>
      <c r="CD251" s="37"/>
      <c r="CE251" s="37"/>
      <c r="CF251" s="37"/>
      <c r="CG251" s="37"/>
      <c r="CH251" s="37"/>
      <c r="CI251" s="37"/>
      <c r="CJ251" s="37"/>
      <c r="CK251" s="37"/>
      <c r="CL251" s="37"/>
      <c r="CM251" s="37"/>
      <c r="CN251" s="37"/>
      <c r="CO251" s="37"/>
      <c r="CP251" s="37"/>
      <c r="CQ251" s="37"/>
      <c r="CR251" s="37"/>
      <c r="CS251" s="37"/>
      <c r="CT251" s="37"/>
      <c r="CU251" s="37"/>
      <c r="CV251" s="37"/>
      <c r="CW251" s="37"/>
      <c r="CX251" s="37"/>
      <c r="CY251" s="37"/>
      <c r="CZ251" s="37"/>
      <c r="DA251" s="37"/>
      <c r="DB251" s="37"/>
      <c r="DC251" s="37"/>
      <c r="DD251" s="37"/>
      <c r="DE251" s="37"/>
      <c r="DF251" s="37"/>
      <c r="DG251" s="37"/>
      <c r="DH251" s="37"/>
      <c r="DI251" s="37"/>
      <c r="DJ251" s="37"/>
      <c r="DK251" s="37"/>
      <c r="DL251" s="37"/>
      <c r="DM251" s="37"/>
      <c r="DN251" s="37"/>
      <c r="DO251" s="37"/>
      <c r="DP251" s="37"/>
      <c r="DQ251" s="37"/>
      <c r="DR251" s="37"/>
      <c r="DS251" s="37"/>
      <c r="DT251" s="37"/>
      <c r="DU251" s="37"/>
      <c r="DV251" s="37"/>
      <c r="DW251" s="37"/>
      <c r="DX251" s="37"/>
      <c r="DY251" s="37"/>
      <c r="DZ251" s="37"/>
      <c r="EA251" s="37"/>
      <c r="EB251" s="37"/>
      <c r="EC251" s="37"/>
      <c r="ED251" s="37"/>
      <c r="EE251" s="37"/>
      <c r="EF251" s="37"/>
      <c r="EG251" s="37"/>
      <c r="EH251" s="37"/>
      <c r="EI251" s="37"/>
      <c r="EJ251" s="37"/>
      <c r="EK251" s="37"/>
      <c r="EL251" s="37"/>
      <c r="EM251" s="37"/>
      <c r="EN251" s="37"/>
    </row>
    <row r="252" spans="1:145" s="34" customFormat="1">
      <c r="B252" s="146"/>
      <c r="C252" s="85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71"/>
      <c r="O252" s="71"/>
      <c r="P252" s="76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  <c r="BJ252" s="37"/>
      <c r="BK252" s="37"/>
      <c r="BL252" s="37"/>
      <c r="BM252" s="37"/>
      <c r="BN252" s="37"/>
      <c r="BO252" s="37"/>
      <c r="BP252" s="37"/>
      <c r="BQ252" s="37"/>
      <c r="BR252" s="37"/>
      <c r="BS252" s="37"/>
      <c r="BT252" s="37"/>
      <c r="BU252" s="37"/>
      <c r="BV252" s="37"/>
      <c r="BW252" s="37"/>
      <c r="BX252" s="37"/>
      <c r="BY252" s="37"/>
      <c r="BZ252" s="37"/>
      <c r="CA252" s="37"/>
      <c r="CB252" s="37"/>
      <c r="CC252" s="37"/>
      <c r="CD252" s="37"/>
      <c r="CE252" s="37"/>
      <c r="CF252" s="37"/>
      <c r="CG252" s="37"/>
      <c r="CH252" s="37"/>
      <c r="CI252" s="37"/>
      <c r="CJ252" s="37"/>
      <c r="CK252" s="37"/>
      <c r="CL252" s="37"/>
      <c r="CM252" s="37"/>
      <c r="CN252" s="37"/>
      <c r="CO252" s="37"/>
      <c r="CP252" s="37"/>
      <c r="CQ252" s="37"/>
      <c r="CR252" s="37"/>
      <c r="CS252" s="37"/>
      <c r="CT252" s="37"/>
      <c r="CU252" s="37"/>
      <c r="CV252" s="37"/>
      <c r="CW252" s="37"/>
      <c r="CX252" s="37"/>
      <c r="CY252" s="37"/>
      <c r="CZ252" s="37"/>
      <c r="DA252" s="37"/>
      <c r="DB252" s="37"/>
      <c r="DC252" s="37"/>
      <c r="DD252" s="37"/>
      <c r="DE252" s="37"/>
      <c r="DF252" s="37"/>
      <c r="DG252" s="37"/>
      <c r="DH252" s="37"/>
      <c r="DI252" s="37"/>
      <c r="DJ252" s="37"/>
      <c r="DK252" s="37"/>
      <c r="DL252" s="37"/>
      <c r="DM252" s="37"/>
      <c r="DN252" s="37"/>
      <c r="DO252" s="37"/>
      <c r="DP252" s="37"/>
      <c r="DQ252" s="37"/>
      <c r="DR252" s="37"/>
      <c r="DS252" s="37"/>
      <c r="DT252" s="37"/>
      <c r="DU252" s="37"/>
      <c r="DV252" s="37"/>
      <c r="DW252" s="37"/>
      <c r="DX252" s="37"/>
      <c r="DY252" s="37"/>
      <c r="DZ252" s="37"/>
      <c r="EA252" s="37"/>
      <c r="EB252" s="37"/>
      <c r="EC252" s="37"/>
      <c r="ED252" s="37"/>
      <c r="EE252" s="37"/>
      <c r="EF252" s="37"/>
      <c r="EG252" s="37"/>
      <c r="EH252" s="37"/>
      <c r="EI252" s="37"/>
      <c r="EJ252" s="37"/>
      <c r="EK252" s="37"/>
      <c r="EL252" s="37"/>
      <c r="EM252" s="37"/>
      <c r="EN252" s="37"/>
    </row>
    <row r="253" spans="1:145" s="34" customFormat="1">
      <c r="A253" s="46">
        <v>6</v>
      </c>
      <c r="B253" s="87" t="s">
        <v>82</v>
      </c>
      <c r="C253" s="74" t="s">
        <v>5</v>
      </c>
      <c r="D253" s="71">
        <f t="shared" ref="D253:O253" si="89">D86*$R$173</f>
        <v>-69970.790104680011</v>
      </c>
      <c r="E253" s="71">
        <f t="shared" si="89"/>
        <v>-88070.480115028637</v>
      </c>
      <c r="F253" s="71">
        <f t="shared" si="89"/>
        <v>-80372.802265102131</v>
      </c>
      <c r="G253" s="71">
        <f t="shared" si="89"/>
        <v>-42131.95518501028</v>
      </c>
      <c r="H253" s="71">
        <f t="shared" si="89"/>
        <v>-23042.589360220874</v>
      </c>
      <c r="I253" s="71">
        <f t="shared" si="89"/>
        <v>76344.333278161488</v>
      </c>
      <c r="J253" s="71">
        <f t="shared" si="89"/>
        <v>0</v>
      </c>
      <c r="K253" s="71">
        <f t="shared" si="89"/>
        <v>-91526.588018869894</v>
      </c>
      <c r="L253" s="71">
        <f t="shared" si="89"/>
        <v>-129695.21564606571</v>
      </c>
      <c r="M253" s="71">
        <f t="shared" si="89"/>
        <v>-133404.40564967226</v>
      </c>
      <c r="N253" s="71">
        <f t="shared" si="89"/>
        <v>44550.994972787645</v>
      </c>
      <c r="O253" s="71">
        <f t="shared" si="89"/>
        <v>0</v>
      </c>
      <c r="P253" s="76">
        <f>SUM(D253:O253)</f>
        <v>-537319.49809370062</v>
      </c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  <c r="BJ253" s="37"/>
      <c r="BK253" s="37"/>
      <c r="BL253" s="37"/>
      <c r="BM253" s="37"/>
      <c r="BN253" s="37"/>
      <c r="BO253" s="37"/>
      <c r="BP253" s="37"/>
      <c r="BQ253" s="37"/>
      <c r="BR253" s="37"/>
      <c r="BS253" s="37"/>
      <c r="BT253" s="37"/>
      <c r="BU253" s="37"/>
      <c r="BV253" s="37"/>
      <c r="BW253" s="37"/>
      <c r="BX253" s="37"/>
      <c r="BY253" s="37"/>
      <c r="BZ253" s="37"/>
      <c r="CA253" s="37"/>
      <c r="CB253" s="37"/>
      <c r="CC253" s="37"/>
      <c r="CD253" s="37"/>
      <c r="CE253" s="37"/>
      <c r="CF253" s="37"/>
      <c r="CG253" s="37"/>
      <c r="CH253" s="37"/>
      <c r="CI253" s="37"/>
      <c r="CJ253" s="37"/>
      <c r="CK253" s="37"/>
      <c r="CL253" s="37"/>
      <c r="CM253" s="37"/>
      <c r="CN253" s="37"/>
      <c r="CO253" s="37"/>
      <c r="CP253" s="37"/>
      <c r="CQ253" s="37"/>
      <c r="CR253" s="37"/>
      <c r="CS253" s="37"/>
      <c r="CT253" s="37"/>
      <c r="CU253" s="37"/>
      <c r="CV253" s="37"/>
      <c r="CW253" s="37"/>
      <c r="CX253" s="37"/>
      <c r="CY253" s="37"/>
      <c r="CZ253" s="37"/>
      <c r="DA253" s="37"/>
      <c r="DB253" s="37"/>
      <c r="DC253" s="37"/>
      <c r="DD253" s="37"/>
      <c r="DE253" s="37"/>
      <c r="DF253" s="37"/>
      <c r="DG253" s="37"/>
      <c r="DH253" s="37"/>
      <c r="DI253" s="37"/>
      <c r="DJ253" s="37"/>
      <c r="DK253" s="37"/>
      <c r="DL253" s="37"/>
      <c r="DM253" s="37"/>
      <c r="DN253" s="37"/>
      <c r="DO253" s="37"/>
      <c r="DP253" s="37"/>
      <c r="DQ253" s="37"/>
      <c r="DR253" s="37"/>
      <c r="DS253" s="37"/>
      <c r="DT253" s="37"/>
      <c r="DU253" s="37"/>
      <c r="DV253" s="37"/>
      <c r="DW253" s="37"/>
      <c r="DX253" s="37"/>
      <c r="DY253" s="37"/>
      <c r="DZ253" s="37"/>
      <c r="EA253" s="37"/>
      <c r="EB253" s="37"/>
      <c r="EC253" s="37"/>
      <c r="ED253" s="37"/>
      <c r="EE253" s="37"/>
      <c r="EF253" s="37"/>
      <c r="EG253" s="37"/>
      <c r="EH253" s="37"/>
      <c r="EI253" s="37"/>
      <c r="EJ253" s="37"/>
      <c r="EK253" s="37"/>
      <c r="EL253" s="37"/>
      <c r="EM253" s="37"/>
      <c r="EN253" s="37"/>
    </row>
    <row r="254" spans="1:145" s="34" customFormat="1">
      <c r="A254" s="46">
        <v>7</v>
      </c>
      <c r="B254" s="87" t="s">
        <v>83</v>
      </c>
      <c r="C254" s="74" t="s">
        <v>5</v>
      </c>
      <c r="D254" s="84">
        <f t="shared" ref="D254:O254" si="90">D87*$R$173</f>
        <v>7163772.947629218</v>
      </c>
      <c r="E254" s="84">
        <f t="shared" si="90"/>
        <v>204464.21137772844</v>
      </c>
      <c r="F254" s="84">
        <f t="shared" si="90"/>
        <v>-4421124.7184910495</v>
      </c>
      <c r="G254" s="84">
        <f t="shared" si="90"/>
        <v>-1601979.8339283299</v>
      </c>
      <c r="H254" s="84">
        <f t="shared" si="90"/>
        <v>-6886057.9416905195</v>
      </c>
      <c r="I254" s="84">
        <f t="shared" si="90"/>
        <v>-2915882.4944926426</v>
      </c>
      <c r="J254" s="84">
        <f t="shared" si="90"/>
        <v>-135165.78997199997</v>
      </c>
      <c r="K254" s="84">
        <f t="shared" si="90"/>
        <v>-9991426.1443379112</v>
      </c>
      <c r="L254" s="84">
        <f t="shared" si="90"/>
        <v>-8377293.4364145501</v>
      </c>
      <c r="M254" s="84">
        <f t="shared" si="90"/>
        <v>-3040370.3416935457</v>
      </c>
      <c r="N254" s="84">
        <f t="shared" si="90"/>
        <v>-12232697.613128524</v>
      </c>
      <c r="O254" s="84">
        <f t="shared" si="90"/>
        <v>0</v>
      </c>
      <c r="P254" s="76">
        <f>SUM(D254:O254)</f>
        <v>-42233761.155142128</v>
      </c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37"/>
      <c r="BN254" s="37"/>
      <c r="BO254" s="37"/>
      <c r="BP254" s="37"/>
      <c r="BQ254" s="37"/>
      <c r="BR254" s="37"/>
      <c r="BS254" s="37"/>
      <c r="BT254" s="37"/>
      <c r="BU254" s="37"/>
      <c r="BV254" s="37"/>
      <c r="BW254" s="37"/>
      <c r="BX254" s="37"/>
      <c r="BY254" s="37"/>
      <c r="BZ254" s="37"/>
      <c r="CA254" s="37"/>
      <c r="CB254" s="37"/>
      <c r="CC254" s="37"/>
      <c r="CD254" s="37"/>
      <c r="CE254" s="37"/>
      <c r="CF254" s="37"/>
      <c r="CG254" s="37"/>
      <c r="CH254" s="37"/>
      <c r="CI254" s="37"/>
      <c r="CJ254" s="37"/>
      <c r="CK254" s="37"/>
      <c r="CL254" s="37"/>
      <c r="CM254" s="37"/>
      <c r="CN254" s="37"/>
      <c r="CO254" s="37"/>
      <c r="CP254" s="37"/>
      <c r="CQ254" s="37"/>
      <c r="CR254" s="37"/>
      <c r="CS254" s="37"/>
      <c r="CT254" s="37"/>
      <c r="CU254" s="37"/>
      <c r="CV254" s="37"/>
      <c r="CW254" s="37"/>
      <c r="CX254" s="37"/>
      <c r="CY254" s="37"/>
      <c r="CZ254" s="37"/>
      <c r="DA254" s="37"/>
      <c r="DB254" s="37"/>
      <c r="DC254" s="37"/>
      <c r="DD254" s="37"/>
      <c r="DE254" s="37"/>
      <c r="DF254" s="37"/>
      <c r="DG254" s="37"/>
      <c r="DH254" s="37"/>
      <c r="DI254" s="37"/>
      <c r="DJ254" s="37"/>
      <c r="DK254" s="37"/>
      <c r="DL254" s="37"/>
      <c r="DM254" s="37"/>
      <c r="DN254" s="37"/>
      <c r="DO254" s="37"/>
      <c r="DP254" s="37"/>
      <c r="DQ254" s="37"/>
      <c r="DR254" s="37"/>
      <c r="DS254" s="37"/>
      <c r="DT254" s="37"/>
      <c r="DU254" s="37"/>
      <c r="DV254" s="37"/>
      <c r="DW254" s="37"/>
      <c r="DX254" s="37"/>
      <c r="DY254" s="37"/>
      <c r="DZ254" s="37"/>
      <c r="EA254" s="37"/>
      <c r="EB254" s="37"/>
      <c r="EC254" s="37"/>
      <c r="ED254" s="37"/>
      <c r="EE254" s="37"/>
      <c r="EF254" s="37"/>
      <c r="EG254" s="37"/>
      <c r="EH254" s="37"/>
      <c r="EI254" s="37"/>
      <c r="EJ254" s="37"/>
      <c r="EK254" s="37"/>
      <c r="EL254" s="37"/>
      <c r="EM254" s="37"/>
      <c r="EN254" s="37"/>
    </row>
    <row r="255" spans="1:145" s="34" customFormat="1">
      <c r="A255" s="46">
        <v>8</v>
      </c>
      <c r="B255" s="87" t="s">
        <v>148</v>
      </c>
      <c r="C255" s="74" t="s">
        <v>5</v>
      </c>
      <c r="D255" s="84">
        <f t="shared" ref="D255" si="91">D88*$R$173</f>
        <v>0</v>
      </c>
      <c r="E255" s="84">
        <f t="shared" ref="E255:O255" si="92">E88*$R$173</f>
        <v>0</v>
      </c>
      <c r="F255" s="84">
        <f t="shared" si="92"/>
        <v>0</v>
      </c>
      <c r="G255" s="84">
        <f t="shared" si="92"/>
        <v>0</v>
      </c>
      <c r="H255" s="84">
        <f t="shared" si="92"/>
        <v>0</v>
      </c>
      <c r="I255" s="84">
        <f t="shared" si="92"/>
        <v>0</v>
      </c>
      <c r="J255" s="84">
        <f t="shared" si="92"/>
        <v>0</v>
      </c>
      <c r="K255" s="84">
        <f t="shared" si="92"/>
        <v>0</v>
      </c>
      <c r="L255" s="84">
        <f t="shared" si="92"/>
        <v>0</v>
      </c>
      <c r="M255" s="84">
        <f t="shared" si="92"/>
        <v>0</v>
      </c>
      <c r="N255" s="84">
        <f t="shared" si="92"/>
        <v>0</v>
      </c>
      <c r="O255" s="84">
        <f t="shared" si="92"/>
        <v>0</v>
      </c>
      <c r="P255" s="76">
        <f t="shared" ref="P255:P256" si="93">SUM(D255:O255)</f>
        <v>0</v>
      </c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  <c r="BI255" s="37"/>
      <c r="BJ255" s="37"/>
      <c r="BK255" s="37"/>
      <c r="BL255" s="37"/>
      <c r="BM255" s="37"/>
      <c r="BN255" s="37"/>
      <c r="BO255" s="37"/>
      <c r="BP255" s="37"/>
      <c r="BQ255" s="37"/>
      <c r="BR255" s="37"/>
      <c r="BS255" s="37"/>
      <c r="BT255" s="37"/>
      <c r="BU255" s="37"/>
      <c r="BV255" s="37"/>
      <c r="BW255" s="37"/>
      <c r="BX255" s="37"/>
      <c r="BY255" s="37"/>
      <c r="BZ255" s="37"/>
      <c r="CA255" s="37"/>
      <c r="CB255" s="37"/>
      <c r="CC255" s="37"/>
      <c r="CD255" s="37"/>
      <c r="CE255" s="37"/>
      <c r="CF255" s="37"/>
      <c r="CG255" s="37"/>
      <c r="CH255" s="37"/>
      <c r="CI255" s="37"/>
      <c r="CJ255" s="37"/>
      <c r="CK255" s="37"/>
      <c r="CL255" s="37"/>
      <c r="CM255" s="37"/>
      <c r="CN255" s="37"/>
      <c r="CO255" s="37"/>
      <c r="CP255" s="37"/>
      <c r="CQ255" s="37"/>
      <c r="CR255" s="37"/>
      <c r="CS255" s="37"/>
      <c r="CT255" s="37"/>
      <c r="CU255" s="37"/>
      <c r="CV255" s="37"/>
      <c r="CW255" s="37"/>
      <c r="CX255" s="37"/>
      <c r="CY255" s="37"/>
      <c r="CZ255" s="37"/>
      <c r="DA255" s="37"/>
      <c r="DB255" s="37"/>
      <c r="DC255" s="37"/>
      <c r="DD255" s="37"/>
      <c r="DE255" s="37"/>
      <c r="DF255" s="37"/>
      <c r="DG255" s="37"/>
      <c r="DH255" s="37"/>
      <c r="DI255" s="37"/>
      <c r="DJ255" s="37"/>
      <c r="DK255" s="37"/>
      <c r="DL255" s="37"/>
      <c r="DM255" s="37"/>
      <c r="DN255" s="37"/>
      <c r="DO255" s="37"/>
      <c r="DP255" s="37"/>
      <c r="DQ255" s="37"/>
      <c r="DR255" s="37"/>
      <c r="DS255" s="37"/>
      <c r="DT255" s="37"/>
      <c r="DU255" s="37"/>
      <c r="DV255" s="37"/>
      <c r="DW255" s="37"/>
      <c r="DX255" s="37"/>
      <c r="DY255" s="37"/>
      <c r="DZ255" s="37"/>
      <c r="EA255" s="37"/>
      <c r="EB255" s="37"/>
      <c r="EC255" s="37"/>
      <c r="ED255" s="37"/>
      <c r="EE255" s="37"/>
      <c r="EF255" s="37"/>
      <c r="EG255" s="37"/>
      <c r="EH255" s="37"/>
      <c r="EI255" s="37"/>
      <c r="EJ255" s="37"/>
      <c r="EK255" s="37"/>
      <c r="EL255" s="37"/>
      <c r="EM255" s="37"/>
      <c r="EN255" s="37"/>
    </row>
    <row r="256" spans="1:145" s="34" customFormat="1">
      <c r="A256" s="46">
        <v>9</v>
      </c>
      <c r="B256" s="87" t="s">
        <v>149</v>
      </c>
      <c r="C256" s="74" t="s">
        <v>5</v>
      </c>
      <c r="D256" s="84">
        <f t="shared" ref="D256" si="94">D89*$R$173</f>
        <v>0</v>
      </c>
      <c r="E256" s="84">
        <f t="shared" ref="E256:O256" si="95">E89*$R$173</f>
        <v>0</v>
      </c>
      <c r="F256" s="84">
        <f t="shared" si="95"/>
        <v>0</v>
      </c>
      <c r="G256" s="84">
        <f t="shared" si="95"/>
        <v>0</v>
      </c>
      <c r="H256" s="84">
        <f t="shared" si="95"/>
        <v>0</v>
      </c>
      <c r="I256" s="84">
        <f t="shared" si="95"/>
        <v>0</v>
      </c>
      <c r="J256" s="84">
        <f t="shared" si="95"/>
        <v>0</v>
      </c>
      <c r="K256" s="84">
        <f t="shared" si="95"/>
        <v>0</v>
      </c>
      <c r="L256" s="84">
        <f t="shared" si="95"/>
        <v>0</v>
      </c>
      <c r="M256" s="84">
        <f t="shared" si="95"/>
        <v>0</v>
      </c>
      <c r="N256" s="84">
        <f t="shared" si="95"/>
        <v>0</v>
      </c>
      <c r="O256" s="84">
        <f t="shared" si="95"/>
        <v>0</v>
      </c>
      <c r="P256" s="76">
        <f t="shared" si="93"/>
        <v>0</v>
      </c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  <c r="BI256" s="37"/>
      <c r="BJ256" s="37"/>
      <c r="BK256" s="37"/>
      <c r="BL256" s="37"/>
      <c r="BM256" s="37"/>
      <c r="BN256" s="37"/>
      <c r="BO256" s="37"/>
      <c r="BP256" s="37"/>
      <c r="BQ256" s="37"/>
      <c r="BR256" s="37"/>
      <c r="BS256" s="37"/>
      <c r="BT256" s="37"/>
      <c r="BU256" s="37"/>
      <c r="BV256" s="37"/>
      <c r="BW256" s="37"/>
      <c r="BX256" s="37"/>
      <c r="BY256" s="37"/>
      <c r="BZ256" s="37"/>
      <c r="CA256" s="37"/>
      <c r="CB256" s="37"/>
      <c r="CC256" s="37"/>
      <c r="CD256" s="37"/>
      <c r="CE256" s="37"/>
      <c r="CF256" s="37"/>
      <c r="CG256" s="37"/>
      <c r="CH256" s="37"/>
      <c r="CI256" s="37"/>
      <c r="CJ256" s="37"/>
      <c r="CK256" s="37"/>
      <c r="CL256" s="37"/>
      <c r="CM256" s="37"/>
      <c r="CN256" s="37"/>
      <c r="CO256" s="37"/>
      <c r="CP256" s="37"/>
      <c r="CQ256" s="37"/>
      <c r="CR256" s="37"/>
      <c r="CS256" s="37"/>
      <c r="CT256" s="37"/>
      <c r="CU256" s="37"/>
      <c r="CV256" s="37"/>
      <c r="CW256" s="37"/>
      <c r="CX256" s="37"/>
      <c r="CY256" s="37"/>
      <c r="CZ256" s="37"/>
      <c r="DA256" s="37"/>
      <c r="DB256" s="37"/>
      <c r="DC256" s="37"/>
      <c r="DD256" s="37"/>
      <c r="DE256" s="37"/>
      <c r="DF256" s="37"/>
      <c r="DG256" s="37"/>
      <c r="DH256" s="37"/>
      <c r="DI256" s="37"/>
      <c r="DJ256" s="37"/>
      <c r="DK256" s="37"/>
      <c r="DL256" s="37"/>
      <c r="DM256" s="37"/>
      <c r="DN256" s="37"/>
      <c r="DO256" s="37"/>
      <c r="DP256" s="37"/>
      <c r="DQ256" s="37"/>
      <c r="DR256" s="37"/>
      <c r="DS256" s="37"/>
      <c r="DT256" s="37"/>
      <c r="DU256" s="37"/>
      <c r="DV256" s="37"/>
      <c r="DW256" s="37"/>
      <c r="DX256" s="37"/>
      <c r="DY256" s="37"/>
      <c r="DZ256" s="37"/>
      <c r="EA256" s="37"/>
      <c r="EB256" s="37"/>
      <c r="EC256" s="37"/>
      <c r="ED256" s="37"/>
      <c r="EE256" s="37"/>
      <c r="EF256" s="37"/>
      <c r="EG256" s="37"/>
      <c r="EH256" s="37"/>
      <c r="EI256" s="37"/>
      <c r="EJ256" s="37"/>
      <c r="EK256" s="37"/>
      <c r="EL256" s="37"/>
      <c r="EM256" s="37"/>
      <c r="EN256" s="37"/>
    </row>
    <row r="257" spans="1:144" s="34" customFormat="1">
      <c r="A257" s="46">
        <v>10</v>
      </c>
      <c r="B257" s="78" t="s">
        <v>19</v>
      </c>
      <c r="C257" s="74"/>
      <c r="D257" s="218">
        <f>SUM(D253:D256)</f>
        <v>7093802.1575245382</v>
      </c>
      <c r="E257" s="218">
        <f t="shared" ref="E257:P257" si="96">SUM(E253:E256)</f>
        <v>116393.7312626998</v>
      </c>
      <c r="F257" s="218">
        <f t="shared" si="96"/>
        <v>-4501497.5207561515</v>
      </c>
      <c r="G257" s="218">
        <f t="shared" si="96"/>
        <v>-1644111.7891133402</v>
      </c>
      <c r="H257" s="218">
        <f t="shared" si="96"/>
        <v>-6909100.5310507407</v>
      </c>
      <c r="I257" s="218">
        <f t="shared" si="96"/>
        <v>-2839538.1612144811</v>
      </c>
      <c r="J257" s="218">
        <f t="shared" si="96"/>
        <v>-135165.78997199997</v>
      </c>
      <c r="K257" s="218">
        <f t="shared" si="96"/>
        <v>-10082952.732356781</v>
      </c>
      <c r="L257" s="218">
        <f t="shared" si="96"/>
        <v>-8506988.6520606149</v>
      </c>
      <c r="M257" s="218">
        <f t="shared" si="96"/>
        <v>-3173774.747343218</v>
      </c>
      <c r="N257" s="218">
        <f t="shared" si="96"/>
        <v>-12188146.618155736</v>
      </c>
      <c r="O257" s="218">
        <f t="shared" si="96"/>
        <v>0</v>
      </c>
      <c r="P257" s="218">
        <f t="shared" si="96"/>
        <v>-42771080.65323583</v>
      </c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7"/>
      <c r="BU257" s="37"/>
      <c r="BV257" s="37"/>
      <c r="BW257" s="37"/>
      <c r="BX257" s="37"/>
      <c r="BY257" s="37"/>
      <c r="BZ257" s="37"/>
      <c r="CA257" s="37"/>
      <c r="CB257" s="37"/>
      <c r="CC257" s="37"/>
      <c r="CD257" s="37"/>
      <c r="CE257" s="37"/>
      <c r="CF257" s="37"/>
      <c r="CG257" s="37"/>
      <c r="CH257" s="37"/>
      <c r="CI257" s="37"/>
      <c r="CJ257" s="37"/>
      <c r="CK257" s="37"/>
      <c r="CL257" s="37"/>
      <c r="CM257" s="37"/>
      <c r="CN257" s="37"/>
      <c r="CO257" s="37"/>
      <c r="CP257" s="37"/>
      <c r="CQ257" s="37"/>
      <c r="CR257" s="37"/>
      <c r="CS257" s="37"/>
      <c r="CT257" s="37"/>
      <c r="CU257" s="37"/>
      <c r="CV257" s="37"/>
      <c r="CW257" s="37"/>
      <c r="CX257" s="37"/>
      <c r="CY257" s="37"/>
      <c r="CZ257" s="37"/>
      <c r="DA257" s="37"/>
      <c r="DB257" s="37"/>
      <c r="DC257" s="37"/>
      <c r="DD257" s="37"/>
      <c r="DE257" s="37"/>
      <c r="DF257" s="37"/>
      <c r="DG257" s="37"/>
      <c r="DH257" s="37"/>
      <c r="DI257" s="37"/>
      <c r="DJ257" s="37"/>
      <c r="DK257" s="37"/>
      <c r="DL257" s="37"/>
      <c r="DM257" s="37"/>
      <c r="DN257" s="37"/>
      <c r="DO257" s="37"/>
      <c r="DP257" s="37"/>
      <c r="DQ257" s="37"/>
      <c r="DR257" s="37"/>
      <c r="DS257" s="37"/>
      <c r="DT257" s="37"/>
      <c r="DU257" s="37"/>
      <c r="DV257" s="37"/>
      <c r="DW257" s="37"/>
      <c r="DX257" s="37"/>
      <c r="DY257" s="37"/>
      <c r="DZ257" s="37"/>
      <c r="EA257" s="37"/>
      <c r="EB257" s="37"/>
      <c r="EC257" s="37"/>
      <c r="ED257" s="37"/>
      <c r="EE257" s="37"/>
      <c r="EF257" s="37"/>
      <c r="EG257" s="37"/>
      <c r="EH257" s="37"/>
      <c r="EI257" s="37"/>
      <c r="EJ257" s="37"/>
      <c r="EK257" s="37"/>
      <c r="EL257" s="37"/>
      <c r="EM257" s="37"/>
      <c r="EN257" s="37"/>
    </row>
    <row r="258" spans="1:144" s="34" customFormat="1">
      <c r="A258" s="46"/>
      <c r="B258" s="78"/>
      <c r="C258" s="74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6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7"/>
      <c r="BN258" s="37"/>
      <c r="BO258" s="37"/>
      <c r="BP258" s="37"/>
      <c r="BQ258" s="37"/>
      <c r="BR258" s="37"/>
      <c r="BS258" s="37"/>
      <c r="BT258" s="37"/>
      <c r="BU258" s="37"/>
      <c r="BV258" s="37"/>
      <c r="BW258" s="37"/>
      <c r="BX258" s="37"/>
      <c r="BY258" s="37"/>
      <c r="BZ258" s="37"/>
      <c r="CA258" s="37"/>
      <c r="CB258" s="37"/>
      <c r="CC258" s="37"/>
      <c r="CD258" s="37"/>
      <c r="CE258" s="37"/>
      <c r="CF258" s="37"/>
      <c r="CG258" s="37"/>
      <c r="CH258" s="37"/>
      <c r="CI258" s="37"/>
      <c r="CJ258" s="37"/>
      <c r="CK258" s="37"/>
      <c r="CL258" s="37"/>
      <c r="CM258" s="37"/>
      <c r="CN258" s="37"/>
      <c r="CO258" s="37"/>
      <c r="CP258" s="37"/>
      <c r="CQ258" s="37"/>
      <c r="CR258" s="37"/>
      <c r="CS258" s="37"/>
      <c r="CT258" s="37"/>
      <c r="CU258" s="37"/>
      <c r="CV258" s="37"/>
      <c r="CW258" s="37"/>
      <c r="CX258" s="37"/>
      <c r="CY258" s="37"/>
      <c r="CZ258" s="37"/>
      <c r="DA258" s="37"/>
      <c r="DB258" s="37"/>
      <c r="DC258" s="37"/>
      <c r="DD258" s="37"/>
      <c r="DE258" s="37"/>
      <c r="DF258" s="37"/>
      <c r="DG258" s="37"/>
      <c r="DH258" s="37"/>
      <c r="DI258" s="37"/>
      <c r="DJ258" s="37"/>
      <c r="DK258" s="37"/>
      <c r="DL258" s="37"/>
      <c r="DM258" s="37"/>
      <c r="DN258" s="37"/>
      <c r="DO258" s="37"/>
      <c r="DP258" s="37"/>
      <c r="DQ258" s="37"/>
      <c r="DR258" s="37"/>
      <c r="DS258" s="37"/>
      <c r="DT258" s="37"/>
      <c r="DU258" s="37"/>
      <c r="DV258" s="37"/>
      <c r="DW258" s="37"/>
      <c r="DX258" s="37"/>
      <c r="DY258" s="37"/>
      <c r="DZ258" s="37"/>
      <c r="EA258" s="37"/>
      <c r="EB258" s="37"/>
      <c r="EC258" s="37"/>
      <c r="ED258" s="37"/>
      <c r="EE258" s="37"/>
      <c r="EF258" s="37"/>
      <c r="EG258" s="37"/>
      <c r="EH258" s="37"/>
      <c r="EI258" s="37"/>
      <c r="EJ258" s="37"/>
      <c r="EK258" s="37"/>
      <c r="EL258" s="37"/>
      <c r="EM258" s="37"/>
      <c r="EN258" s="37"/>
    </row>
    <row r="259" spans="1:144" s="34" customFormat="1">
      <c r="A259" s="46">
        <v>11</v>
      </c>
      <c r="B259" s="96" t="s">
        <v>86</v>
      </c>
      <c r="C259" s="74" t="s">
        <v>6</v>
      </c>
      <c r="D259" s="71">
        <f t="shared" ref="D259:O259" si="97">D92*$R$174</f>
        <v>-10351096.769621732</v>
      </c>
      <c r="E259" s="71">
        <f t="shared" si="97"/>
        <v>-6353781.5965592824</v>
      </c>
      <c r="F259" s="71">
        <f t="shared" si="97"/>
        <v>12463671.720914582</v>
      </c>
      <c r="G259" s="71">
        <f t="shared" si="97"/>
        <v>-26924055.415419031</v>
      </c>
      <c r="H259" s="71">
        <f t="shared" si="97"/>
        <v>-7172552.2338864617</v>
      </c>
      <c r="I259" s="71">
        <f t="shared" si="97"/>
        <v>-14746608.266086947</v>
      </c>
      <c r="J259" s="71">
        <f t="shared" si="97"/>
        <v>-7336054.82923418</v>
      </c>
      <c r="K259" s="71">
        <f t="shared" si="97"/>
        <v>-26048143.109883782</v>
      </c>
      <c r="L259" s="71">
        <f t="shared" si="97"/>
        <v>-7320792.268479269</v>
      </c>
      <c r="M259" s="71">
        <f t="shared" si="97"/>
        <v>-51203204.080422945</v>
      </c>
      <c r="N259" s="71">
        <f t="shared" si="97"/>
        <v>-28468753.241241604</v>
      </c>
      <c r="O259" s="71">
        <f t="shared" si="97"/>
        <v>0</v>
      </c>
      <c r="P259" s="76">
        <f>SUM(D259:O259)</f>
        <v>-173461370.08992067</v>
      </c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  <c r="BI259" s="37"/>
      <c r="BJ259" s="37"/>
      <c r="BK259" s="37"/>
      <c r="BL259" s="37"/>
      <c r="BM259" s="37"/>
      <c r="BN259" s="37"/>
      <c r="BO259" s="37"/>
      <c r="BP259" s="37"/>
      <c r="BQ259" s="37"/>
      <c r="BR259" s="37"/>
      <c r="BS259" s="37"/>
      <c r="BT259" s="37"/>
      <c r="BU259" s="37"/>
      <c r="BV259" s="37"/>
      <c r="BW259" s="37"/>
      <c r="BX259" s="37"/>
      <c r="BY259" s="37"/>
      <c r="BZ259" s="37"/>
      <c r="CA259" s="37"/>
      <c r="CB259" s="37"/>
      <c r="CC259" s="37"/>
      <c r="CD259" s="37"/>
      <c r="CE259" s="37"/>
      <c r="CF259" s="37"/>
      <c r="CG259" s="37"/>
      <c r="CH259" s="37"/>
      <c r="CI259" s="37"/>
      <c r="CJ259" s="37"/>
      <c r="CK259" s="37"/>
      <c r="CL259" s="37"/>
      <c r="CM259" s="37"/>
      <c r="CN259" s="37"/>
      <c r="CO259" s="37"/>
      <c r="CP259" s="37"/>
      <c r="CQ259" s="37"/>
      <c r="CR259" s="37"/>
      <c r="CS259" s="37"/>
      <c r="CT259" s="37"/>
      <c r="CU259" s="37"/>
      <c r="CV259" s="37"/>
      <c r="CW259" s="37"/>
      <c r="CX259" s="37"/>
      <c r="CY259" s="37"/>
      <c r="CZ259" s="37"/>
      <c r="DA259" s="37"/>
      <c r="DB259" s="37"/>
      <c r="DC259" s="37"/>
      <c r="DD259" s="37"/>
      <c r="DE259" s="37"/>
      <c r="DF259" s="37"/>
      <c r="DG259" s="37"/>
      <c r="DH259" s="37"/>
      <c r="DI259" s="37"/>
      <c r="DJ259" s="37"/>
      <c r="DK259" s="37"/>
      <c r="DL259" s="37"/>
      <c r="DM259" s="37"/>
      <c r="DN259" s="37"/>
      <c r="DO259" s="37"/>
      <c r="DP259" s="37"/>
      <c r="DQ259" s="37"/>
      <c r="DR259" s="37"/>
      <c r="DS259" s="37"/>
      <c r="DT259" s="37"/>
      <c r="DU259" s="37"/>
      <c r="DV259" s="37"/>
      <c r="DW259" s="37"/>
      <c r="DX259" s="37"/>
      <c r="DY259" s="37"/>
      <c r="DZ259" s="37"/>
      <c r="EA259" s="37"/>
      <c r="EB259" s="37"/>
      <c r="EC259" s="37"/>
      <c r="ED259" s="37"/>
      <c r="EE259" s="37"/>
      <c r="EF259" s="37"/>
      <c r="EG259" s="37"/>
      <c r="EH259" s="37"/>
      <c r="EI259" s="37"/>
      <c r="EJ259" s="37"/>
      <c r="EK259" s="37"/>
      <c r="EL259" s="37"/>
      <c r="EM259" s="37"/>
      <c r="EN259" s="37"/>
    </row>
    <row r="260" spans="1:144" s="34" customFormat="1">
      <c r="B260" s="78"/>
      <c r="C260" s="85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76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7"/>
      <c r="BU260" s="37"/>
      <c r="BV260" s="37"/>
      <c r="BW260" s="37"/>
      <c r="BX260" s="37"/>
      <c r="BY260" s="37"/>
      <c r="BZ260" s="37"/>
      <c r="CA260" s="37"/>
      <c r="CB260" s="37"/>
      <c r="CC260" s="37"/>
      <c r="CD260" s="37"/>
      <c r="CE260" s="37"/>
      <c r="CF260" s="37"/>
      <c r="CG260" s="37"/>
      <c r="CH260" s="37"/>
      <c r="CI260" s="37"/>
      <c r="CJ260" s="37"/>
      <c r="CK260" s="37"/>
      <c r="CL260" s="37"/>
      <c r="CM260" s="37"/>
      <c r="CN260" s="37"/>
      <c r="CO260" s="37"/>
      <c r="CP260" s="37"/>
      <c r="CQ260" s="37"/>
      <c r="CR260" s="37"/>
      <c r="CS260" s="37"/>
      <c r="CT260" s="37"/>
      <c r="CU260" s="37"/>
      <c r="CV260" s="37"/>
      <c r="CW260" s="37"/>
      <c r="CX260" s="37"/>
      <c r="CY260" s="37"/>
      <c r="CZ260" s="37"/>
      <c r="DA260" s="37"/>
      <c r="DB260" s="37"/>
      <c r="DC260" s="37"/>
      <c r="DD260" s="37"/>
      <c r="DE260" s="37"/>
      <c r="DF260" s="37"/>
      <c r="DG260" s="37"/>
      <c r="DH260" s="37"/>
      <c r="DI260" s="37"/>
      <c r="DJ260" s="37"/>
      <c r="DK260" s="37"/>
      <c r="DL260" s="37"/>
      <c r="DM260" s="37"/>
      <c r="DN260" s="37"/>
      <c r="DO260" s="37"/>
      <c r="DP260" s="37"/>
      <c r="DQ260" s="37"/>
      <c r="DR260" s="37"/>
      <c r="DS260" s="37"/>
      <c r="DT260" s="37"/>
      <c r="DU260" s="37"/>
      <c r="DV260" s="37"/>
      <c r="DW260" s="37"/>
      <c r="DX260" s="37"/>
      <c r="DY260" s="37"/>
      <c r="DZ260" s="37"/>
      <c r="EA260" s="37"/>
      <c r="EB260" s="37"/>
      <c r="EC260" s="37"/>
      <c r="ED260" s="37"/>
      <c r="EE260" s="37"/>
      <c r="EF260" s="37"/>
      <c r="EG260" s="37"/>
      <c r="EH260" s="37"/>
      <c r="EI260" s="37"/>
      <c r="EJ260" s="37"/>
      <c r="EK260" s="37"/>
      <c r="EL260" s="37"/>
      <c r="EM260" s="37"/>
      <c r="EN260" s="37"/>
    </row>
    <row r="261" spans="1:144" s="34" customFormat="1">
      <c r="A261" s="46">
        <v>12</v>
      </c>
      <c r="B261" s="68" t="s">
        <v>21</v>
      </c>
      <c r="C261" s="74" t="s">
        <v>4</v>
      </c>
      <c r="D261" s="71">
        <f t="shared" ref="D261:O261" si="98">D94*$R$172</f>
        <v>-352259.03966320603</v>
      </c>
      <c r="E261" s="71">
        <f t="shared" si="98"/>
        <v>-441859.92046448466</v>
      </c>
      <c r="F261" s="71">
        <f t="shared" si="98"/>
        <v>-324751.62574350374</v>
      </c>
      <c r="G261" s="71">
        <f t="shared" si="98"/>
        <v>-309385.85556537355</v>
      </c>
      <c r="H261" s="71">
        <f t="shared" si="98"/>
        <v>-275764.44536797487</v>
      </c>
      <c r="I261" s="71">
        <f t="shared" si="98"/>
        <v>-172274.77828397413</v>
      </c>
      <c r="J261" s="71">
        <f t="shared" si="98"/>
        <v>-187735.25086850036</v>
      </c>
      <c r="K261" s="71">
        <f t="shared" si="98"/>
        <v>-256761.13778880201</v>
      </c>
      <c r="L261" s="71">
        <f t="shared" si="98"/>
        <v>-140893.33439651108</v>
      </c>
      <c r="M261" s="71">
        <f t="shared" si="98"/>
        <v>-199396.94450456084</v>
      </c>
      <c r="N261" s="71">
        <f t="shared" si="98"/>
        <v>-82777.533302935422</v>
      </c>
      <c r="O261" s="71">
        <f t="shared" si="98"/>
        <v>0</v>
      </c>
      <c r="P261" s="76">
        <f>SUM(D261:O261)</f>
        <v>-2743859.8659498268</v>
      </c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7"/>
      <c r="BN261" s="37"/>
      <c r="BO261" s="37"/>
      <c r="BP261" s="37"/>
      <c r="BQ261" s="37"/>
      <c r="BR261" s="37"/>
      <c r="BS261" s="37"/>
      <c r="BT261" s="37"/>
      <c r="BU261" s="37"/>
      <c r="BV261" s="37"/>
      <c r="BW261" s="37"/>
      <c r="BX261" s="37"/>
      <c r="BY261" s="37"/>
      <c r="BZ261" s="37"/>
      <c r="CA261" s="37"/>
      <c r="CB261" s="37"/>
      <c r="CC261" s="37"/>
      <c r="CD261" s="37"/>
      <c r="CE261" s="37"/>
      <c r="CF261" s="37"/>
      <c r="CG261" s="37"/>
      <c r="CH261" s="37"/>
      <c r="CI261" s="37"/>
      <c r="CJ261" s="37"/>
      <c r="CK261" s="37"/>
      <c r="CL261" s="37"/>
      <c r="CM261" s="37"/>
      <c r="CN261" s="37"/>
      <c r="CO261" s="37"/>
      <c r="CP261" s="37"/>
      <c r="CQ261" s="37"/>
      <c r="CR261" s="37"/>
      <c r="CS261" s="37"/>
      <c r="CT261" s="37"/>
      <c r="CU261" s="37"/>
      <c r="CV261" s="37"/>
      <c r="CW261" s="37"/>
      <c r="CX261" s="37"/>
      <c r="CY261" s="37"/>
      <c r="CZ261" s="37"/>
      <c r="DA261" s="37"/>
      <c r="DB261" s="37"/>
      <c r="DC261" s="37"/>
      <c r="DD261" s="37"/>
      <c r="DE261" s="37"/>
      <c r="DF261" s="37"/>
      <c r="DG261" s="37"/>
      <c r="DH261" s="37"/>
      <c r="DI261" s="37"/>
      <c r="DJ261" s="37"/>
      <c r="DK261" s="37"/>
      <c r="DL261" s="37"/>
      <c r="DM261" s="37"/>
      <c r="DN261" s="37"/>
      <c r="DO261" s="37"/>
      <c r="DP261" s="37"/>
      <c r="DQ261" s="37"/>
      <c r="DR261" s="37"/>
      <c r="DS261" s="37"/>
      <c r="DT261" s="37"/>
      <c r="DU261" s="37"/>
      <c r="DV261" s="37"/>
      <c r="DW261" s="37"/>
      <c r="DX261" s="37"/>
      <c r="DY261" s="37"/>
      <c r="DZ261" s="37"/>
      <c r="EA261" s="37"/>
      <c r="EB261" s="37"/>
      <c r="EC261" s="37"/>
      <c r="ED261" s="37"/>
      <c r="EE261" s="37"/>
      <c r="EF261" s="37"/>
      <c r="EG261" s="37"/>
      <c r="EH261" s="37"/>
      <c r="EI261" s="37"/>
      <c r="EJ261" s="37"/>
      <c r="EK261" s="37"/>
      <c r="EL261" s="37"/>
      <c r="EM261" s="37"/>
      <c r="EN261" s="37"/>
    </row>
    <row r="262" spans="1:144" s="34" customFormat="1">
      <c r="A262" s="46"/>
      <c r="B262" s="78"/>
      <c r="C262" s="85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71"/>
      <c r="O262" s="71"/>
      <c r="P262" s="76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7"/>
      <c r="BN262" s="37"/>
      <c r="BO262" s="37"/>
      <c r="BP262" s="37"/>
      <c r="BQ262" s="37"/>
      <c r="BR262" s="37"/>
      <c r="BS262" s="37"/>
      <c r="BT262" s="37"/>
      <c r="BU262" s="37"/>
      <c r="BV262" s="37"/>
      <c r="BW262" s="37"/>
      <c r="BX262" s="37"/>
      <c r="BY262" s="37"/>
      <c r="BZ262" s="37"/>
      <c r="CA262" s="37"/>
      <c r="CB262" s="37"/>
      <c r="CC262" s="37"/>
      <c r="CD262" s="37"/>
      <c r="CE262" s="37"/>
      <c r="CF262" s="37"/>
      <c r="CG262" s="37"/>
      <c r="CH262" s="37"/>
      <c r="CI262" s="37"/>
      <c r="CJ262" s="37"/>
      <c r="CK262" s="37"/>
      <c r="CL262" s="37"/>
      <c r="CM262" s="37"/>
      <c r="CN262" s="37"/>
      <c r="CO262" s="37"/>
      <c r="CP262" s="37"/>
      <c r="CQ262" s="37"/>
      <c r="CR262" s="37"/>
      <c r="CS262" s="37"/>
      <c r="CT262" s="37"/>
      <c r="CU262" s="37"/>
      <c r="CV262" s="37"/>
      <c r="CW262" s="37"/>
      <c r="CX262" s="37"/>
      <c r="CY262" s="37"/>
      <c r="CZ262" s="37"/>
      <c r="DA262" s="37"/>
      <c r="DB262" s="37"/>
      <c r="DC262" s="37"/>
      <c r="DD262" s="37"/>
      <c r="DE262" s="37"/>
      <c r="DF262" s="37"/>
      <c r="DG262" s="37"/>
      <c r="DH262" s="37"/>
      <c r="DI262" s="37"/>
      <c r="DJ262" s="37"/>
      <c r="DK262" s="37"/>
      <c r="DL262" s="37"/>
      <c r="DM262" s="37"/>
      <c r="DN262" s="37"/>
      <c r="DO262" s="37"/>
      <c r="DP262" s="37"/>
      <c r="DQ262" s="37"/>
      <c r="DR262" s="37"/>
      <c r="DS262" s="37"/>
      <c r="DT262" s="37"/>
      <c r="DU262" s="37"/>
      <c r="DV262" s="37"/>
      <c r="DW262" s="37"/>
      <c r="DX262" s="37"/>
      <c r="DY262" s="37"/>
      <c r="DZ262" s="37"/>
      <c r="EA262" s="37"/>
      <c r="EB262" s="37"/>
      <c r="EC262" s="37"/>
      <c r="ED262" s="37"/>
      <c r="EE262" s="37"/>
      <c r="EF262" s="37"/>
      <c r="EG262" s="37"/>
      <c r="EH262" s="37"/>
      <c r="EI262" s="37"/>
      <c r="EJ262" s="37"/>
      <c r="EK262" s="37"/>
      <c r="EL262" s="37"/>
      <c r="EM262" s="37"/>
      <c r="EN262" s="37"/>
    </row>
    <row r="263" spans="1:144" s="34" customFormat="1">
      <c r="A263" s="46">
        <v>13</v>
      </c>
      <c r="B263" s="114" t="s">
        <v>22</v>
      </c>
      <c r="C263" s="143"/>
      <c r="D263" s="115">
        <f t="shared" ref="D263:P263" si="99">D261+D259+D257+D251+D247+D245</f>
        <v>37463385.611301802</v>
      </c>
      <c r="E263" s="115">
        <f t="shared" si="99"/>
        <v>25960091.498691902</v>
      </c>
      <c r="F263" s="115">
        <f t="shared" si="99"/>
        <v>40552443.607018247</v>
      </c>
      <c r="G263" s="115">
        <f t="shared" si="99"/>
        <v>-5723567.5192728639</v>
      </c>
      <c r="H263" s="115">
        <f t="shared" si="99"/>
        <v>313198.36227703094</v>
      </c>
      <c r="I263" s="115">
        <f t="shared" si="99"/>
        <v>-6139160.9969217051</v>
      </c>
      <c r="J263" s="115">
        <f t="shared" si="99"/>
        <v>6177994.7983418144</v>
      </c>
      <c r="K263" s="115">
        <f t="shared" si="99"/>
        <v>-27522655.031448513</v>
      </c>
      <c r="L263" s="115">
        <f t="shared" si="99"/>
        <v>-9724887.8827278875</v>
      </c>
      <c r="M263" s="115">
        <f t="shared" si="99"/>
        <v>-53070765.160054006</v>
      </c>
      <c r="N263" s="115">
        <f t="shared" si="99"/>
        <v>-44437167.004741907</v>
      </c>
      <c r="O263" s="115">
        <f t="shared" si="99"/>
        <v>0</v>
      </c>
      <c r="P263" s="115">
        <f t="shared" si="99"/>
        <v>-36151089.717536122</v>
      </c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  <c r="BM263" s="37"/>
      <c r="BN263" s="37"/>
      <c r="BO263" s="37"/>
      <c r="BP263" s="37"/>
      <c r="BQ263" s="37"/>
      <c r="BR263" s="37"/>
      <c r="BS263" s="37"/>
      <c r="BT263" s="37"/>
      <c r="BU263" s="37"/>
      <c r="BV263" s="37"/>
      <c r="BW263" s="37"/>
      <c r="BX263" s="37"/>
      <c r="BY263" s="37"/>
      <c r="BZ263" s="37"/>
      <c r="CA263" s="37"/>
      <c r="CB263" s="37"/>
      <c r="CC263" s="37"/>
      <c r="CD263" s="37"/>
      <c r="CE263" s="37"/>
      <c r="CF263" s="37"/>
      <c r="CG263" s="37"/>
      <c r="CH263" s="37"/>
      <c r="CI263" s="37"/>
      <c r="CJ263" s="37"/>
      <c r="CK263" s="37"/>
      <c r="CL263" s="37"/>
      <c r="CM263" s="37"/>
      <c r="CN263" s="37"/>
      <c r="CO263" s="37"/>
      <c r="CP263" s="37"/>
      <c r="CQ263" s="37"/>
      <c r="CR263" s="37"/>
      <c r="CS263" s="37"/>
      <c r="CT263" s="37"/>
      <c r="CU263" s="37"/>
      <c r="CV263" s="37"/>
      <c r="CW263" s="37"/>
      <c r="CX263" s="37"/>
      <c r="CY263" s="37"/>
      <c r="CZ263" s="37"/>
      <c r="DA263" s="37"/>
      <c r="DB263" s="37"/>
      <c r="DC263" s="37"/>
      <c r="DD263" s="37"/>
      <c r="DE263" s="37"/>
      <c r="DF263" s="37"/>
      <c r="DG263" s="37"/>
      <c r="DH263" s="37"/>
      <c r="DI263" s="37"/>
      <c r="DJ263" s="37"/>
      <c r="DK263" s="37"/>
      <c r="DL263" s="37"/>
      <c r="DM263" s="37"/>
      <c r="DN263" s="37"/>
      <c r="DO263" s="37"/>
      <c r="DP263" s="37"/>
      <c r="DQ263" s="37"/>
      <c r="DR263" s="37"/>
      <c r="DS263" s="37"/>
      <c r="DT263" s="37"/>
      <c r="DU263" s="37"/>
      <c r="DV263" s="37"/>
      <c r="DW263" s="37"/>
      <c r="DX263" s="37"/>
      <c r="DY263" s="37"/>
      <c r="DZ263" s="37"/>
      <c r="EA263" s="37"/>
      <c r="EB263" s="37"/>
      <c r="EC263" s="37"/>
      <c r="ED263" s="37"/>
      <c r="EE263" s="37"/>
      <c r="EF263" s="37"/>
      <c r="EG263" s="37"/>
      <c r="EH263" s="37"/>
      <c r="EI263" s="37"/>
      <c r="EJ263" s="37"/>
      <c r="EK263" s="37"/>
      <c r="EL263" s="37"/>
      <c r="EM263" s="37"/>
      <c r="EN263" s="37"/>
    </row>
    <row r="264" spans="1:144" s="34" customFormat="1">
      <c r="B264" s="143"/>
      <c r="C264" s="143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93"/>
      <c r="O264" s="93"/>
      <c r="P264" s="76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7"/>
      <c r="BN264" s="37"/>
      <c r="BO264" s="37"/>
      <c r="BP264" s="37"/>
      <c r="BQ264" s="37"/>
      <c r="BR264" s="37"/>
      <c r="BS264" s="37"/>
      <c r="BT264" s="37"/>
      <c r="BU264" s="37"/>
      <c r="BV264" s="37"/>
      <c r="BW264" s="37"/>
      <c r="BX264" s="37"/>
      <c r="BY264" s="37"/>
      <c r="BZ264" s="37"/>
      <c r="CA264" s="37"/>
      <c r="CB264" s="37"/>
      <c r="CC264" s="37"/>
      <c r="CD264" s="37"/>
      <c r="CE264" s="37"/>
      <c r="CF264" s="37"/>
      <c r="CG264" s="37"/>
      <c r="CH264" s="37"/>
      <c r="CI264" s="37"/>
      <c r="CJ264" s="37"/>
      <c r="CK264" s="37"/>
      <c r="CL264" s="37"/>
      <c r="CM264" s="37"/>
      <c r="CN264" s="37"/>
      <c r="CO264" s="37"/>
      <c r="CP264" s="37"/>
      <c r="CQ264" s="37"/>
      <c r="CR264" s="37"/>
      <c r="CS264" s="37"/>
      <c r="CT264" s="37"/>
      <c r="CU264" s="37"/>
      <c r="CV264" s="37"/>
      <c r="CW264" s="37"/>
      <c r="CX264" s="37"/>
      <c r="CY264" s="37"/>
      <c r="CZ264" s="37"/>
      <c r="DA264" s="37"/>
      <c r="DB264" s="37"/>
      <c r="DC264" s="37"/>
      <c r="DD264" s="37"/>
      <c r="DE264" s="37"/>
      <c r="DF264" s="37"/>
      <c r="DG264" s="37"/>
      <c r="DH264" s="37"/>
      <c r="DI264" s="37"/>
      <c r="DJ264" s="37"/>
      <c r="DK264" s="37"/>
      <c r="DL264" s="37"/>
      <c r="DM264" s="37"/>
      <c r="DN264" s="37"/>
      <c r="DO264" s="37"/>
      <c r="DP264" s="37"/>
      <c r="DQ264" s="37"/>
      <c r="DR264" s="37"/>
      <c r="DS264" s="37"/>
      <c r="DT264" s="37"/>
      <c r="DU264" s="37"/>
      <c r="DV264" s="37"/>
      <c r="DW264" s="37"/>
      <c r="DX264" s="37"/>
      <c r="DY264" s="37"/>
      <c r="DZ264" s="37"/>
      <c r="EA264" s="37"/>
      <c r="EB264" s="37"/>
      <c r="EC264" s="37"/>
      <c r="ED264" s="37"/>
      <c r="EE264" s="37"/>
      <c r="EF264" s="37"/>
      <c r="EG264" s="37"/>
      <c r="EH264" s="37"/>
      <c r="EI264" s="37"/>
      <c r="EJ264" s="37"/>
      <c r="EK264" s="37"/>
      <c r="EL264" s="37"/>
      <c r="EM264" s="37"/>
      <c r="EN264" s="37"/>
    </row>
    <row r="265" spans="1:144" s="34" customFormat="1">
      <c r="A265" s="46">
        <v>14</v>
      </c>
      <c r="B265" s="89" t="s">
        <v>69</v>
      </c>
      <c r="C265" s="74" t="s">
        <v>5</v>
      </c>
      <c r="D265" s="71">
        <f t="shared" ref="D265:O265" si="100">D98*$R$173</f>
        <v>0</v>
      </c>
      <c r="E265" s="71">
        <f t="shared" si="100"/>
        <v>0</v>
      </c>
      <c r="F265" s="71">
        <f t="shared" si="100"/>
        <v>0</v>
      </c>
      <c r="G265" s="71">
        <f t="shared" si="100"/>
        <v>0</v>
      </c>
      <c r="H265" s="71">
        <f t="shared" si="100"/>
        <v>0</v>
      </c>
      <c r="I265" s="71">
        <f t="shared" si="100"/>
        <v>0</v>
      </c>
      <c r="J265" s="71">
        <f t="shared" si="100"/>
        <v>0</v>
      </c>
      <c r="K265" s="71">
        <f t="shared" si="100"/>
        <v>0</v>
      </c>
      <c r="L265" s="71">
        <f t="shared" si="100"/>
        <v>0</v>
      </c>
      <c r="M265" s="71">
        <f t="shared" si="100"/>
        <v>0</v>
      </c>
      <c r="N265" s="71">
        <f t="shared" si="100"/>
        <v>0</v>
      </c>
      <c r="O265" s="71">
        <f t="shared" si="100"/>
        <v>0</v>
      </c>
      <c r="P265" s="76">
        <f>SUM(D265:O265)</f>
        <v>0</v>
      </c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  <c r="BI265" s="37"/>
      <c r="BJ265" s="37"/>
      <c r="BK265" s="37"/>
      <c r="BL265" s="37"/>
      <c r="BM265" s="37"/>
      <c r="BN265" s="37"/>
      <c r="BO265" s="37"/>
      <c r="BP265" s="37"/>
      <c r="BQ265" s="37"/>
      <c r="BR265" s="37"/>
      <c r="BS265" s="37"/>
      <c r="BT265" s="37"/>
      <c r="BU265" s="37"/>
      <c r="BV265" s="37"/>
      <c r="BW265" s="37"/>
      <c r="BX265" s="37"/>
      <c r="BY265" s="37"/>
      <c r="BZ265" s="37"/>
      <c r="CA265" s="37"/>
      <c r="CB265" s="37"/>
      <c r="CC265" s="37"/>
      <c r="CD265" s="37"/>
      <c r="CE265" s="37"/>
      <c r="CF265" s="37"/>
      <c r="CG265" s="37"/>
      <c r="CH265" s="37"/>
      <c r="CI265" s="37"/>
      <c r="CJ265" s="37"/>
      <c r="CK265" s="37"/>
      <c r="CL265" s="37"/>
      <c r="CM265" s="37"/>
      <c r="CN265" s="37"/>
      <c r="CO265" s="37"/>
      <c r="CP265" s="37"/>
      <c r="CQ265" s="37"/>
      <c r="CR265" s="37"/>
      <c r="CS265" s="37"/>
      <c r="CT265" s="37"/>
      <c r="CU265" s="37"/>
      <c r="CV265" s="37"/>
      <c r="CW265" s="37"/>
      <c r="CX265" s="37"/>
      <c r="CY265" s="37"/>
      <c r="CZ265" s="37"/>
      <c r="DA265" s="37"/>
      <c r="DB265" s="37"/>
      <c r="DC265" s="37"/>
      <c r="DD265" s="37"/>
      <c r="DE265" s="37"/>
      <c r="DF265" s="37"/>
      <c r="DG265" s="37"/>
      <c r="DH265" s="37"/>
      <c r="DI265" s="37"/>
      <c r="DJ265" s="37"/>
      <c r="DK265" s="37"/>
      <c r="DL265" s="37"/>
      <c r="DM265" s="37"/>
      <c r="DN265" s="37"/>
      <c r="DO265" s="37"/>
      <c r="DP265" s="37"/>
      <c r="DQ265" s="37"/>
      <c r="DR265" s="37"/>
      <c r="DS265" s="37"/>
      <c r="DT265" s="37"/>
      <c r="DU265" s="37"/>
      <c r="DV265" s="37"/>
      <c r="DW265" s="37"/>
      <c r="DX265" s="37"/>
      <c r="DY265" s="37"/>
      <c r="DZ265" s="37"/>
      <c r="EA265" s="37"/>
      <c r="EB265" s="37"/>
      <c r="EC265" s="37"/>
      <c r="ED265" s="37"/>
      <c r="EE265" s="37"/>
      <c r="EF265" s="37"/>
      <c r="EG265" s="37"/>
      <c r="EH265" s="37"/>
      <c r="EI265" s="37"/>
      <c r="EJ265" s="37"/>
      <c r="EK265" s="37"/>
      <c r="EL265" s="37"/>
      <c r="EM265" s="37"/>
      <c r="EN265" s="37"/>
    </row>
    <row r="266" spans="1:144" s="34" customFormat="1">
      <c r="A266" s="46">
        <v>15</v>
      </c>
      <c r="B266" s="89" t="s">
        <v>70</v>
      </c>
      <c r="C266" s="74" t="s">
        <v>6</v>
      </c>
      <c r="D266" s="72">
        <f t="shared" ref="D266:O266" si="101">D99*$R$174</f>
        <v>0</v>
      </c>
      <c r="E266" s="72">
        <f t="shared" si="101"/>
        <v>0</v>
      </c>
      <c r="F266" s="72">
        <f t="shared" si="101"/>
        <v>0</v>
      </c>
      <c r="G266" s="72">
        <f t="shared" si="101"/>
        <v>0</v>
      </c>
      <c r="H266" s="72">
        <f t="shared" si="101"/>
        <v>0</v>
      </c>
      <c r="I266" s="72">
        <f t="shared" si="101"/>
        <v>0</v>
      </c>
      <c r="J266" s="72">
        <f t="shared" si="101"/>
        <v>0</v>
      </c>
      <c r="K266" s="72">
        <f t="shared" si="101"/>
        <v>0</v>
      </c>
      <c r="L266" s="72">
        <f t="shared" si="101"/>
        <v>0</v>
      </c>
      <c r="M266" s="72">
        <f t="shared" si="101"/>
        <v>0</v>
      </c>
      <c r="N266" s="72">
        <f t="shared" si="101"/>
        <v>0</v>
      </c>
      <c r="O266" s="72">
        <f t="shared" si="101"/>
        <v>0</v>
      </c>
      <c r="P266" s="98">
        <f>SUM(D266:O266)</f>
        <v>0</v>
      </c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  <c r="BI266" s="37"/>
      <c r="BJ266" s="37"/>
      <c r="BK266" s="37"/>
      <c r="BL266" s="37"/>
      <c r="BM266" s="37"/>
      <c r="BN266" s="37"/>
      <c r="BO266" s="37"/>
      <c r="BP266" s="37"/>
      <c r="BQ266" s="37"/>
      <c r="BR266" s="37"/>
      <c r="BS266" s="37"/>
      <c r="BT266" s="37"/>
      <c r="BU266" s="37"/>
      <c r="BV266" s="37"/>
      <c r="BW266" s="37"/>
      <c r="BX266" s="37"/>
      <c r="BY266" s="37"/>
      <c r="BZ266" s="37"/>
      <c r="CA266" s="37"/>
      <c r="CB266" s="37"/>
      <c r="CC266" s="37"/>
      <c r="CD266" s="37"/>
      <c r="CE266" s="37"/>
      <c r="CF266" s="37"/>
      <c r="CG266" s="37"/>
      <c r="CH266" s="37"/>
      <c r="CI266" s="37"/>
      <c r="CJ266" s="37"/>
      <c r="CK266" s="37"/>
      <c r="CL266" s="37"/>
      <c r="CM266" s="37"/>
      <c r="CN266" s="37"/>
      <c r="CO266" s="37"/>
      <c r="CP266" s="37"/>
      <c r="CQ266" s="37"/>
      <c r="CR266" s="37"/>
      <c r="CS266" s="37"/>
      <c r="CT266" s="37"/>
      <c r="CU266" s="37"/>
      <c r="CV266" s="37"/>
      <c r="CW266" s="37"/>
      <c r="CX266" s="37"/>
      <c r="CY266" s="37"/>
      <c r="CZ266" s="37"/>
      <c r="DA266" s="37"/>
      <c r="DB266" s="37"/>
      <c r="DC266" s="37"/>
      <c r="DD266" s="37"/>
      <c r="DE266" s="37"/>
      <c r="DF266" s="37"/>
      <c r="DG266" s="37"/>
      <c r="DH266" s="37"/>
      <c r="DI266" s="37"/>
      <c r="DJ266" s="37"/>
      <c r="DK266" s="37"/>
      <c r="DL266" s="37"/>
      <c r="DM266" s="37"/>
      <c r="DN266" s="37"/>
      <c r="DO266" s="37"/>
      <c r="DP266" s="37"/>
      <c r="DQ266" s="37"/>
      <c r="DR266" s="37"/>
      <c r="DS266" s="37"/>
      <c r="DT266" s="37"/>
      <c r="DU266" s="37"/>
      <c r="DV266" s="37"/>
      <c r="DW266" s="37"/>
      <c r="DX266" s="37"/>
      <c r="DY266" s="37"/>
      <c r="DZ266" s="37"/>
      <c r="EA266" s="37"/>
      <c r="EB266" s="37"/>
      <c r="EC266" s="37"/>
      <c r="ED266" s="37"/>
      <c r="EE266" s="37"/>
      <c r="EF266" s="37"/>
      <c r="EG266" s="37"/>
      <c r="EH266" s="37"/>
      <c r="EI266" s="37"/>
      <c r="EJ266" s="37"/>
      <c r="EK266" s="37"/>
      <c r="EL266" s="37"/>
      <c r="EM266" s="37"/>
      <c r="EN266" s="37"/>
    </row>
    <row r="267" spans="1:144" s="34" customFormat="1">
      <c r="A267" s="46">
        <v>16</v>
      </c>
      <c r="B267" s="114" t="s">
        <v>23</v>
      </c>
      <c r="C267" s="145"/>
      <c r="D267" s="100">
        <f t="shared" ref="D267:P267" si="102">SUM(D265:D266)</f>
        <v>0</v>
      </c>
      <c r="E267" s="100">
        <f t="shared" si="102"/>
        <v>0</v>
      </c>
      <c r="F267" s="100">
        <f t="shared" si="102"/>
        <v>0</v>
      </c>
      <c r="G267" s="100">
        <f t="shared" si="102"/>
        <v>0</v>
      </c>
      <c r="H267" s="100">
        <f t="shared" si="102"/>
        <v>0</v>
      </c>
      <c r="I267" s="100">
        <f t="shared" si="102"/>
        <v>0</v>
      </c>
      <c r="J267" s="100">
        <f t="shared" si="102"/>
        <v>0</v>
      </c>
      <c r="K267" s="100">
        <f t="shared" si="102"/>
        <v>0</v>
      </c>
      <c r="L267" s="100">
        <f t="shared" si="102"/>
        <v>0</v>
      </c>
      <c r="M267" s="100">
        <f t="shared" si="102"/>
        <v>0</v>
      </c>
      <c r="N267" s="93">
        <f t="shared" si="102"/>
        <v>0</v>
      </c>
      <c r="O267" s="93">
        <f t="shared" si="102"/>
        <v>0</v>
      </c>
      <c r="P267" s="93">
        <f t="shared" si="102"/>
        <v>0</v>
      </c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  <c r="BM267" s="37"/>
      <c r="BN267" s="37"/>
      <c r="BO267" s="37"/>
      <c r="BP267" s="37"/>
      <c r="BQ267" s="37"/>
      <c r="BR267" s="37"/>
      <c r="BS267" s="37"/>
      <c r="BT267" s="37"/>
      <c r="BU267" s="37"/>
      <c r="BV267" s="37"/>
      <c r="BW267" s="37"/>
      <c r="BX267" s="37"/>
      <c r="BY267" s="37"/>
      <c r="BZ267" s="37"/>
      <c r="CA267" s="37"/>
      <c r="CB267" s="37"/>
      <c r="CC267" s="37"/>
      <c r="CD267" s="37"/>
      <c r="CE267" s="37"/>
      <c r="CF267" s="37"/>
      <c r="CG267" s="37"/>
      <c r="CH267" s="37"/>
      <c r="CI267" s="37"/>
      <c r="CJ267" s="37"/>
      <c r="CK267" s="37"/>
      <c r="CL267" s="37"/>
      <c r="CM267" s="37"/>
      <c r="CN267" s="37"/>
      <c r="CO267" s="37"/>
      <c r="CP267" s="37"/>
      <c r="CQ267" s="37"/>
      <c r="CR267" s="37"/>
      <c r="CS267" s="37"/>
      <c r="CT267" s="37"/>
      <c r="CU267" s="37"/>
      <c r="CV267" s="37"/>
      <c r="CW267" s="37"/>
      <c r="CX267" s="37"/>
      <c r="CY267" s="37"/>
      <c r="CZ267" s="37"/>
      <c r="DA267" s="37"/>
      <c r="DB267" s="37"/>
      <c r="DC267" s="37"/>
      <c r="DD267" s="37"/>
      <c r="DE267" s="37"/>
      <c r="DF267" s="37"/>
      <c r="DG267" s="37"/>
      <c r="DH267" s="37"/>
      <c r="DI267" s="37"/>
      <c r="DJ267" s="37"/>
      <c r="DK267" s="37"/>
      <c r="DL267" s="37"/>
      <c r="DM267" s="37"/>
      <c r="DN267" s="37"/>
      <c r="DO267" s="37"/>
      <c r="DP267" s="37"/>
      <c r="DQ267" s="37"/>
      <c r="DR267" s="37"/>
      <c r="DS267" s="37"/>
      <c r="DT267" s="37"/>
      <c r="DU267" s="37"/>
      <c r="DV267" s="37"/>
      <c r="DW267" s="37"/>
      <c r="DX267" s="37"/>
      <c r="DY267" s="37"/>
      <c r="DZ267" s="37"/>
      <c r="EA267" s="37"/>
      <c r="EB267" s="37"/>
      <c r="EC267" s="37"/>
      <c r="ED267" s="37"/>
      <c r="EE267" s="37"/>
      <c r="EF267" s="37"/>
      <c r="EG267" s="37"/>
      <c r="EH267" s="37"/>
      <c r="EI267" s="37"/>
      <c r="EJ267" s="37"/>
      <c r="EK267" s="37"/>
      <c r="EL267" s="37"/>
      <c r="EM267" s="37"/>
      <c r="EN267" s="37"/>
    </row>
    <row r="268" spans="1:144" s="34" customFormat="1">
      <c r="A268" s="46"/>
      <c r="B268" s="78"/>
      <c r="C268" s="116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71"/>
      <c r="O268" s="71"/>
      <c r="P268" s="76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  <c r="BM268" s="37"/>
      <c r="BN268" s="37"/>
      <c r="BO268" s="37"/>
      <c r="BP268" s="37"/>
      <c r="BQ268" s="37"/>
      <c r="BR268" s="37"/>
      <c r="BS268" s="37"/>
      <c r="BT268" s="37"/>
      <c r="BU268" s="37"/>
      <c r="BV268" s="37"/>
      <c r="BW268" s="37"/>
      <c r="BX268" s="37"/>
      <c r="BY268" s="37"/>
      <c r="BZ268" s="37"/>
      <c r="CA268" s="37"/>
      <c r="CB268" s="37"/>
      <c r="CC268" s="37"/>
      <c r="CD268" s="37"/>
      <c r="CE268" s="37"/>
      <c r="CF268" s="37"/>
      <c r="CG268" s="37"/>
      <c r="CH268" s="37"/>
      <c r="CI268" s="37"/>
      <c r="CJ268" s="37"/>
      <c r="CK268" s="37"/>
      <c r="CL268" s="37"/>
      <c r="CM268" s="37"/>
      <c r="CN268" s="37"/>
      <c r="CO268" s="37"/>
      <c r="CP268" s="37"/>
      <c r="CQ268" s="37"/>
      <c r="CR268" s="37"/>
      <c r="CS268" s="37"/>
      <c r="CT268" s="37"/>
      <c r="CU268" s="37"/>
      <c r="CV268" s="37"/>
      <c r="CW268" s="37"/>
      <c r="CX268" s="37"/>
      <c r="CY268" s="37"/>
      <c r="CZ268" s="37"/>
      <c r="DA268" s="37"/>
      <c r="DB268" s="37"/>
      <c r="DC268" s="37"/>
      <c r="DD268" s="37"/>
      <c r="DE268" s="37"/>
      <c r="DF268" s="37"/>
      <c r="DG268" s="37"/>
      <c r="DH268" s="37"/>
      <c r="DI268" s="37"/>
      <c r="DJ268" s="37"/>
      <c r="DK268" s="37"/>
      <c r="DL268" s="37"/>
      <c r="DM268" s="37"/>
      <c r="DN268" s="37"/>
      <c r="DO268" s="37"/>
      <c r="DP268" s="37"/>
      <c r="DQ268" s="37"/>
      <c r="DR268" s="37"/>
      <c r="DS268" s="37"/>
      <c r="DT268" s="37"/>
      <c r="DU268" s="37"/>
      <c r="DV268" s="37"/>
      <c r="DW268" s="37"/>
      <c r="DX268" s="37"/>
      <c r="DY268" s="37"/>
      <c r="DZ268" s="37"/>
      <c r="EA268" s="37"/>
      <c r="EB268" s="37"/>
      <c r="EC268" s="37"/>
      <c r="ED268" s="37"/>
      <c r="EE268" s="37"/>
      <c r="EF268" s="37"/>
      <c r="EG268" s="37"/>
      <c r="EH268" s="37"/>
      <c r="EI268" s="37"/>
      <c r="EJ268" s="37"/>
      <c r="EK268" s="37"/>
      <c r="EL268" s="37"/>
      <c r="EM268" s="37"/>
      <c r="EN268" s="37"/>
    </row>
    <row r="269" spans="1:144" s="34" customFormat="1" ht="12" thickBot="1">
      <c r="A269" s="46">
        <v>17</v>
      </c>
      <c r="B269" s="147" t="s">
        <v>92</v>
      </c>
      <c r="C269" s="145"/>
      <c r="D269" s="148">
        <f t="shared" ref="D269:P269" si="103">D267+D263</f>
        <v>37463385.611301802</v>
      </c>
      <c r="E269" s="148">
        <f t="shared" si="103"/>
        <v>25960091.498691902</v>
      </c>
      <c r="F269" s="148">
        <f t="shared" si="103"/>
        <v>40552443.607018247</v>
      </c>
      <c r="G269" s="148">
        <f t="shared" si="103"/>
        <v>-5723567.5192728639</v>
      </c>
      <c r="H269" s="148">
        <f t="shared" si="103"/>
        <v>313198.36227703094</v>
      </c>
      <c r="I269" s="148">
        <f t="shared" si="103"/>
        <v>-6139160.9969217051</v>
      </c>
      <c r="J269" s="148">
        <f t="shared" si="103"/>
        <v>6177994.7983418144</v>
      </c>
      <c r="K269" s="148">
        <f t="shared" si="103"/>
        <v>-27522655.031448513</v>
      </c>
      <c r="L269" s="148">
        <f t="shared" si="103"/>
        <v>-9724887.8827278875</v>
      </c>
      <c r="M269" s="148">
        <f t="shared" si="103"/>
        <v>-53070765.160054006</v>
      </c>
      <c r="N269" s="148">
        <f t="shared" si="103"/>
        <v>-44437167.004741907</v>
      </c>
      <c r="O269" s="148">
        <f t="shared" si="103"/>
        <v>0</v>
      </c>
      <c r="P269" s="148">
        <f t="shared" si="103"/>
        <v>-36151089.717536122</v>
      </c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  <c r="BI269" s="37"/>
      <c r="BJ269" s="37"/>
      <c r="BK269" s="37"/>
      <c r="BL269" s="37"/>
      <c r="BM269" s="37"/>
      <c r="BN269" s="37"/>
      <c r="BO269" s="37"/>
      <c r="BP269" s="37"/>
      <c r="BQ269" s="37"/>
      <c r="BR269" s="37"/>
      <c r="BS269" s="37"/>
      <c r="BT269" s="37"/>
      <c r="BU269" s="37"/>
      <c r="BV269" s="37"/>
      <c r="BW269" s="37"/>
      <c r="BX269" s="37"/>
      <c r="BY269" s="37"/>
      <c r="BZ269" s="37"/>
      <c r="CA269" s="37"/>
      <c r="CB269" s="37"/>
      <c r="CC269" s="37"/>
      <c r="CD269" s="37"/>
      <c r="CE269" s="37"/>
      <c r="CF269" s="37"/>
      <c r="CG269" s="37"/>
      <c r="CH269" s="37"/>
      <c r="CI269" s="37"/>
      <c r="CJ269" s="37"/>
      <c r="CK269" s="37"/>
      <c r="CL269" s="37"/>
      <c r="CM269" s="37"/>
      <c r="CN269" s="37"/>
      <c r="CO269" s="37"/>
      <c r="CP269" s="37"/>
      <c r="CQ269" s="37"/>
      <c r="CR269" s="37"/>
      <c r="CS269" s="37"/>
      <c r="CT269" s="37"/>
      <c r="CU269" s="37"/>
      <c r="CV269" s="37"/>
      <c r="CW269" s="37"/>
      <c r="CX269" s="37"/>
      <c r="CY269" s="37"/>
      <c r="CZ269" s="37"/>
      <c r="DA269" s="37"/>
      <c r="DB269" s="37"/>
      <c r="DC269" s="37"/>
      <c r="DD269" s="37"/>
      <c r="DE269" s="37"/>
      <c r="DF269" s="37"/>
      <c r="DG269" s="37"/>
      <c r="DH269" s="37"/>
      <c r="DI269" s="37"/>
      <c r="DJ269" s="37"/>
      <c r="DK269" s="37"/>
      <c r="DL269" s="37"/>
      <c r="DM269" s="37"/>
      <c r="DN269" s="37"/>
      <c r="DO269" s="37"/>
      <c r="DP269" s="37"/>
      <c r="DQ269" s="37"/>
      <c r="DR269" s="37"/>
      <c r="DS269" s="37"/>
      <c r="DT269" s="37"/>
      <c r="DU269" s="37"/>
      <c r="DV269" s="37"/>
      <c r="DW269" s="37"/>
      <c r="DX269" s="37"/>
      <c r="DY269" s="37"/>
      <c r="DZ269" s="37"/>
      <c r="EA269" s="37"/>
      <c r="EB269" s="37"/>
      <c r="EC269" s="37"/>
      <c r="ED269" s="37"/>
      <c r="EE269" s="37"/>
      <c r="EF269" s="37"/>
      <c r="EG269" s="37"/>
      <c r="EH269" s="37"/>
      <c r="EI269" s="37"/>
      <c r="EJ269" s="37"/>
      <c r="EK269" s="37"/>
      <c r="EL269" s="37"/>
      <c r="EM269" s="37"/>
      <c r="EN269" s="37"/>
    </row>
    <row r="270" spans="1:144" customFormat="1" ht="13.5" thickTop="1"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</row>
    <row r="271" spans="1:144" customFormat="1" ht="12.75"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</row>
    <row r="272" spans="1:144" customFormat="1" ht="12.75"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</row>
    <row r="273" spans="1:145" ht="9.75" customHeight="1">
      <c r="B273" s="366" t="str">
        <f>B7</f>
        <v>AEP TEXAS</v>
      </c>
      <c r="C273" s="366"/>
      <c r="D273" s="366"/>
      <c r="E273" s="366"/>
      <c r="F273" s="366"/>
      <c r="G273" s="366"/>
      <c r="H273" s="366"/>
      <c r="I273" s="366"/>
      <c r="J273" s="366"/>
      <c r="K273" s="366"/>
      <c r="L273" s="366"/>
      <c r="M273" s="366"/>
      <c r="N273" s="366"/>
      <c r="O273" s="366"/>
      <c r="P273" s="105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</row>
    <row r="274" spans="1:145">
      <c r="B274" s="366" t="s">
        <v>57</v>
      </c>
      <c r="C274" s="366"/>
      <c r="D274" s="366"/>
      <c r="E274" s="366"/>
      <c r="F274" s="366"/>
      <c r="G274" s="366"/>
      <c r="H274" s="366"/>
      <c r="I274" s="366"/>
      <c r="J274" s="366"/>
      <c r="K274" s="366"/>
      <c r="L274" s="366"/>
      <c r="M274" s="366"/>
      <c r="N274" s="366"/>
      <c r="O274" s="366"/>
      <c r="P274" s="88" t="s">
        <v>1</v>
      </c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</row>
    <row r="275" spans="1:145">
      <c r="B275" s="366" t="str">
        <f>G9</f>
        <v>FOR TEST YEAR ENDED SEPTEMBER 30, 2023</v>
      </c>
      <c r="C275" s="366"/>
      <c r="D275" s="366"/>
      <c r="E275" s="366"/>
      <c r="F275" s="366"/>
      <c r="G275" s="366"/>
      <c r="H275" s="366"/>
      <c r="I275" s="366"/>
      <c r="J275" s="366"/>
      <c r="K275" s="366"/>
      <c r="L275" s="366"/>
      <c r="M275" s="366"/>
      <c r="N275" s="366"/>
      <c r="O275" s="366"/>
      <c r="P275" s="87" t="s">
        <v>1</v>
      </c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</row>
    <row r="276" spans="1:145" customFormat="1" ht="12.75"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</row>
    <row r="277" spans="1:145">
      <c r="B277" s="106"/>
      <c r="C277" s="105"/>
      <c r="D277" s="107"/>
      <c r="E277" s="108"/>
      <c r="F277" s="108"/>
      <c r="G277" s="107"/>
      <c r="H277" s="94"/>
      <c r="I277" s="94"/>
      <c r="J277" s="94"/>
      <c r="K277" s="94"/>
      <c r="L277" s="94"/>
      <c r="M277" s="94"/>
      <c r="N277" s="94"/>
      <c r="O277" s="71"/>
      <c r="P277" s="109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</row>
    <row r="278" spans="1:145">
      <c r="A278" s="18" t="s">
        <v>8</v>
      </c>
      <c r="B278" s="144" t="s">
        <v>0</v>
      </c>
      <c r="C278" s="144" t="s">
        <v>7</v>
      </c>
      <c r="D278" s="97" t="str">
        <f>+D12</f>
        <v>Oct-22</v>
      </c>
      <c r="E278" s="97" t="str">
        <f t="shared" ref="E278:O278" si="104">+E12</f>
        <v>Nov-22</v>
      </c>
      <c r="F278" s="97" t="str">
        <f t="shared" si="104"/>
        <v>Dec-22</v>
      </c>
      <c r="G278" s="97" t="str">
        <f t="shared" si="104"/>
        <v>Jan-23</v>
      </c>
      <c r="H278" s="97" t="str">
        <f t="shared" si="104"/>
        <v>Feb-23</v>
      </c>
      <c r="I278" s="97" t="str">
        <f t="shared" si="104"/>
        <v>Mar-23</v>
      </c>
      <c r="J278" s="97" t="str">
        <f t="shared" si="104"/>
        <v>Apr-23</v>
      </c>
      <c r="K278" s="97" t="str">
        <f t="shared" si="104"/>
        <v>May-23</v>
      </c>
      <c r="L278" s="97" t="str">
        <f t="shared" si="104"/>
        <v>Jun-23</v>
      </c>
      <c r="M278" s="97" t="str">
        <f t="shared" si="104"/>
        <v>Jul-23</v>
      </c>
      <c r="N278" s="97" t="str">
        <f t="shared" si="104"/>
        <v>Aug-23</v>
      </c>
      <c r="O278" s="97" t="str">
        <f t="shared" si="104"/>
        <v>Sep-23</v>
      </c>
      <c r="P278" s="110" t="s">
        <v>2</v>
      </c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</row>
    <row r="279" spans="1:145" s="34" customFormat="1">
      <c r="A279" s="46"/>
      <c r="B279" s="111"/>
      <c r="C279" s="112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37"/>
    </row>
    <row r="280" spans="1:145" s="34" customFormat="1">
      <c r="A280" s="46" t="s">
        <v>9</v>
      </c>
      <c r="B280" s="78" t="s">
        <v>17</v>
      </c>
      <c r="C280" s="85" t="s">
        <v>4</v>
      </c>
      <c r="D280" s="71">
        <f>D112*$R$172</f>
        <v>0</v>
      </c>
      <c r="E280" s="71">
        <f t="shared" ref="E280:O280" si="105">E112*$R$172</f>
        <v>0</v>
      </c>
      <c r="F280" s="71">
        <f t="shared" si="105"/>
        <v>0</v>
      </c>
      <c r="G280" s="71">
        <f t="shared" si="105"/>
        <v>0</v>
      </c>
      <c r="H280" s="71">
        <f t="shared" si="105"/>
        <v>0</v>
      </c>
      <c r="I280" s="71">
        <f t="shared" si="105"/>
        <v>0</v>
      </c>
      <c r="J280" s="71">
        <f t="shared" si="105"/>
        <v>0</v>
      </c>
      <c r="K280" s="71">
        <f t="shared" si="105"/>
        <v>0</v>
      </c>
      <c r="L280" s="71">
        <f t="shared" si="105"/>
        <v>0</v>
      </c>
      <c r="M280" s="71">
        <f t="shared" si="105"/>
        <v>0</v>
      </c>
      <c r="N280" s="71">
        <f t="shared" si="105"/>
        <v>0</v>
      </c>
      <c r="O280" s="71">
        <f t="shared" si="105"/>
        <v>0</v>
      </c>
      <c r="P280" s="76">
        <f>SUM(D280:O280)</f>
        <v>0</v>
      </c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  <c r="BB280" s="37"/>
      <c r="BC280" s="37"/>
      <c r="BD280" s="37"/>
      <c r="BE280" s="37"/>
      <c r="BF280" s="37"/>
      <c r="BG280" s="37"/>
      <c r="BH280" s="37"/>
      <c r="BI280" s="37"/>
      <c r="BJ280" s="37"/>
      <c r="BK280" s="37"/>
      <c r="BL280" s="37"/>
      <c r="BM280" s="37"/>
      <c r="BN280" s="37"/>
      <c r="BO280" s="37"/>
      <c r="BP280" s="37"/>
      <c r="BQ280" s="37"/>
      <c r="BR280" s="37"/>
      <c r="BS280" s="37"/>
      <c r="BT280" s="37"/>
      <c r="BU280" s="37"/>
      <c r="BV280" s="37"/>
      <c r="BW280" s="37"/>
      <c r="BX280" s="37"/>
      <c r="BY280" s="37"/>
      <c r="BZ280" s="37"/>
      <c r="CA280" s="37"/>
      <c r="CB280" s="37"/>
      <c r="CC280" s="37"/>
      <c r="CD280" s="37"/>
      <c r="CE280" s="37"/>
      <c r="CF280" s="37"/>
      <c r="CG280" s="37"/>
      <c r="CH280" s="37"/>
      <c r="CI280" s="37"/>
      <c r="CJ280" s="37"/>
      <c r="CK280" s="37"/>
      <c r="CL280" s="37"/>
      <c r="CM280" s="37"/>
      <c r="CN280" s="37"/>
      <c r="CO280" s="37"/>
      <c r="CP280" s="37"/>
      <c r="CQ280" s="37"/>
      <c r="CR280" s="37"/>
      <c r="CS280" s="37"/>
      <c r="CT280" s="37"/>
      <c r="CU280" s="37"/>
      <c r="CV280" s="37"/>
      <c r="CW280" s="37"/>
      <c r="CX280" s="37"/>
      <c r="CY280" s="37"/>
      <c r="CZ280" s="37"/>
      <c r="DA280" s="37"/>
      <c r="DB280" s="37"/>
      <c r="DC280" s="37"/>
      <c r="DD280" s="37"/>
      <c r="DE280" s="37"/>
      <c r="DF280" s="37"/>
      <c r="DG280" s="37"/>
      <c r="DH280" s="37"/>
      <c r="DI280" s="37"/>
      <c r="DJ280" s="37"/>
      <c r="DK280" s="37"/>
      <c r="DL280" s="37"/>
      <c r="DM280" s="37"/>
      <c r="DN280" s="37"/>
      <c r="DO280" s="37"/>
      <c r="DP280" s="37"/>
      <c r="DQ280" s="37"/>
      <c r="DR280" s="37"/>
      <c r="DS280" s="37"/>
      <c r="DT280" s="37"/>
      <c r="DU280" s="37"/>
      <c r="DV280" s="37"/>
      <c r="DW280" s="37"/>
      <c r="DX280" s="37"/>
      <c r="DY280" s="37"/>
      <c r="DZ280" s="37"/>
      <c r="EA280" s="37"/>
      <c r="EB280" s="37"/>
      <c r="EC280" s="37"/>
      <c r="ED280" s="37"/>
      <c r="EE280" s="37"/>
      <c r="EF280" s="37"/>
      <c r="EG280" s="37"/>
      <c r="EH280" s="37"/>
      <c r="EI280" s="37"/>
      <c r="EJ280" s="37"/>
      <c r="EK280" s="37"/>
      <c r="EL280" s="37"/>
      <c r="EM280" s="37"/>
      <c r="EN280" s="37"/>
    </row>
    <row r="281" spans="1:145" s="34" customFormat="1">
      <c r="B281" s="78"/>
      <c r="C281" s="85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6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  <c r="BI281" s="37"/>
      <c r="BJ281" s="37"/>
      <c r="BK281" s="37"/>
      <c r="BL281" s="37"/>
      <c r="BM281" s="37"/>
      <c r="BN281" s="37"/>
      <c r="BO281" s="37"/>
      <c r="BP281" s="37"/>
      <c r="BQ281" s="37"/>
      <c r="BR281" s="37"/>
      <c r="BS281" s="37"/>
      <c r="BT281" s="37"/>
      <c r="BU281" s="37"/>
      <c r="BV281" s="37"/>
      <c r="BW281" s="37"/>
      <c r="BX281" s="37"/>
      <c r="BY281" s="37"/>
      <c r="BZ281" s="37"/>
      <c r="CA281" s="37"/>
      <c r="CB281" s="37"/>
      <c r="CC281" s="37"/>
      <c r="CD281" s="37"/>
      <c r="CE281" s="37"/>
      <c r="CF281" s="37"/>
      <c r="CG281" s="37"/>
      <c r="CH281" s="37"/>
      <c r="CI281" s="37"/>
      <c r="CJ281" s="37"/>
      <c r="CK281" s="37"/>
      <c r="CL281" s="37"/>
      <c r="CM281" s="37"/>
      <c r="CN281" s="37"/>
      <c r="CO281" s="37"/>
      <c r="CP281" s="37"/>
      <c r="CQ281" s="37"/>
      <c r="CR281" s="37"/>
      <c r="CS281" s="37"/>
      <c r="CT281" s="37"/>
      <c r="CU281" s="37"/>
      <c r="CV281" s="37"/>
      <c r="CW281" s="37"/>
      <c r="CX281" s="37"/>
      <c r="CY281" s="37"/>
      <c r="CZ281" s="37"/>
      <c r="DA281" s="37"/>
      <c r="DB281" s="37"/>
      <c r="DC281" s="37"/>
      <c r="DD281" s="37"/>
      <c r="DE281" s="37"/>
      <c r="DF281" s="37"/>
      <c r="DG281" s="37"/>
      <c r="DH281" s="37"/>
      <c r="DI281" s="37"/>
      <c r="DJ281" s="37"/>
      <c r="DK281" s="37"/>
      <c r="DL281" s="37"/>
      <c r="DM281" s="37"/>
      <c r="DN281" s="37"/>
      <c r="DO281" s="37"/>
      <c r="DP281" s="37"/>
      <c r="DQ281" s="37"/>
      <c r="DR281" s="37"/>
      <c r="DS281" s="37"/>
      <c r="DT281" s="37"/>
      <c r="DU281" s="37"/>
      <c r="DV281" s="37"/>
      <c r="DW281" s="37"/>
      <c r="DX281" s="37"/>
      <c r="DY281" s="37"/>
      <c r="DZ281" s="37"/>
      <c r="EA281" s="37"/>
      <c r="EB281" s="37"/>
      <c r="EC281" s="37"/>
      <c r="ED281" s="37"/>
      <c r="EE281" s="37"/>
      <c r="EF281" s="37"/>
      <c r="EG281" s="37"/>
      <c r="EH281" s="37"/>
      <c r="EI281" s="37"/>
      <c r="EJ281" s="37"/>
      <c r="EK281" s="37"/>
      <c r="EL281" s="37"/>
      <c r="EM281" s="37"/>
      <c r="EN281" s="37"/>
    </row>
    <row r="282" spans="1:145" s="34" customFormat="1">
      <c r="A282" s="46">
        <v>2</v>
      </c>
      <c r="B282" s="78" t="s">
        <v>150</v>
      </c>
      <c r="C282" s="85" t="s">
        <v>4</v>
      </c>
      <c r="D282" s="71">
        <f t="shared" ref="D282:O282" si="106">D114*$R$172</f>
        <v>0</v>
      </c>
      <c r="E282" s="71">
        <f t="shared" si="106"/>
        <v>0</v>
      </c>
      <c r="F282" s="71">
        <f t="shared" si="106"/>
        <v>0</v>
      </c>
      <c r="G282" s="71">
        <f t="shared" si="106"/>
        <v>0</v>
      </c>
      <c r="H282" s="71">
        <f t="shared" si="106"/>
        <v>0</v>
      </c>
      <c r="I282" s="71">
        <f t="shared" si="106"/>
        <v>0</v>
      </c>
      <c r="J282" s="71">
        <f t="shared" si="106"/>
        <v>0</v>
      </c>
      <c r="K282" s="71">
        <f t="shared" si="106"/>
        <v>0</v>
      </c>
      <c r="L282" s="71">
        <f t="shared" si="106"/>
        <v>0</v>
      </c>
      <c r="M282" s="71">
        <f t="shared" si="106"/>
        <v>0</v>
      </c>
      <c r="N282" s="71">
        <f t="shared" si="106"/>
        <v>0</v>
      </c>
      <c r="O282" s="71">
        <f t="shared" si="106"/>
        <v>0</v>
      </c>
      <c r="P282" s="76">
        <f>SUM(D282:O282)</f>
        <v>0</v>
      </c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  <c r="BI282" s="37"/>
      <c r="BJ282" s="37"/>
      <c r="BK282" s="37"/>
      <c r="BL282" s="37"/>
      <c r="BM282" s="37"/>
      <c r="BN282" s="37"/>
      <c r="BO282" s="37"/>
      <c r="BP282" s="37"/>
      <c r="BQ282" s="37"/>
      <c r="BR282" s="37"/>
      <c r="BS282" s="37"/>
      <c r="BT282" s="37"/>
      <c r="BU282" s="37"/>
      <c r="BV282" s="37"/>
      <c r="BW282" s="37"/>
      <c r="BX282" s="37"/>
      <c r="BY282" s="37"/>
      <c r="BZ282" s="37"/>
      <c r="CA282" s="37"/>
      <c r="CB282" s="37"/>
      <c r="CC282" s="37"/>
      <c r="CD282" s="37"/>
      <c r="CE282" s="37"/>
      <c r="CF282" s="37"/>
      <c r="CG282" s="37"/>
      <c r="CH282" s="37"/>
      <c r="CI282" s="37"/>
      <c r="CJ282" s="37"/>
      <c r="CK282" s="37"/>
      <c r="CL282" s="37"/>
      <c r="CM282" s="37"/>
      <c r="CN282" s="37"/>
      <c r="CO282" s="37"/>
      <c r="CP282" s="37"/>
      <c r="CQ282" s="37"/>
      <c r="CR282" s="37"/>
      <c r="CS282" s="37"/>
      <c r="CT282" s="37"/>
      <c r="CU282" s="37"/>
      <c r="CV282" s="37"/>
      <c r="CW282" s="37"/>
      <c r="CX282" s="37"/>
      <c r="CY282" s="37"/>
      <c r="CZ282" s="37"/>
      <c r="DA282" s="37"/>
      <c r="DB282" s="37"/>
      <c r="DC282" s="37"/>
      <c r="DD282" s="37"/>
      <c r="DE282" s="37"/>
      <c r="DF282" s="37"/>
      <c r="DG282" s="37"/>
      <c r="DH282" s="37"/>
      <c r="DI282" s="37"/>
      <c r="DJ282" s="37"/>
      <c r="DK282" s="37"/>
      <c r="DL282" s="37"/>
      <c r="DM282" s="37"/>
      <c r="DN282" s="37"/>
      <c r="DO282" s="37"/>
      <c r="DP282" s="37"/>
      <c r="DQ282" s="37"/>
      <c r="DR282" s="37"/>
      <c r="DS282" s="37"/>
      <c r="DT282" s="37"/>
      <c r="DU282" s="37"/>
      <c r="DV282" s="37"/>
      <c r="DW282" s="37"/>
      <c r="DX282" s="37"/>
      <c r="DY282" s="37"/>
      <c r="DZ282" s="37"/>
      <c r="EA282" s="37"/>
      <c r="EB282" s="37"/>
      <c r="EC282" s="37"/>
      <c r="ED282" s="37"/>
      <c r="EE282" s="37"/>
      <c r="EF282" s="37"/>
      <c r="EG282" s="37"/>
      <c r="EH282" s="37"/>
      <c r="EI282" s="37"/>
      <c r="EJ282" s="37"/>
      <c r="EK282" s="37"/>
      <c r="EL282" s="37"/>
      <c r="EM282" s="37"/>
      <c r="EN282" s="37"/>
    </row>
    <row r="283" spans="1:145" s="34" customFormat="1">
      <c r="A283" s="46"/>
      <c r="B283" s="78"/>
      <c r="C283" s="85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6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7"/>
      <c r="BI283" s="37"/>
      <c r="BJ283" s="37"/>
      <c r="BK283" s="37"/>
      <c r="BL283" s="37"/>
      <c r="BM283" s="37"/>
      <c r="BN283" s="37"/>
      <c r="BO283" s="37"/>
      <c r="BP283" s="37"/>
      <c r="BQ283" s="37"/>
      <c r="BR283" s="37"/>
      <c r="BS283" s="37"/>
      <c r="BT283" s="37"/>
      <c r="BU283" s="37"/>
      <c r="BV283" s="37"/>
      <c r="BW283" s="37"/>
      <c r="BX283" s="37"/>
      <c r="BY283" s="37"/>
      <c r="BZ283" s="37"/>
      <c r="CA283" s="37"/>
      <c r="CB283" s="37"/>
      <c r="CC283" s="37"/>
      <c r="CD283" s="37"/>
      <c r="CE283" s="37"/>
      <c r="CF283" s="37"/>
      <c r="CG283" s="37"/>
      <c r="CH283" s="37"/>
      <c r="CI283" s="37"/>
      <c r="CJ283" s="37"/>
      <c r="CK283" s="37"/>
      <c r="CL283" s="37"/>
      <c r="CM283" s="37"/>
      <c r="CN283" s="37"/>
      <c r="CO283" s="37"/>
      <c r="CP283" s="37"/>
      <c r="CQ283" s="37"/>
      <c r="CR283" s="37"/>
      <c r="CS283" s="37"/>
      <c r="CT283" s="37"/>
      <c r="CU283" s="37"/>
      <c r="CV283" s="37"/>
      <c r="CW283" s="37"/>
      <c r="CX283" s="37"/>
      <c r="CY283" s="37"/>
      <c r="CZ283" s="37"/>
      <c r="DA283" s="37"/>
      <c r="DB283" s="37"/>
      <c r="DC283" s="37"/>
      <c r="DD283" s="37"/>
      <c r="DE283" s="37"/>
      <c r="DF283" s="37"/>
      <c r="DG283" s="37"/>
      <c r="DH283" s="37"/>
      <c r="DI283" s="37"/>
      <c r="DJ283" s="37"/>
      <c r="DK283" s="37"/>
      <c r="DL283" s="37"/>
      <c r="DM283" s="37"/>
      <c r="DN283" s="37"/>
      <c r="DO283" s="37"/>
      <c r="DP283" s="37"/>
      <c r="DQ283" s="37"/>
      <c r="DR283" s="37"/>
      <c r="DS283" s="37"/>
      <c r="DT283" s="37"/>
      <c r="DU283" s="37"/>
      <c r="DV283" s="37"/>
      <c r="DW283" s="37"/>
      <c r="DX283" s="37"/>
      <c r="DY283" s="37"/>
      <c r="DZ283" s="37"/>
      <c r="EA283" s="37"/>
      <c r="EB283" s="37"/>
      <c r="EC283" s="37"/>
      <c r="ED283" s="37"/>
      <c r="EE283" s="37"/>
      <c r="EF283" s="37"/>
      <c r="EG283" s="37"/>
      <c r="EH283" s="37"/>
      <c r="EI283" s="37"/>
      <c r="EJ283" s="37"/>
      <c r="EK283" s="37"/>
      <c r="EL283" s="37"/>
      <c r="EM283" s="37"/>
      <c r="EN283" s="37"/>
    </row>
    <row r="284" spans="1:145" s="34" customFormat="1">
      <c r="A284" s="46">
        <v>3</v>
      </c>
      <c r="B284" s="87" t="s">
        <v>81</v>
      </c>
      <c r="C284" s="74" t="s">
        <v>4</v>
      </c>
      <c r="D284" s="71">
        <f t="shared" ref="D284:O284" si="107">D116*$R$172</f>
        <v>0</v>
      </c>
      <c r="E284" s="71">
        <f t="shared" si="107"/>
        <v>0</v>
      </c>
      <c r="F284" s="71">
        <f t="shared" si="107"/>
        <v>0</v>
      </c>
      <c r="G284" s="71">
        <f t="shared" si="107"/>
        <v>0</v>
      </c>
      <c r="H284" s="71">
        <f t="shared" si="107"/>
        <v>0</v>
      </c>
      <c r="I284" s="71">
        <f t="shared" si="107"/>
        <v>0</v>
      </c>
      <c r="J284" s="71">
        <f t="shared" si="107"/>
        <v>0</v>
      </c>
      <c r="K284" s="71">
        <f t="shared" si="107"/>
        <v>0</v>
      </c>
      <c r="L284" s="71">
        <f t="shared" si="107"/>
        <v>0</v>
      </c>
      <c r="M284" s="71">
        <f t="shared" si="107"/>
        <v>0</v>
      </c>
      <c r="N284" s="71">
        <f t="shared" si="107"/>
        <v>0</v>
      </c>
      <c r="O284" s="71">
        <f t="shared" si="107"/>
        <v>0</v>
      </c>
      <c r="P284" s="76">
        <f>SUM(D284:O284)</f>
        <v>0</v>
      </c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  <c r="BG284" s="37"/>
      <c r="BH284" s="37"/>
      <c r="BI284" s="37"/>
      <c r="BJ284" s="37"/>
      <c r="BK284" s="37"/>
      <c r="BL284" s="37"/>
      <c r="BM284" s="37"/>
      <c r="BN284" s="37"/>
      <c r="BO284" s="37"/>
      <c r="BP284" s="37"/>
      <c r="BQ284" s="37"/>
      <c r="BR284" s="37"/>
      <c r="BS284" s="37"/>
      <c r="BT284" s="37"/>
      <c r="BU284" s="37"/>
      <c r="BV284" s="37"/>
      <c r="BW284" s="37"/>
      <c r="BX284" s="37"/>
      <c r="BY284" s="37"/>
      <c r="BZ284" s="37"/>
      <c r="CA284" s="37"/>
      <c r="CB284" s="37"/>
      <c r="CC284" s="37"/>
      <c r="CD284" s="37"/>
      <c r="CE284" s="37"/>
      <c r="CF284" s="37"/>
      <c r="CG284" s="37"/>
      <c r="CH284" s="37"/>
      <c r="CI284" s="37"/>
      <c r="CJ284" s="37"/>
      <c r="CK284" s="37"/>
      <c r="CL284" s="37"/>
      <c r="CM284" s="37"/>
      <c r="CN284" s="37"/>
      <c r="CO284" s="37"/>
      <c r="CP284" s="37"/>
      <c r="CQ284" s="37"/>
      <c r="CR284" s="37"/>
      <c r="CS284" s="37"/>
      <c r="CT284" s="37"/>
      <c r="CU284" s="37"/>
      <c r="CV284" s="37"/>
      <c r="CW284" s="37"/>
      <c r="CX284" s="37"/>
      <c r="CY284" s="37"/>
      <c r="CZ284" s="37"/>
      <c r="DA284" s="37"/>
      <c r="DB284" s="37"/>
      <c r="DC284" s="37"/>
      <c r="DD284" s="37"/>
      <c r="DE284" s="37"/>
      <c r="DF284" s="37"/>
      <c r="DG284" s="37"/>
      <c r="DH284" s="37"/>
      <c r="DI284" s="37"/>
      <c r="DJ284" s="37"/>
      <c r="DK284" s="37"/>
      <c r="DL284" s="37"/>
      <c r="DM284" s="37"/>
      <c r="DN284" s="37"/>
      <c r="DO284" s="37"/>
      <c r="DP284" s="37"/>
      <c r="DQ284" s="37"/>
      <c r="DR284" s="37"/>
      <c r="DS284" s="37"/>
      <c r="DT284" s="37"/>
      <c r="DU284" s="37"/>
      <c r="DV284" s="37"/>
      <c r="DW284" s="37"/>
      <c r="DX284" s="37"/>
      <c r="DY284" s="37"/>
      <c r="DZ284" s="37"/>
      <c r="EA284" s="37"/>
      <c r="EB284" s="37"/>
      <c r="EC284" s="37"/>
      <c r="ED284" s="37"/>
      <c r="EE284" s="37"/>
      <c r="EF284" s="37"/>
      <c r="EG284" s="37"/>
      <c r="EH284" s="37"/>
      <c r="EI284" s="37"/>
      <c r="EJ284" s="37"/>
      <c r="EK284" s="37"/>
      <c r="EL284" s="37"/>
      <c r="EM284" s="37"/>
      <c r="EN284" s="37"/>
    </row>
    <row r="285" spans="1:145" s="34" customFormat="1">
      <c r="A285" s="46">
        <v>4</v>
      </c>
      <c r="B285" s="87" t="s">
        <v>85</v>
      </c>
      <c r="C285" s="74" t="s">
        <v>4</v>
      </c>
      <c r="D285" s="72"/>
      <c r="E285" s="72">
        <f t="shared" ref="E285:O285" si="108">E117*$R$172</f>
        <v>0</v>
      </c>
      <c r="F285" s="72">
        <f t="shared" si="108"/>
        <v>0</v>
      </c>
      <c r="G285" s="72">
        <f t="shared" si="108"/>
        <v>0</v>
      </c>
      <c r="H285" s="72">
        <f t="shared" si="108"/>
        <v>0</v>
      </c>
      <c r="I285" s="72">
        <f t="shared" si="108"/>
        <v>0</v>
      </c>
      <c r="J285" s="72">
        <f t="shared" si="108"/>
        <v>0</v>
      </c>
      <c r="K285" s="72">
        <f t="shared" si="108"/>
        <v>0</v>
      </c>
      <c r="L285" s="72">
        <f t="shared" si="108"/>
        <v>0</v>
      </c>
      <c r="M285" s="72">
        <f t="shared" si="108"/>
        <v>0</v>
      </c>
      <c r="N285" s="72">
        <f t="shared" si="108"/>
        <v>0</v>
      </c>
      <c r="O285" s="72">
        <f t="shared" si="108"/>
        <v>0</v>
      </c>
      <c r="P285" s="98">
        <f>SUM(D285:O285)</f>
        <v>0</v>
      </c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37"/>
      <c r="BI285" s="37"/>
      <c r="BJ285" s="37"/>
      <c r="BK285" s="37"/>
      <c r="BL285" s="37"/>
      <c r="BM285" s="37"/>
      <c r="BN285" s="37"/>
      <c r="BO285" s="37"/>
      <c r="BP285" s="37"/>
      <c r="BQ285" s="37"/>
      <c r="BR285" s="37"/>
      <c r="BS285" s="37"/>
      <c r="BT285" s="37"/>
      <c r="BU285" s="37"/>
      <c r="BV285" s="37"/>
      <c r="BW285" s="37"/>
      <c r="BX285" s="37"/>
      <c r="BY285" s="37"/>
      <c r="BZ285" s="37"/>
      <c r="CA285" s="37"/>
      <c r="CB285" s="37"/>
      <c r="CC285" s="37"/>
      <c r="CD285" s="37"/>
      <c r="CE285" s="37"/>
      <c r="CF285" s="37"/>
      <c r="CG285" s="37"/>
      <c r="CH285" s="37"/>
      <c r="CI285" s="37"/>
      <c r="CJ285" s="37"/>
      <c r="CK285" s="37"/>
      <c r="CL285" s="37"/>
      <c r="CM285" s="37"/>
      <c r="CN285" s="37"/>
      <c r="CO285" s="37"/>
      <c r="CP285" s="37"/>
      <c r="CQ285" s="37"/>
      <c r="CR285" s="37"/>
      <c r="CS285" s="37"/>
      <c r="CT285" s="37"/>
      <c r="CU285" s="37"/>
      <c r="CV285" s="37"/>
      <c r="CW285" s="37"/>
      <c r="CX285" s="37"/>
      <c r="CY285" s="37"/>
      <c r="CZ285" s="37"/>
      <c r="DA285" s="37"/>
      <c r="DB285" s="37"/>
      <c r="DC285" s="37"/>
      <c r="DD285" s="37"/>
      <c r="DE285" s="37"/>
      <c r="DF285" s="37"/>
      <c r="DG285" s="37"/>
      <c r="DH285" s="37"/>
      <c r="DI285" s="37"/>
      <c r="DJ285" s="37"/>
      <c r="DK285" s="37"/>
      <c r="DL285" s="37"/>
      <c r="DM285" s="37"/>
      <c r="DN285" s="37"/>
      <c r="DO285" s="37"/>
      <c r="DP285" s="37"/>
      <c r="DQ285" s="37"/>
      <c r="DR285" s="37"/>
      <c r="DS285" s="37"/>
      <c r="DT285" s="37"/>
      <c r="DU285" s="37"/>
      <c r="DV285" s="37"/>
      <c r="DW285" s="37"/>
      <c r="DX285" s="37"/>
      <c r="DY285" s="37"/>
      <c r="DZ285" s="37"/>
      <c r="EA285" s="37"/>
      <c r="EB285" s="37"/>
      <c r="EC285" s="37"/>
      <c r="ED285" s="37"/>
      <c r="EE285" s="37"/>
      <c r="EF285" s="37"/>
      <c r="EG285" s="37"/>
      <c r="EH285" s="37"/>
      <c r="EI285" s="37"/>
      <c r="EJ285" s="37"/>
      <c r="EK285" s="37"/>
      <c r="EL285" s="37"/>
      <c r="EM285" s="37"/>
      <c r="EN285" s="37"/>
    </row>
    <row r="286" spans="1:145" s="34" customFormat="1">
      <c r="A286" s="46">
        <v>5</v>
      </c>
      <c r="B286" s="96" t="s">
        <v>18</v>
      </c>
      <c r="C286" s="85"/>
      <c r="D286" s="94">
        <f t="shared" ref="D286:P286" si="109">SUM(D284:D285)</f>
        <v>0</v>
      </c>
      <c r="E286" s="94">
        <f t="shared" si="109"/>
        <v>0</v>
      </c>
      <c r="F286" s="94">
        <f t="shared" si="109"/>
        <v>0</v>
      </c>
      <c r="G286" s="94">
        <f t="shared" si="109"/>
        <v>0</v>
      </c>
      <c r="H286" s="94">
        <f t="shared" si="109"/>
        <v>0</v>
      </c>
      <c r="I286" s="94">
        <f t="shared" si="109"/>
        <v>0</v>
      </c>
      <c r="J286" s="94">
        <f t="shared" si="109"/>
        <v>0</v>
      </c>
      <c r="K286" s="94">
        <f t="shared" si="109"/>
        <v>0</v>
      </c>
      <c r="L286" s="94">
        <f t="shared" si="109"/>
        <v>0</v>
      </c>
      <c r="M286" s="94">
        <f t="shared" si="109"/>
        <v>0</v>
      </c>
      <c r="N286" s="94">
        <f t="shared" si="109"/>
        <v>0</v>
      </c>
      <c r="O286" s="94">
        <f t="shared" si="109"/>
        <v>0</v>
      </c>
      <c r="P286" s="94">
        <f t="shared" si="109"/>
        <v>0</v>
      </c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  <c r="BB286" s="37"/>
      <c r="BC286" s="37"/>
      <c r="BD286" s="37"/>
      <c r="BE286" s="37"/>
      <c r="BF286" s="37"/>
      <c r="BG286" s="37"/>
      <c r="BH286" s="37"/>
      <c r="BI286" s="37"/>
      <c r="BJ286" s="37"/>
      <c r="BK286" s="37"/>
      <c r="BL286" s="37"/>
      <c r="BM286" s="37"/>
      <c r="BN286" s="37"/>
      <c r="BO286" s="37"/>
      <c r="BP286" s="37"/>
      <c r="BQ286" s="37"/>
      <c r="BR286" s="37"/>
      <c r="BS286" s="37"/>
      <c r="BT286" s="37"/>
      <c r="BU286" s="37"/>
      <c r="BV286" s="37"/>
      <c r="BW286" s="37"/>
      <c r="BX286" s="37"/>
      <c r="BY286" s="37"/>
      <c r="BZ286" s="37"/>
      <c r="CA286" s="37"/>
      <c r="CB286" s="37"/>
      <c r="CC286" s="37"/>
      <c r="CD286" s="37"/>
      <c r="CE286" s="37"/>
      <c r="CF286" s="37"/>
      <c r="CG286" s="37"/>
      <c r="CH286" s="37"/>
      <c r="CI286" s="37"/>
      <c r="CJ286" s="37"/>
      <c r="CK286" s="37"/>
      <c r="CL286" s="37"/>
      <c r="CM286" s="37"/>
      <c r="CN286" s="37"/>
      <c r="CO286" s="37"/>
      <c r="CP286" s="37"/>
      <c r="CQ286" s="37"/>
      <c r="CR286" s="37"/>
      <c r="CS286" s="37"/>
      <c r="CT286" s="37"/>
      <c r="CU286" s="37"/>
      <c r="CV286" s="37"/>
      <c r="CW286" s="37"/>
      <c r="CX286" s="37"/>
      <c r="CY286" s="37"/>
      <c r="CZ286" s="37"/>
      <c r="DA286" s="37"/>
      <c r="DB286" s="37"/>
      <c r="DC286" s="37"/>
      <c r="DD286" s="37"/>
      <c r="DE286" s="37"/>
      <c r="DF286" s="37"/>
      <c r="DG286" s="37"/>
      <c r="DH286" s="37"/>
      <c r="DI286" s="37"/>
      <c r="DJ286" s="37"/>
      <c r="DK286" s="37"/>
      <c r="DL286" s="37"/>
      <c r="DM286" s="37"/>
      <c r="DN286" s="37"/>
      <c r="DO286" s="37"/>
      <c r="DP286" s="37"/>
      <c r="DQ286" s="37"/>
      <c r="DR286" s="37"/>
      <c r="DS286" s="37"/>
      <c r="DT286" s="37"/>
      <c r="DU286" s="37"/>
      <c r="DV286" s="37"/>
      <c r="DW286" s="37"/>
      <c r="DX286" s="37"/>
      <c r="DY286" s="37"/>
      <c r="DZ286" s="37"/>
      <c r="EA286" s="37"/>
      <c r="EB286" s="37"/>
      <c r="EC286" s="37"/>
      <c r="ED286" s="37"/>
      <c r="EE286" s="37"/>
      <c r="EF286" s="37"/>
      <c r="EG286" s="37"/>
      <c r="EH286" s="37"/>
      <c r="EI286" s="37"/>
      <c r="EJ286" s="37"/>
      <c r="EK286" s="37"/>
      <c r="EL286" s="37"/>
      <c r="EM286" s="37"/>
      <c r="EN286" s="37"/>
    </row>
    <row r="287" spans="1:145" s="34" customFormat="1">
      <c r="B287" s="146"/>
      <c r="C287" s="85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71"/>
      <c r="O287" s="71"/>
      <c r="P287" s="76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7"/>
      <c r="BI287" s="37"/>
      <c r="BJ287" s="37"/>
      <c r="BK287" s="37"/>
      <c r="BL287" s="37"/>
      <c r="BM287" s="37"/>
      <c r="BN287" s="37"/>
      <c r="BO287" s="37"/>
      <c r="BP287" s="37"/>
      <c r="BQ287" s="37"/>
      <c r="BR287" s="37"/>
      <c r="BS287" s="37"/>
      <c r="BT287" s="37"/>
      <c r="BU287" s="37"/>
      <c r="BV287" s="37"/>
      <c r="BW287" s="37"/>
      <c r="BX287" s="37"/>
      <c r="BY287" s="37"/>
      <c r="BZ287" s="37"/>
      <c r="CA287" s="37"/>
      <c r="CB287" s="37"/>
      <c r="CC287" s="37"/>
      <c r="CD287" s="37"/>
      <c r="CE287" s="37"/>
      <c r="CF287" s="37"/>
      <c r="CG287" s="37"/>
      <c r="CH287" s="37"/>
      <c r="CI287" s="37"/>
      <c r="CJ287" s="37"/>
      <c r="CK287" s="37"/>
      <c r="CL287" s="37"/>
      <c r="CM287" s="37"/>
      <c r="CN287" s="37"/>
      <c r="CO287" s="37"/>
      <c r="CP287" s="37"/>
      <c r="CQ287" s="37"/>
      <c r="CR287" s="37"/>
      <c r="CS287" s="37"/>
      <c r="CT287" s="37"/>
      <c r="CU287" s="37"/>
      <c r="CV287" s="37"/>
      <c r="CW287" s="37"/>
      <c r="CX287" s="37"/>
      <c r="CY287" s="37"/>
      <c r="CZ287" s="37"/>
      <c r="DA287" s="37"/>
      <c r="DB287" s="37"/>
      <c r="DC287" s="37"/>
      <c r="DD287" s="37"/>
      <c r="DE287" s="37"/>
      <c r="DF287" s="37"/>
      <c r="DG287" s="37"/>
      <c r="DH287" s="37"/>
      <c r="DI287" s="37"/>
      <c r="DJ287" s="37"/>
      <c r="DK287" s="37"/>
      <c r="DL287" s="37"/>
      <c r="DM287" s="37"/>
      <c r="DN287" s="37"/>
      <c r="DO287" s="37"/>
      <c r="DP287" s="37"/>
      <c r="DQ287" s="37"/>
      <c r="DR287" s="37"/>
      <c r="DS287" s="37"/>
      <c r="DT287" s="37"/>
      <c r="DU287" s="37"/>
      <c r="DV287" s="37"/>
      <c r="DW287" s="37"/>
      <c r="DX287" s="37"/>
      <c r="DY287" s="37"/>
      <c r="DZ287" s="37"/>
      <c r="EA287" s="37"/>
      <c r="EB287" s="37"/>
      <c r="EC287" s="37"/>
      <c r="ED287" s="37"/>
      <c r="EE287" s="37"/>
      <c r="EF287" s="37"/>
      <c r="EG287" s="37"/>
      <c r="EH287" s="37"/>
      <c r="EI287" s="37"/>
      <c r="EJ287" s="37"/>
      <c r="EK287" s="37"/>
      <c r="EL287" s="37"/>
      <c r="EM287" s="37"/>
      <c r="EN287" s="37"/>
    </row>
    <row r="288" spans="1:145" s="34" customFormat="1">
      <c r="A288" s="46">
        <v>6</v>
      </c>
      <c r="B288" s="87" t="s">
        <v>82</v>
      </c>
      <c r="C288" s="74" t="s">
        <v>5</v>
      </c>
      <c r="D288" s="71">
        <f t="shared" ref="D288:O288" si="110">D120*$R$173</f>
        <v>0</v>
      </c>
      <c r="E288" s="71">
        <f t="shared" si="110"/>
        <v>0</v>
      </c>
      <c r="F288" s="71">
        <f t="shared" si="110"/>
        <v>0</v>
      </c>
      <c r="G288" s="71">
        <f t="shared" si="110"/>
        <v>0</v>
      </c>
      <c r="H288" s="71">
        <f t="shared" si="110"/>
        <v>0</v>
      </c>
      <c r="I288" s="71">
        <f t="shared" si="110"/>
        <v>0</v>
      </c>
      <c r="J288" s="71">
        <f t="shared" si="110"/>
        <v>0</v>
      </c>
      <c r="K288" s="71">
        <f t="shared" si="110"/>
        <v>0</v>
      </c>
      <c r="L288" s="71">
        <f t="shared" si="110"/>
        <v>0</v>
      </c>
      <c r="M288" s="71">
        <f t="shared" si="110"/>
        <v>0</v>
      </c>
      <c r="N288" s="71">
        <f t="shared" si="110"/>
        <v>0</v>
      </c>
      <c r="O288" s="71">
        <f t="shared" si="110"/>
        <v>0</v>
      </c>
      <c r="P288" s="76">
        <f>SUM(D288:O288)</f>
        <v>0</v>
      </c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  <c r="BB288" s="37"/>
      <c r="BC288" s="37"/>
      <c r="BD288" s="37"/>
      <c r="BE288" s="37"/>
      <c r="BF288" s="37"/>
      <c r="BG288" s="37"/>
      <c r="BH288" s="37"/>
      <c r="BI288" s="37"/>
      <c r="BJ288" s="37"/>
      <c r="BK288" s="37"/>
      <c r="BL288" s="37"/>
      <c r="BM288" s="37"/>
      <c r="BN288" s="37"/>
      <c r="BO288" s="37"/>
      <c r="BP288" s="37"/>
      <c r="BQ288" s="37"/>
      <c r="BR288" s="37"/>
      <c r="BS288" s="37"/>
      <c r="BT288" s="37"/>
      <c r="BU288" s="37"/>
      <c r="BV288" s="37"/>
      <c r="BW288" s="37"/>
      <c r="BX288" s="37"/>
      <c r="BY288" s="37"/>
      <c r="BZ288" s="37"/>
      <c r="CA288" s="37"/>
      <c r="CB288" s="37"/>
      <c r="CC288" s="37"/>
      <c r="CD288" s="37"/>
      <c r="CE288" s="37"/>
      <c r="CF288" s="37"/>
      <c r="CG288" s="37"/>
      <c r="CH288" s="37"/>
      <c r="CI288" s="37"/>
      <c r="CJ288" s="37"/>
      <c r="CK288" s="37"/>
      <c r="CL288" s="37"/>
      <c r="CM288" s="37"/>
      <c r="CN288" s="37"/>
      <c r="CO288" s="37"/>
      <c r="CP288" s="37"/>
      <c r="CQ288" s="37"/>
      <c r="CR288" s="37"/>
      <c r="CS288" s="37"/>
      <c r="CT288" s="37"/>
      <c r="CU288" s="37"/>
      <c r="CV288" s="37"/>
      <c r="CW288" s="37"/>
      <c r="CX288" s="37"/>
      <c r="CY288" s="37"/>
      <c r="CZ288" s="37"/>
      <c r="DA288" s="37"/>
      <c r="DB288" s="37"/>
      <c r="DC288" s="37"/>
      <c r="DD288" s="37"/>
      <c r="DE288" s="37"/>
      <c r="DF288" s="37"/>
      <c r="DG288" s="37"/>
      <c r="DH288" s="37"/>
      <c r="DI288" s="37"/>
      <c r="DJ288" s="37"/>
      <c r="DK288" s="37"/>
      <c r="DL288" s="37"/>
      <c r="DM288" s="37"/>
      <c r="DN288" s="37"/>
      <c r="DO288" s="37"/>
      <c r="DP288" s="37"/>
      <c r="DQ288" s="37"/>
      <c r="DR288" s="37"/>
      <c r="DS288" s="37"/>
      <c r="DT288" s="37"/>
      <c r="DU288" s="37"/>
      <c r="DV288" s="37"/>
      <c r="DW288" s="37"/>
      <c r="DX288" s="37"/>
      <c r="DY288" s="37"/>
      <c r="DZ288" s="37"/>
      <c r="EA288" s="37"/>
      <c r="EB288" s="37"/>
      <c r="EC288" s="37"/>
      <c r="ED288" s="37"/>
      <c r="EE288" s="37"/>
      <c r="EF288" s="37"/>
      <c r="EG288" s="37"/>
      <c r="EH288" s="37"/>
      <c r="EI288" s="37"/>
      <c r="EJ288" s="37"/>
      <c r="EK288" s="37"/>
      <c r="EL288" s="37"/>
      <c r="EM288" s="37"/>
      <c r="EN288" s="37"/>
    </row>
    <row r="289" spans="1:144" s="34" customFormat="1">
      <c r="A289" s="46">
        <v>7</v>
      </c>
      <c r="B289" s="87" t="s">
        <v>83</v>
      </c>
      <c r="C289" s="74" t="s">
        <v>5</v>
      </c>
      <c r="D289" s="84">
        <f t="shared" ref="D289" si="111">D121*$R$173</f>
        <v>0</v>
      </c>
      <c r="E289" s="84">
        <f t="shared" ref="E289:O289" si="112">E121*$R$173</f>
        <v>0</v>
      </c>
      <c r="F289" s="84">
        <f t="shared" si="112"/>
        <v>0</v>
      </c>
      <c r="G289" s="84">
        <f t="shared" si="112"/>
        <v>0</v>
      </c>
      <c r="H289" s="84">
        <f t="shared" si="112"/>
        <v>0</v>
      </c>
      <c r="I289" s="84">
        <f t="shared" si="112"/>
        <v>0</v>
      </c>
      <c r="J289" s="84">
        <f t="shared" si="112"/>
        <v>0</v>
      </c>
      <c r="K289" s="84">
        <f t="shared" si="112"/>
        <v>0</v>
      </c>
      <c r="L289" s="84">
        <f t="shared" si="112"/>
        <v>0</v>
      </c>
      <c r="M289" s="84">
        <f t="shared" si="112"/>
        <v>0</v>
      </c>
      <c r="N289" s="84">
        <f t="shared" si="112"/>
        <v>0</v>
      </c>
      <c r="O289" s="84">
        <f t="shared" si="112"/>
        <v>0</v>
      </c>
      <c r="P289" s="76">
        <f>SUM(D289:O289)</f>
        <v>0</v>
      </c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7"/>
      <c r="BI289" s="37"/>
      <c r="BJ289" s="37"/>
      <c r="BK289" s="37"/>
      <c r="BL289" s="37"/>
      <c r="BM289" s="37"/>
      <c r="BN289" s="37"/>
      <c r="BO289" s="37"/>
      <c r="BP289" s="37"/>
      <c r="BQ289" s="37"/>
      <c r="BR289" s="37"/>
      <c r="BS289" s="37"/>
      <c r="BT289" s="37"/>
      <c r="BU289" s="37"/>
      <c r="BV289" s="37"/>
      <c r="BW289" s="37"/>
      <c r="BX289" s="37"/>
      <c r="BY289" s="37"/>
      <c r="BZ289" s="37"/>
      <c r="CA289" s="37"/>
      <c r="CB289" s="37"/>
      <c r="CC289" s="37"/>
      <c r="CD289" s="37"/>
      <c r="CE289" s="37"/>
      <c r="CF289" s="37"/>
      <c r="CG289" s="37"/>
      <c r="CH289" s="37"/>
      <c r="CI289" s="37"/>
      <c r="CJ289" s="37"/>
      <c r="CK289" s="37"/>
      <c r="CL289" s="37"/>
      <c r="CM289" s="37"/>
      <c r="CN289" s="37"/>
      <c r="CO289" s="37"/>
      <c r="CP289" s="37"/>
      <c r="CQ289" s="37"/>
      <c r="CR289" s="37"/>
      <c r="CS289" s="37"/>
      <c r="CT289" s="37"/>
      <c r="CU289" s="37"/>
      <c r="CV289" s="37"/>
      <c r="CW289" s="37"/>
      <c r="CX289" s="37"/>
      <c r="CY289" s="37"/>
      <c r="CZ289" s="37"/>
      <c r="DA289" s="37"/>
      <c r="DB289" s="37"/>
      <c r="DC289" s="37"/>
      <c r="DD289" s="37"/>
      <c r="DE289" s="37"/>
      <c r="DF289" s="37"/>
      <c r="DG289" s="37"/>
      <c r="DH289" s="37"/>
      <c r="DI289" s="37"/>
      <c r="DJ289" s="37"/>
      <c r="DK289" s="37"/>
      <c r="DL289" s="37"/>
      <c r="DM289" s="37"/>
      <c r="DN289" s="37"/>
      <c r="DO289" s="37"/>
      <c r="DP289" s="37"/>
      <c r="DQ289" s="37"/>
      <c r="DR289" s="37"/>
      <c r="DS289" s="37"/>
      <c r="DT289" s="37"/>
      <c r="DU289" s="37"/>
      <c r="DV289" s="37"/>
      <c r="DW289" s="37"/>
      <c r="DX289" s="37"/>
      <c r="DY289" s="37"/>
      <c r="DZ289" s="37"/>
      <c r="EA289" s="37"/>
      <c r="EB289" s="37"/>
      <c r="EC289" s="37"/>
      <c r="ED289" s="37"/>
      <c r="EE289" s="37"/>
      <c r="EF289" s="37"/>
      <c r="EG289" s="37"/>
      <c r="EH289" s="37"/>
      <c r="EI289" s="37"/>
      <c r="EJ289" s="37"/>
      <c r="EK289" s="37"/>
      <c r="EL289" s="37"/>
      <c r="EM289" s="37"/>
      <c r="EN289" s="37"/>
    </row>
    <row r="290" spans="1:144" s="34" customFormat="1">
      <c r="A290" s="46">
        <v>8</v>
      </c>
      <c r="B290" s="87" t="s">
        <v>148</v>
      </c>
      <c r="C290" s="74" t="s">
        <v>5</v>
      </c>
      <c r="D290" s="84">
        <f t="shared" ref="D290:O290" si="113">D122*$R$173</f>
        <v>0</v>
      </c>
      <c r="E290" s="84">
        <f t="shared" si="113"/>
        <v>0</v>
      </c>
      <c r="F290" s="84">
        <f t="shared" si="113"/>
        <v>0</v>
      </c>
      <c r="G290" s="84">
        <f t="shared" si="113"/>
        <v>0</v>
      </c>
      <c r="H290" s="84">
        <f t="shared" si="113"/>
        <v>0</v>
      </c>
      <c r="I290" s="84">
        <f t="shared" si="113"/>
        <v>0</v>
      </c>
      <c r="J290" s="84">
        <f t="shared" si="113"/>
        <v>0</v>
      </c>
      <c r="K290" s="84">
        <f t="shared" si="113"/>
        <v>0</v>
      </c>
      <c r="L290" s="84">
        <f t="shared" si="113"/>
        <v>0</v>
      </c>
      <c r="M290" s="84">
        <f t="shared" si="113"/>
        <v>0</v>
      </c>
      <c r="N290" s="84">
        <f t="shared" si="113"/>
        <v>0</v>
      </c>
      <c r="O290" s="84">
        <f t="shared" si="113"/>
        <v>0</v>
      </c>
      <c r="P290" s="76">
        <f t="shared" ref="P290:P291" si="114">SUM(D290:O290)</f>
        <v>0</v>
      </c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  <c r="BG290" s="37"/>
      <c r="BH290" s="37"/>
      <c r="BI290" s="37"/>
      <c r="BJ290" s="37"/>
      <c r="BK290" s="37"/>
      <c r="BL290" s="37"/>
      <c r="BM290" s="37"/>
      <c r="BN290" s="37"/>
      <c r="BO290" s="37"/>
      <c r="BP290" s="37"/>
      <c r="BQ290" s="37"/>
      <c r="BR290" s="37"/>
      <c r="BS290" s="37"/>
      <c r="BT290" s="37"/>
      <c r="BU290" s="37"/>
      <c r="BV290" s="37"/>
      <c r="BW290" s="37"/>
      <c r="BX290" s="37"/>
      <c r="BY290" s="37"/>
      <c r="BZ290" s="37"/>
      <c r="CA290" s="37"/>
      <c r="CB290" s="37"/>
      <c r="CC290" s="37"/>
      <c r="CD290" s="37"/>
      <c r="CE290" s="37"/>
      <c r="CF290" s="37"/>
      <c r="CG290" s="37"/>
      <c r="CH290" s="37"/>
      <c r="CI290" s="37"/>
      <c r="CJ290" s="37"/>
      <c r="CK290" s="37"/>
      <c r="CL290" s="37"/>
      <c r="CM290" s="37"/>
      <c r="CN290" s="37"/>
      <c r="CO290" s="37"/>
      <c r="CP290" s="37"/>
      <c r="CQ290" s="37"/>
      <c r="CR290" s="37"/>
      <c r="CS290" s="37"/>
      <c r="CT290" s="37"/>
      <c r="CU290" s="37"/>
      <c r="CV290" s="37"/>
      <c r="CW290" s="37"/>
      <c r="CX290" s="37"/>
      <c r="CY290" s="37"/>
      <c r="CZ290" s="37"/>
      <c r="DA290" s="37"/>
      <c r="DB290" s="37"/>
      <c r="DC290" s="37"/>
      <c r="DD290" s="37"/>
      <c r="DE290" s="37"/>
      <c r="DF290" s="37"/>
      <c r="DG290" s="37"/>
      <c r="DH290" s="37"/>
      <c r="DI290" s="37"/>
      <c r="DJ290" s="37"/>
      <c r="DK290" s="37"/>
      <c r="DL290" s="37"/>
      <c r="DM290" s="37"/>
      <c r="DN290" s="37"/>
      <c r="DO290" s="37"/>
      <c r="DP290" s="37"/>
      <c r="DQ290" s="37"/>
      <c r="DR290" s="37"/>
      <c r="DS290" s="37"/>
      <c r="DT290" s="37"/>
      <c r="DU290" s="37"/>
      <c r="DV290" s="37"/>
      <c r="DW290" s="37"/>
      <c r="DX290" s="37"/>
      <c r="DY290" s="37"/>
      <c r="DZ290" s="37"/>
      <c r="EA290" s="37"/>
      <c r="EB290" s="37"/>
      <c r="EC290" s="37"/>
      <c r="ED290" s="37"/>
      <c r="EE290" s="37"/>
      <c r="EF290" s="37"/>
      <c r="EG290" s="37"/>
      <c r="EH290" s="37"/>
      <c r="EI290" s="37"/>
      <c r="EJ290" s="37"/>
      <c r="EK290" s="37"/>
      <c r="EL290" s="37"/>
      <c r="EM290" s="37"/>
      <c r="EN290" s="37"/>
    </row>
    <row r="291" spans="1:144" s="34" customFormat="1">
      <c r="A291" s="46">
        <v>9</v>
      </c>
      <c r="B291" s="87" t="s">
        <v>149</v>
      </c>
      <c r="C291" s="74" t="s">
        <v>5</v>
      </c>
      <c r="D291" s="84">
        <f t="shared" ref="D291:O291" si="115">D123*$R$173</f>
        <v>0</v>
      </c>
      <c r="E291" s="84">
        <f t="shared" si="115"/>
        <v>0</v>
      </c>
      <c r="F291" s="84">
        <f t="shared" si="115"/>
        <v>0</v>
      </c>
      <c r="G291" s="84">
        <f t="shared" si="115"/>
        <v>0</v>
      </c>
      <c r="H291" s="84">
        <f t="shared" si="115"/>
        <v>0</v>
      </c>
      <c r="I291" s="84">
        <f t="shared" si="115"/>
        <v>0</v>
      </c>
      <c r="J291" s="84">
        <f t="shared" si="115"/>
        <v>0</v>
      </c>
      <c r="K291" s="84">
        <f t="shared" si="115"/>
        <v>0</v>
      </c>
      <c r="L291" s="84">
        <f t="shared" si="115"/>
        <v>0</v>
      </c>
      <c r="M291" s="84">
        <f t="shared" si="115"/>
        <v>0</v>
      </c>
      <c r="N291" s="84">
        <f t="shared" si="115"/>
        <v>0</v>
      </c>
      <c r="O291" s="84">
        <f t="shared" si="115"/>
        <v>0</v>
      </c>
      <c r="P291" s="76">
        <f t="shared" si="114"/>
        <v>0</v>
      </c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  <c r="BJ291" s="37"/>
      <c r="BK291" s="37"/>
      <c r="BL291" s="37"/>
      <c r="BM291" s="37"/>
      <c r="BN291" s="37"/>
      <c r="BO291" s="37"/>
      <c r="BP291" s="37"/>
      <c r="BQ291" s="37"/>
      <c r="BR291" s="37"/>
      <c r="BS291" s="37"/>
      <c r="BT291" s="37"/>
      <c r="BU291" s="37"/>
      <c r="BV291" s="37"/>
      <c r="BW291" s="37"/>
      <c r="BX291" s="37"/>
      <c r="BY291" s="37"/>
      <c r="BZ291" s="37"/>
      <c r="CA291" s="37"/>
      <c r="CB291" s="37"/>
      <c r="CC291" s="37"/>
      <c r="CD291" s="37"/>
      <c r="CE291" s="37"/>
      <c r="CF291" s="37"/>
      <c r="CG291" s="37"/>
      <c r="CH291" s="37"/>
      <c r="CI291" s="37"/>
      <c r="CJ291" s="37"/>
      <c r="CK291" s="37"/>
      <c r="CL291" s="37"/>
      <c r="CM291" s="37"/>
      <c r="CN291" s="37"/>
      <c r="CO291" s="37"/>
      <c r="CP291" s="37"/>
      <c r="CQ291" s="37"/>
      <c r="CR291" s="37"/>
      <c r="CS291" s="37"/>
      <c r="CT291" s="37"/>
      <c r="CU291" s="37"/>
      <c r="CV291" s="37"/>
      <c r="CW291" s="37"/>
      <c r="CX291" s="37"/>
      <c r="CY291" s="37"/>
      <c r="CZ291" s="37"/>
      <c r="DA291" s="37"/>
      <c r="DB291" s="37"/>
      <c r="DC291" s="37"/>
      <c r="DD291" s="37"/>
      <c r="DE291" s="37"/>
      <c r="DF291" s="37"/>
      <c r="DG291" s="37"/>
      <c r="DH291" s="37"/>
      <c r="DI291" s="37"/>
      <c r="DJ291" s="37"/>
      <c r="DK291" s="37"/>
      <c r="DL291" s="37"/>
      <c r="DM291" s="37"/>
      <c r="DN291" s="37"/>
      <c r="DO291" s="37"/>
      <c r="DP291" s="37"/>
      <c r="DQ291" s="37"/>
      <c r="DR291" s="37"/>
      <c r="DS291" s="37"/>
      <c r="DT291" s="37"/>
      <c r="DU291" s="37"/>
      <c r="DV291" s="37"/>
      <c r="DW291" s="37"/>
      <c r="DX291" s="37"/>
      <c r="DY291" s="37"/>
      <c r="DZ291" s="37"/>
      <c r="EA291" s="37"/>
      <c r="EB291" s="37"/>
      <c r="EC291" s="37"/>
      <c r="ED291" s="37"/>
      <c r="EE291" s="37"/>
      <c r="EF291" s="37"/>
      <c r="EG291" s="37"/>
      <c r="EH291" s="37"/>
      <c r="EI291" s="37"/>
      <c r="EJ291" s="37"/>
      <c r="EK291" s="37"/>
      <c r="EL291" s="37"/>
      <c r="EM291" s="37"/>
      <c r="EN291" s="37"/>
    </row>
    <row r="292" spans="1:144" s="34" customFormat="1">
      <c r="A292" s="46">
        <v>10</v>
      </c>
      <c r="B292" s="78" t="s">
        <v>19</v>
      </c>
      <c r="C292" s="74"/>
      <c r="D292" s="218">
        <f>SUM(D288:D291)</f>
        <v>0</v>
      </c>
      <c r="E292" s="218">
        <f t="shared" ref="E292:P292" si="116">SUM(E288:E291)</f>
        <v>0</v>
      </c>
      <c r="F292" s="218">
        <f t="shared" si="116"/>
        <v>0</v>
      </c>
      <c r="G292" s="218">
        <f t="shared" si="116"/>
        <v>0</v>
      </c>
      <c r="H292" s="218">
        <f t="shared" si="116"/>
        <v>0</v>
      </c>
      <c r="I292" s="218">
        <f t="shared" si="116"/>
        <v>0</v>
      </c>
      <c r="J292" s="218">
        <f t="shared" si="116"/>
        <v>0</v>
      </c>
      <c r="K292" s="218">
        <f t="shared" si="116"/>
        <v>0</v>
      </c>
      <c r="L292" s="218">
        <f t="shared" si="116"/>
        <v>0</v>
      </c>
      <c r="M292" s="218">
        <f t="shared" si="116"/>
        <v>0</v>
      </c>
      <c r="N292" s="218">
        <f t="shared" si="116"/>
        <v>0</v>
      </c>
      <c r="O292" s="218">
        <f t="shared" si="116"/>
        <v>0</v>
      </c>
      <c r="P292" s="218">
        <f t="shared" si="116"/>
        <v>0</v>
      </c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  <c r="BI292" s="37"/>
      <c r="BJ292" s="37"/>
      <c r="BK292" s="37"/>
      <c r="BL292" s="37"/>
      <c r="BM292" s="37"/>
      <c r="BN292" s="37"/>
      <c r="BO292" s="37"/>
      <c r="BP292" s="37"/>
      <c r="BQ292" s="37"/>
      <c r="BR292" s="37"/>
      <c r="BS292" s="37"/>
      <c r="BT292" s="37"/>
      <c r="BU292" s="37"/>
      <c r="BV292" s="37"/>
      <c r="BW292" s="37"/>
      <c r="BX292" s="37"/>
      <c r="BY292" s="37"/>
      <c r="BZ292" s="37"/>
      <c r="CA292" s="37"/>
      <c r="CB292" s="37"/>
      <c r="CC292" s="37"/>
      <c r="CD292" s="37"/>
      <c r="CE292" s="37"/>
      <c r="CF292" s="37"/>
      <c r="CG292" s="37"/>
      <c r="CH292" s="37"/>
      <c r="CI292" s="37"/>
      <c r="CJ292" s="37"/>
      <c r="CK292" s="37"/>
      <c r="CL292" s="37"/>
      <c r="CM292" s="37"/>
      <c r="CN292" s="37"/>
      <c r="CO292" s="37"/>
      <c r="CP292" s="37"/>
      <c r="CQ292" s="37"/>
      <c r="CR292" s="37"/>
      <c r="CS292" s="37"/>
      <c r="CT292" s="37"/>
      <c r="CU292" s="37"/>
      <c r="CV292" s="37"/>
      <c r="CW292" s="37"/>
      <c r="CX292" s="37"/>
      <c r="CY292" s="37"/>
      <c r="CZ292" s="37"/>
      <c r="DA292" s="37"/>
      <c r="DB292" s="37"/>
      <c r="DC292" s="37"/>
      <c r="DD292" s="37"/>
      <c r="DE292" s="37"/>
      <c r="DF292" s="37"/>
      <c r="DG292" s="37"/>
      <c r="DH292" s="37"/>
      <c r="DI292" s="37"/>
      <c r="DJ292" s="37"/>
      <c r="DK292" s="37"/>
      <c r="DL292" s="37"/>
      <c r="DM292" s="37"/>
      <c r="DN292" s="37"/>
      <c r="DO292" s="37"/>
      <c r="DP292" s="37"/>
      <c r="DQ292" s="37"/>
      <c r="DR292" s="37"/>
      <c r="DS292" s="37"/>
      <c r="DT292" s="37"/>
      <c r="DU292" s="37"/>
      <c r="DV292" s="37"/>
      <c r="DW292" s="37"/>
      <c r="DX292" s="37"/>
      <c r="DY292" s="37"/>
      <c r="DZ292" s="37"/>
      <c r="EA292" s="37"/>
      <c r="EB292" s="37"/>
      <c r="EC292" s="37"/>
      <c r="ED292" s="37"/>
      <c r="EE292" s="37"/>
      <c r="EF292" s="37"/>
      <c r="EG292" s="37"/>
      <c r="EH292" s="37"/>
      <c r="EI292" s="37"/>
      <c r="EJ292" s="37"/>
      <c r="EK292" s="37"/>
      <c r="EL292" s="37"/>
      <c r="EM292" s="37"/>
      <c r="EN292" s="37"/>
    </row>
    <row r="293" spans="1:144" s="34" customFormat="1">
      <c r="A293" s="46"/>
      <c r="B293" s="78"/>
      <c r="C293" s="74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6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  <c r="BI293" s="37"/>
      <c r="BJ293" s="37"/>
      <c r="BK293" s="37"/>
      <c r="BL293" s="37"/>
      <c r="BM293" s="37"/>
      <c r="BN293" s="37"/>
      <c r="BO293" s="37"/>
      <c r="BP293" s="37"/>
      <c r="BQ293" s="37"/>
      <c r="BR293" s="37"/>
      <c r="BS293" s="37"/>
      <c r="BT293" s="37"/>
      <c r="BU293" s="37"/>
      <c r="BV293" s="37"/>
      <c r="BW293" s="37"/>
      <c r="BX293" s="37"/>
      <c r="BY293" s="37"/>
      <c r="BZ293" s="37"/>
      <c r="CA293" s="37"/>
      <c r="CB293" s="37"/>
      <c r="CC293" s="37"/>
      <c r="CD293" s="37"/>
      <c r="CE293" s="37"/>
      <c r="CF293" s="37"/>
      <c r="CG293" s="37"/>
      <c r="CH293" s="37"/>
      <c r="CI293" s="37"/>
      <c r="CJ293" s="37"/>
      <c r="CK293" s="37"/>
      <c r="CL293" s="37"/>
      <c r="CM293" s="37"/>
      <c r="CN293" s="37"/>
      <c r="CO293" s="37"/>
      <c r="CP293" s="37"/>
      <c r="CQ293" s="37"/>
      <c r="CR293" s="37"/>
      <c r="CS293" s="37"/>
      <c r="CT293" s="37"/>
      <c r="CU293" s="37"/>
      <c r="CV293" s="37"/>
      <c r="CW293" s="37"/>
      <c r="CX293" s="37"/>
      <c r="CY293" s="37"/>
      <c r="CZ293" s="37"/>
      <c r="DA293" s="37"/>
      <c r="DB293" s="37"/>
      <c r="DC293" s="37"/>
      <c r="DD293" s="37"/>
      <c r="DE293" s="37"/>
      <c r="DF293" s="37"/>
      <c r="DG293" s="37"/>
      <c r="DH293" s="37"/>
      <c r="DI293" s="37"/>
      <c r="DJ293" s="37"/>
      <c r="DK293" s="37"/>
      <c r="DL293" s="37"/>
      <c r="DM293" s="37"/>
      <c r="DN293" s="37"/>
      <c r="DO293" s="37"/>
      <c r="DP293" s="37"/>
      <c r="DQ293" s="37"/>
      <c r="DR293" s="37"/>
      <c r="DS293" s="37"/>
      <c r="DT293" s="37"/>
      <c r="DU293" s="37"/>
      <c r="DV293" s="37"/>
      <c r="DW293" s="37"/>
      <c r="DX293" s="37"/>
      <c r="DY293" s="37"/>
      <c r="DZ293" s="37"/>
      <c r="EA293" s="37"/>
      <c r="EB293" s="37"/>
      <c r="EC293" s="37"/>
      <c r="ED293" s="37"/>
      <c r="EE293" s="37"/>
      <c r="EF293" s="37"/>
      <c r="EG293" s="37"/>
      <c r="EH293" s="37"/>
      <c r="EI293" s="37"/>
      <c r="EJ293" s="37"/>
      <c r="EK293" s="37"/>
      <c r="EL293" s="37"/>
      <c r="EM293" s="37"/>
      <c r="EN293" s="37"/>
    </row>
    <row r="294" spans="1:144" s="34" customFormat="1">
      <c r="A294" s="46">
        <v>11</v>
      </c>
      <c r="B294" s="96" t="s">
        <v>86</v>
      </c>
      <c r="C294" s="74" t="s">
        <v>6</v>
      </c>
      <c r="D294" s="71">
        <f t="shared" ref="D294:O294" si="117">D126*$R$174</f>
        <v>0</v>
      </c>
      <c r="E294" s="71">
        <f t="shared" si="117"/>
        <v>0</v>
      </c>
      <c r="F294" s="71">
        <f t="shared" si="117"/>
        <v>0</v>
      </c>
      <c r="G294" s="71">
        <f t="shared" si="117"/>
        <v>0</v>
      </c>
      <c r="H294" s="71">
        <f t="shared" si="117"/>
        <v>0</v>
      </c>
      <c r="I294" s="71">
        <f t="shared" si="117"/>
        <v>0</v>
      </c>
      <c r="J294" s="71">
        <f t="shared" si="117"/>
        <v>0</v>
      </c>
      <c r="K294" s="71">
        <f t="shared" si="117"/>
        <v>0</v>
      </c>
      <c r="L294" s="71">
        <f t="shared" si="117"/>
        <v>0</v>
      </c>
      <c r="M294" s="71">
        <f t="shared" si="117"/>
        <v>0</v>
      </c>
      <c r="N294" s="71">
        <f t="shared" si="117"/>
        <v>0</v>
      </c>
      <c r="O294" s="71">
        <f t="shared" si="117"/>
        <v>0</v>
      </c>
      <c r="P294" s="76">
        <f>SUM(D294:O294)</f>
        <v>0</v>
      </c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  <c r="BI294" s="37"/>
      <c r="BJ294" s="37"/>
      <c r="BK294" s="37"/>
      <c r="BL294" s="37"/>
      <c r="BM294" s="37"/>
      <c r="BN294" s="37"/>
      <c r="BO294" s="37"/>
      <c r="BP294" s="37"/>
      <c r="BQ294" s="37"/>
      <c r="BR294" s="37"/>
      <c r="BS294" s="37"/>
      <c r="BT294" s="37"/>
      <c r="BU294" s="37"/>
      <c r="BV294" s="37"/>
      <c r="BW294" s="37"/>
      <c r="BX294" s="37"/>
      <c r="BY294" s="37"/>
      <c r="BZ294" s="37"/>
      <c r="CA294" s="37"/>
      <c r="CB294" s="37"/>
      <c r="CC294" s="37"/>
      <c r="CD294" s="37"/>
      <c r="CE294" s="37"/>
      <c r="CF294" s="37"/>
      <c r="CG294" s="37"/>
      <c r="CH294" s="37"/>
      <c r="CI294" s="37"/>
      <c r="CJ294" s="37"/>
      <c r="CK294" s="37"/>
      <c r="CL294" s="37"/>
      <c r="CM294" s="37"/>
      <c r="CN294" s="37"/>
      <c r="CO294" s="37"/>
      <c r="CP294" s="37"/>
      <c r="CQ294" s="37"/>
      <c r="CR294" s="37"/>
      <c r="CS294" s="37"/>
      <c r="CT294" s="37"/>
      <c r="CU294" s="37"/>
      <c r="CV294" s="37"/>
      <c r="CW294" s="37"/>
      <c r="CX294" s="37"/>
      <c r="CY294" s="37"/>
      <c r="CZ294" s="37"/>
      <c r="DA294" s="37"/>
      <c r="DB294" s="37"/>
      <c r="DC294" s="37"/>
      <c r="DD294" s="37"/>
      <c r="DE294" s="37"/>
      <c r="DF294" s="37"/>
      <c r="DG294" s="37"/>
      <c r="DH294" s="37"/>
      <c r="DI294" s="37"/>
      <c r="DJ294" s="37"/>
      <c r="DK294" s="37"/>
      <c r="DL294" s="37"/>
      <c r="DM294" s="37"/>
      <c r="DN294" s="37"/>
      <c r="DO294" s="37"/>
      <c r="DP294" s="37"/>
      <c r="DQ294" s="37"/>
      <c r="DR294" s="37"/>
      <c r="DS294" s="37"/>
      <c r="DT294" s="37"/>
      <c r="DU294" s="37"/>
      <c r="DV294" s="37"/>
      <c r="DW294" s="37"/>
      <c r="DX294" s="37"/>
      <c r="DY294" s="37"/>
      <c r="DZ294" s="37"/>
      <c r="EA294" s="37"/>
      <c r="EB294" s="37"/>
      <c r="EC294" s="37"/>
      <c r="ED294" s="37"/>
      <c r="EE294" s="37"/>
      <c r="EF294" s="37"/>
      <c r="EG294" s="37"/>
      <c r="EH294" s="37"/>
      <c r="EI294" s="37"/>
      <c r="EJ294" s="37"/>
      <c r="EK294" s="37"/>
      <c r="EL294" s="37"/>
      <c r="EM294" s="37"/>
      <c r="EN294" s="37"/>
    </row>
    <row r="295" spans="1:144" s="34" customFormat="1">
      <c r="B295" s="78"/>
      <c r="C295" s="85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71"/>
      <c r="O295" s="71"/>
      <c r="P295" s="76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  <c r="BI295" s="37"/>
      <c r="BJ295" s="37"/>
      <c r="BK295" s="37"/>
      <c r="BL295" s="37"/>
      <c r="BM295" s="37"/>
      <c r="BN295" s="37"/>
      <c r="BO295" s="37"/>
      <c r="BP295" s="37"/>
      <c r="BQ295" s="37"/>
      <c r="BR295" s="37"/>
      <c r="BS295" s="37"/>
      <c r="BT295" s="37"/>
      <c r="BU295" s="37"/>
      <c r="BV295" s="37"/>
      <c r="BW295" s="37"/>
      <c r="BX295" s="37"/>
      <c r="BY295" s="37"/>
      <c r="BZ295" s="37"/>
      <c r="CA295" s="37"/>
      <c r="CB295" s="37"/>
      <c r="CC295" s="37"/>
      <c r="CD295" s="37"/>
      <c r="CE295" s="37"/>
      <c r="CF295" s="37"/>
      <c r="CG295" s="37"/>
      <c r="CH295" s="37"/>
      <c r="CI295" s="37"/>
      <c r="CJ295" s="37"/>
      <c r="CK295" s="37"/>
      <c r="CL295" s="37"/>
      <c r="CM295" s="37"/>
      <c r="CN295" s="37"/>
      <c r="CO295" s="37"/>
      <c r="CP295" s="37"/>
      <c r="CQ295" s="37"/>
      <c r="CR295" s="37"/>
      <c r="CS295" s="37"/>
      <c r="CT295" s="37"/>
      <c r="CU295" s="37"/>
      <c r="CV295" s="37"/>
      <c r="CW295" s="37"/>
      <c r="CX295" s="37"/>
      <c r="CY295" s="37"/>
      <c r="CZ295" s="37"/>
      <c r="DA295" s="37"/>
      <c r="DB295" s="37"/>
      <c r="DC295" s="37"/>
      <c r="DD295" s="37"/>
      <c r="DE295" s="37"/>
      <c r="DF295" s="37"/>
      <c r="DG295" s="37"/>
      <c r="DH295" s="37"/>
      <c r="DI295" s="37"/>
      <c r="DJ295" s="37"/>
      <c r="DK295" s="37"/>
      <c r="DL295" s="37"/>
      <c r="DM295" s="37"/>
      <c r="DN295" s="37"/>
      <c r="DO295" s="37"/>
      <c r="DP295" s="37"/>
      <c r="DQ295" s="37"/>
      <c r="DR295" s="37"/>
      <c r="DS295" s="37"/>
      <c r="DT295" s="37"/>
      <c r="DU295" s="37"/>
      <c r="DV295" s="37"/>
      <c r="DW295" s="37"/>
      <c r="DX295" s="37"/>
      <c r="DY295" s="37"/>
      <c r="DZ295" s="37"/>
      <c r="EA295" s="37"/>
      <c r="EB295" s="37"/>
      <c r="EC295" s="37"/>
      <c r="ED295" s="37"/>
      <c r="EE295" s="37"/>
      <c r="EF295" s="37"/>
      <c r="EG295" s="37"/>
      <c r="EH295" s="37"/>
      <c r="EI295" s="37"/>
      <c r="EJ295" s="37"/>
      <c r="EK295" s="37"/>
      <c r="EL295" s="37"/>
      <c r="EM295" s="37"/>
      <c r="EN295" s="37"/>
    </row>
    <row r="296" spans="1:144" s="34" customFormat="1">
      <c r="A296" s="46">
        <v>12</v>
      </c>
      <c r="B296" s="68" t="s">
        <v>21</v>
      </c>
      <c r="C296" s="74" t="s">
        <v>4</v>
      </c>
      <c r="D296" s="71">
        <f t="shared" ref="D296:O296" si="118">D128*$R$172</f>
        <v>0</v>
      </c>
      <c r="E296" s="71">
        <f t="shared" si="118"/>
        <v>0</v>
      </c>
      <c r="F296" s="71">
        <f t="shared" si="118"/>
        <v>0</v>
      </c>
      <c r="G296" s="71">
        <f t="shared" si="118"/>
        <v>0</v>
      </c>
      <c r="H296" s="71">
        <f t="shared" si="118"/>
        <v>0</v>
      </c>
      <c r="I296" s="71">
        <f t="shared" si="118"/>
        <v>0</v>
      </c>
      <c r="J296" s="71">
        <f t="shared" si="118"/>
        <v>0</v>
      </c>
      <c r="K296" s="71">
        <f t="shared" si="118"/>
        <v>0</v>
      </c>
      <c r="L296" s="71">
        <f t="shared" si="118"/>
        <v>0</v>
      </c>
      <c r="M296" s="71">
        <f t="shared" si="118"/>
        <v>0</v>
      </c>
      <c r="N296" s="71">
        <f t="shared" si="118"/>
        <v>0</v>
      </c>
      <c r="O296" s="71">
        <f t="shared" si="118"/>
        <v>0</v>
      </c>
      <c r="P296" s="76">
        <f>SUM(D296:O296)</f>
        <v>0</v>
      </c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  <c r="BI296" s="37"/>
      <c r="BJ296" s="37"/>
      <c r="BK296" s="37"/>
      <c r="BL296" s="37"/>
      <c r="BM296" s="37"/>
      <c r="BN296" s="37"/>
      <c r="BO296" s="37"/>
      <c r="BP296" s="37"/>
      <c r="BQ296" s="37"/>
      <c r="BR296" s="37"/>
      <c r="BS296" s="37"/>
      <c r="BT296" s="37"/>
      <c r="BU296" s="37"/>
      <c r="BV296" s="37"/>
      <c r="BW296" s="37"/>
      <c r="BX296" s="37"/>
      <c r="BY296" s="37"/>
      <c r="BZ296" s="37"/>
      <c r="CA296" s="37"/>
      <c r="CB296" s="37"/>
      <c r="CC296" s="37"/>
      <c r="CD296" s="37"/>
      <c r="CE296" s="37"/>
      <c r="CF296" s="37"/>
      <c r="CG296" s="37"/>
      <c r="CH296" s="37"/>
      <c r="CI296" s="37"/>
      <c r="CJ296" s="37"/>
      <c r="CK296" s="37"/>
      <c r="CL296" s="37"/>
      <c r="CM296" s="37"/>
      <c r="CN296" s="37"/>
      <c r="CO296" s="37"/>
      <c r="CP296" s="37"/>
      <c r="CQ296" s="37"/>
      <c r="CR296" s="37"/>
      <c r="CS296" s="37"/>
      <c r="CT296" s="37"/>
      <c r="CU296" s="37"/>
      <c r="CV296" s="37"/>
      <c r="CW296" s="37"/>
      <c r="CX296" s="37"/>
      <c r="CY296" s="37"/>
      <c r="CZ296" s="37"/>
      <c r="DA296" s="37"/>
      <c r="DB296" s="37"/>
      <c r="DC296" s="37"/>
      <c r="DD296" s="37"/>
      <c r="DE296" s="37"/>
      <c r="DF296" s="37"/>
      <c r="DG296" s="37"/>
      <c r="DH296" s="37"/>
      <c r="DI296" s="37"/>
      <c r="DJ296" s="37"/>
      <c r="DK296" s="37"/>
      <c r="DL296" s="37"/>
      <c r="DM296" s="37"/>
      <c r="DN296" s="37"/>
      <c r="DO296" s="37"/>
      <c r="DP296" s="37"/>
      <c r="DQ296" s="37"/>
      <c r="DR296" s="37"/>
      <c r="DS296" s="37"/>
      <c r="DT296" s="37"/>
      <c r="DU296" s="37"/>
      <c r="DV296" s="37"/>
      <c r="DW296" s="37"/>
      <c r="DX296" s="37"/>
      <c r="DY296" s="37"/>
      <c r="DZ296" s="37"/>
      <c r="EA296" s="37"/>
      <c r="EB296" s="37"/>
      <c r="EC296" s="37"/>
      <c r="ED296" s="37"/>
      <c r="EE296" s="37"/>
      <c r="EF296" s="37"/>
      <c r="EG296" s="37"/>
      <c r="EH296" s="37"/>
      <c r="EI296" s="37"/>
      <c r="EJ296" s="37"/>
      <c r="EK296" s="37"/>
      <c r="EL296" s="37"/>
      <c r="EM296" s="37"/>
      <c r="EN296" s="37"/>
    </row>
    <row r="297" spans="1:144" s="34" customFormat="1">
      <c r="A297" s="46"/>
      <c r="B297" s="78"/>
      <c r="C297" s="85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71"/>
      <c r="O297" s="71"/>
      <c r="P297" s="76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  <c r="BI297" s="37"/>
      <c r="BJ297" s="37"/>
      <c r="BK297" s="37"/>
      <c r="BL297" s="37"/>
      <c r="BM297" s="37"/>
      <c r="BN297" s="37"/>
      <c r="BO297" s="37"/>
      <c r="BP297" s="37"/>
      <c r="BQ297" s="37"/>
      <c r="BR297" s="37"/>
      <c r="BS297" s="37"/>
      <c r="BT297" s="37"/>
      <c r="BU297" s="37"/>
      <c r="BV297" s="37"/>
      <c r="BW297" s="37"/>
      <c r="BX297" s="37"/>
      <c r="BY297" s="37"/>
      <c r="BZ297" s="37"/>
      <c r="CA297" s="37"/>
      <c r="CB297" s="37"/>
      <c r="CC297" s="37"/>
      <c r="CD297" s="37"/>
      <c r="CE297" s="37"/>
      <c r="CF297" s="37"/>
      <c r="CG297" s="37"/>
      <c r="CH297" s="37"/>
      <c r="CI297" s="37"/>
      <c r="CJ297" s="37"/>
      <c r="CK297" s="37"/>
      <c r="CL297" s="37"/>
      <c r="CM297" s="37"/>
      <c r="CN297" s="37"/>
      <c r="CO297" s="37"/>
      <c r="CP297" s="37"/>
      <c r="CQ297" s="37"/>
      <c r="CR297" s="37"/>
      <c r="CS297" s="37"/>
      <c r="CT297" s="37"/>
      <c r="CU297" s="37"/>
      <c r="CV297" s="37"/>
      <c r="CW297" s="37"/>
      <c r="CX297" s="37"/>
      <c r="CY297" s="37"/>
      <c r="CZ297" s="37"/>
      <c r="DA297" s="37"/>
      <c r="DB297" s="37"/>
      <c r="DC297" s="37"/>
      <c r="DD297" s="37"/>
      <c r="DE297" s="37"/>
      <c r="DF297" s="37"/>
      <c r="DG297" s="37"/>
      <c r="DH297" s="37"/>
      <c r="DI297" s="37"/>
      <c r="DJ297" s="37"/>
      <c r="DK297" s="37"/>
      <c r="DL297" s="37"/>
      <c r="DM297" s="37"/>
      <c r="DN297" s="37"/>
      <c r="DO297" s="37"/>
      <c r="DP297" s="37"/>
      <c r="DQ297" s="37"/>
      <c r="DR297" s="37"/>
      <c r="DS297" s="37"/>
      <c r="DT297" s="37"/>
      <c r="DU297" s="37"/>
      <c r="DV297" s="37"/>
      <c r="DW297" s="37"/>
      <c r="DX297" s="37"/>
      <c r="DY297" s="37"/>
      <c r="DZ297" s="37"/>
      <c r="EA297" s="37"/>
      <c r="EB297" s="37"/>
      <c r="EC297" s="37"/>
      <c r="ED297" s="37"/>
      <c r="EE297" s="37"/>
      <c r="EF297" s="37"/>
      <c r="EG297" s="37"/>
      <c r="EH297" s="37"/>
      <c r="EI297" s="37"/>
      <c r="EJ297" s="37"/>
      <c r="EK297" s="37"/>
      <c r="EL297" s="37"/>
      <c r="EM297" s="37"/>
      <c r="EN297" s="37"/>
    </row>
    <row r="298" spans="1:144" s="34" customFormat="1">
      <c r="A298" s="46">
        <v>13</v>
      </c>
      <c r="B298" s="114" t="s">
        <v>22</v>
      </c>
      <c r="C298" s="143"/>
      <c r="D298" s="115">
        <f t="shared" ref="D298:P298" si="119">D296+D294+D292+D286+D282+D280</f>
        <v>0</v>
      </c>
      <c r="E298" s="115">
        <f t="shared" si="119"/>
        <v>0</v>
      </c>
      <c r="F298" s="115">
        <f t="shared" si="119"/>
        <v>0</v>
      </c>
      <c r="G298" s="115">
        <f t="shared" si="119"/>
        <v>0</v>
      </c>
      <c r="H298" s="115">
        <f t="shared" si="119"/>
        <v>0</v>
      </c>
      <c r="I298" s="115">
        <f t="shared" si="119"/>
        <v>0</v>
      </c>
      <c r="J298" s="115">
        <f t="shared" si="119"/>
        <v>0</v>
      </c>
      <c r="K298" s="115">
        <f t="shared" si="119"/>
        <v>0</v>
      </c>
      <c r="L298" s="115">
        <f t="shared" si="119"/>
        <v>0</v>
      </c>
      <c r="M298" s="115">
        <f t="shared" si="119"/>
        <v>0</v>
      </c>
      <c r="N298" s="115">
        <f t="shared" si="119"/>
        <v>0</v>
      </c>
      <c r="O298" s="115">
        <f t="shared" si="119"/>
        <v>0</v>
      </c>
      <c r="P298" s="115">
        <f t="shared" si="119"/>
        <v>0</v>
      </c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  <c r="BI298" s="37"/>
      <c r="BJ298" s="37"/>
      <c r="BK298" s="37"/>
      <c r="BL298" s="37"/>
      <c r="BM298" s="37"/>
      <c r="BN298" s="37"/>
      <c r="BO298" s="37"/>
      <c r="BP298" s="37"/>
      <c r="BQ298" s="37"/>
      <c r="BR298" s="37"/>
      <c r="BS298" s="37"/>
      <c r="BT298" s="37"/>
      <c r="BU298" s="37"/>
      <c r="BV298" s="37"/>
      <c r="BW298" s="37"/>
      <c r="BX298" s="37"/>
      <c r="BY298" s="37"/>
      <c r="BZ298" s="37"/>
      <c r="CA298" s="37"/>
      <c r="CB298" s="37"/>
      <c r="CC298" s="37"/>
      <c r="CD298" s="37"/>
      <c r="CE298" s="37"/>
      <c r="CF298" s="37"/>
      <c r="CG298" s="37"/>
      <c r="CH298" s="37"/>
      <c r="CI298" s="37"/>
      <c r="CJ298" s="37"/>
      <c r="CK298" s="37"/>
      <c r="CL298" s="37"/>
      <c r="CM298" s="37"/>
      <c r="CN298" s="37"/>
      <c r="CO298" s="37"/>
      <c r="CP298" s="37"/>
      <c r="CQ298" s="37"/>
      <c r="CR298" s="37"/>
      <c r="CS298" s="37"/>
      <c r="CT298" s="37"/>
      <c r="CU298" s="37"/>
      <c r="CV298" s="37"/>
      <c r="CW298" s="37"/>
      <c r="CX298" s="37"/>
      <c r="CY298" s="37"/>
      <c r="CZ298" s="37"/>
      <c r="DA298" s="37"/>
      <c r="DB298" s="37"/>
      <c r="DC298" s="37"/>
      <c r="DD298" s="37"/>
      <c r="DE298" s="37"/>
      <c r="DF298" s="37"/>
      <c r="DG298" s="37"/>
      <c r="DH298" s="37"/>
      <c r="DI298" s="37"/>
      <c r="DJ298" s="37"/>
      <c r="DK298" s="37"/>
      <c r="DL298" s="37"/>
      <c r="DM298" s="37"/>
      <c r="DN298" s="37"/>
      <c r="DO298" s="37"/>
      <c r="DP298" s="37"/>
      <c r="DQ298" s="37"/>
      <c r="DR298" s="37"/>
      <c r="DS298" s="37"/>
      <c r="DT298" s="37"/>
      <c r="DU298" s="37"/>
      <c r="DV298" s="37"/>
      <c r="DW298" s="37"/>
      <c r="DX298" s="37"/>
      <c r="DY298" s="37"/>
      <c r="DZ298" s="37"/>
      <c r="EA298" s="37"/>
      <c r="EB298" s="37"/>
      <c r="EC298" s="37"/>
      <c r="ED298" s="37"/>
      <c r="EE298" s="37"/>
      <c r="EF298" s="37"/>
      <c r="EG298" s="37"/>
      <c r="EH298" s="37"/>
      <c r="EI298" s="37"/>
      <c r="EJ298" s="37"/>
      <c r="EK298" s="37"/>
      <c r="EL298" s="37"/>
      <c r="EM298" s="37"/>
      <c r="EN298" s="37"/>
    </row>
    <row r="299" spans="1:144" s="34" customFormat="1">
      <c r="B299" s="143"/>
      <c r="C299" s="143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93"/>
      <c r="O299" s="93"/>
      <c r="P299" s="76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  <c r="BM299" s="37"/>
      <c r="BN299" s="37"/>
      <c r="BO299" s="37"/>
      <c r="BP299" s="37"/>
      <c r="BQ299" s="37"/>
      <c r="BR299" s="37"/>
      <c r="BS299" s="37"/>
      <c r="BT299" s="37"/>
      <c r="BU299" s="37"/>
      <c r="BV299" s="37"/>
      <c r="BW299" s="37"/>
      <c r="BX299" s="37"/>
      <c r="BY299" s="37"/>
      <c r="BZ299" s="37"/>
      <c r="CA299" s="37"/>
      <c r="CB299" s="37"/>
      <c r="CC299" s="37"/>
      <c r="CD299" s="37"/>
      <c r="CE299" s="37"/>
      <c r="CF299" s="37"/>
      <c r="CG299" s="37"/>
      <c r="CH299" s="37"/>
      <c r="CI299" s="37"/>
      <c r="CJ299" s="37"/>
      <c r="CK299" s="37"/>
      <c r="CL299" s="37"/>
      <c r="CM299" s="37"/>
      <c r="CN299" s="37"/>
      <c r="CO299" s="37"/>
      <c r="CP299" s="37"/>
      <c r="CQ299" s="37"/>
      <c r="CR299" s="37"/>
      <c r="CS299" s="37"/>
      <c r="CT299" s="37"/>
      <c r="CU299" s="37"/>
      <c r="CV299" s="37"/>
      <c r="CW299" s="37"/>
      <c r="CX299" s="37"/>
      <c r="CY299" s="37"/>
      <c r="CZ299" s="37"/>
      <c r="DA299" s="37"/>
      <c r="DB299" s="37"/>
      <c r="DC299" s="37"/>
      <c r="DD299" s="37"/>
      <c r="DE299" s="37"/>
      <c r="DF299" s="37"/>
      <c r="DG299" s="37"/>
      <c r="DH299" s="37"/>
      <c r="DI299" s="37"/>
      <c r="DJ299" s="37"/>
      <c r="DK299" s="37"/>
      <c r="DL299" s="37"/>
      <c r="DM299" s="37"/>
      <c r="DN299" s="37"/>
      <c r="DO299" s="37"/>
      <c r="DP299" s="37"/>
      <c r="DQ299" s="37"/>
      <c r="DR299" s="37"/>
      <c r="DS299" s="37"/>
      <c r="DT299" s="37"/>
      <c r="DU299" s="37"/>
      <c r="DV299" s="37"/>
      <c r="DW299" s="37"/>
      <c r="DX299" s="37"/>
      <c r="DY299" s="37"/>
      <c r="DZ299" s="37"/>
      <c r="EA299" s="37"/>
      <c r="EB299" s="37"/>
      <c r="EC299" s="37"/>
      <c r="ED299" s="37"/>
      <c r="EE299" s="37"/>
      <c r="EF299" s="37"/>
      <c r="EG299" s="37"/>
      <c r="EH299" s="37"/>
      <c r="EI299" s="37"/>
      <c r="EJ299" s="37"/>
      <c r="EK299" s="37"/>
      <c r="EL299" s="37"/>
      <c r="EM299" s="37"/>
      <c r="EN299" s="37"/>
    </row>
    <row r="300" spans="1:144" s="34" customFormat="1">
      <c r="A300" s="46">
        <v>14</v>
      </c>
      <c r="B300" s="89" t="s">
        <v>69</v>
      </c>
      <c r="C300" s="74" t="s">
        <v>5</v>
      </c>
      <c r="D300" s="71">
        <f t="shared" ref="D300:O300" si="120">D132*$R$173</f>
        <v>0</v>
      </c>
      <c r="E300" s="71">
        <f t="shared" si="120"/>
        <v>0</v>
      </c>
      <c r="F300" s="71">
        <f t="shared" si="120"/>
        <v>0</v>
      </c>
      <c r="G300" s="71">
        <f t="shared" si="120"/>
        <v>0</v>
      </c>
      <c r="H300" s="71">
        <f t="shared" si="120"/>
        <v>0</v>
      </c>
      <c r="I300" s="71">
        <f t="shared" si="120"/>
        <v>0</v>
      </c>
      <c r="J300" s="71">
        <f t="shared" si="120"/>
        <v>0</v>
      </c>
      <c r="K300" s="71">
        <f t="shared" si="120"/>
        <v>0</v>
      </c>
      <c r="L300" s="71">
        <f t="shared" si="120"/>
        <v>0</v>
      </c>
      <c r="M300" s="71">
        <f t="shared" si="120"/>
        <v>0</v>
      </c>
      <c r="N300" s="71">
        <f t="shared" si="120"/>
        <v>0</v>
      </c>
      <c r="O300" s="71">
        <f t="shared" si="120"/>
        <v>0</v>
      </c>
      <c r="P300" s="76">
        <f>SUM(D300:O300)</f>
        <v>0</v>
      </c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  <c r="BI300" s="37"/>
      <c r="BJ300" s="37"/>
      <c r="BK300" s="37"/>
      <c r="BL300" s="37"/>
      <c r="BM300" s="37"/>
      <c r="BN300" s="37"/>
      <c r="BO300" s="37"/>
      <c r="BP300" s="37"/>
      <c r="BQ300" s="37"/>
      <c r="BR300" s="37"/>
      <c r="BS300" s="37"/>
      <c r="BT300" s="37"/>
      <c r="BU300" s="37"/>
      <c r="BV300" s="37"/>
      <c r="BW300" s="37"/>
      <c r="BX300" s="37"/>
      <c r="BY300" s="37"/>
      <c r="BZ300" s="37"/>
      <c r="CA300" s="37"/>
      <c r="CB300" s="37"/>
      <c r="CC300" s="37"/>
      <c r="CD300" s="37"/>
      <c r="CE300" s="37"/>
      <c r="CF300" s="37"/>
      <c r="CG300" s="37"/>
      <c r="CH300" s="37"/>
      <c r="CI300" s="37"/>
      <c r="CJ300" s="37"/>
      <c r="CK300" s="37"/>
      <c r="CL300" s="37"/>
      <c r="CM300" s="37"/>
      <c r="CN300" s="37"/>
      <c r="CO300" s="37"/>
      <c r="CP300" s="37"/>
      <c r="CQ300" s="37"/>
      <c r="CR300" s="37"/>
      <c r="CS300" s="37"/>
      <c r="CT300" s="37"/>
      <c r="CU300" s="37"/>
      <c r="CV300" s="37"/>
      <c r="CW300" s="37"/>
      <c r="CX300" s="37"/>
      <c r="CY300" s="37"/>
      <c r="CZ300" s="37"/>
      <c r="DA300" s="37"/>
      <c r="DB300" s="37"/>
      <c r="DC300" s="37"/>
      <c r="DD300" s="37"/>
      <c r="DE300" s="37"/>
      <c r="DF300" s="37"/>
      <c r="DG300" s="37"/>
      <c r="DH300" s="37"/>
      <c r="DI300" s="37"/>
      <c r="DJ300" s="37"/>
      <c r="DK300" s="37"/>
      <c r="DL300" s="37"/>
      <c r="DM300" s="37"/>
      <c r="DN300" s="37"/>
      <c r="DO300" s="37"/>
      <c r="DP300" s="37"/>
      <c r="DQ300" s="37"/>
      <c r="DR300" s="37"/>
      <c r="DS300" s="37"/>
      <c r="DT300" s="37"/>
      <c r="DU300" s="37"/>
      <c r="DV300" s="37"/>
      <c r="DW300" s="37"/>
      <c r="DX300" s="37"/>
      <c r="DY300" s="37"/>
      <c r="DZ300" s="37"/>
      <c r="EA300" s="37"/>
      <c r="EB300" s="37"/>
      <c r="EC300" s="37"/>
      <c r="ED300" s="37"/>
      <c r="EE300" s="37"/>
      <c r="EF300" s="37"/>
      <c r="EG300" s="37"/>
      <c r="EH300" s="37"/>
      <c r="EI300" s="37"/>
      <c r="EJ300" s="37"/>
      <c r="EK300" s="37"/>
      <c r="EL300" s="37"/>
      <c r="EM300" s="37"/>
      <c r="EN300" s="37"/>
    </row>
    <row r="301" spans="1:144" s="34" customFormat="1">
      <c r="A301" s="46">
        <v>15</v>
      </c>
      <c r="B301" s="89" t="s">
        <v>70</v>
      </c>
      <c r="C301" s="74" t="s">
        <v>6</v>
      </c>
      <c r="D301" s="72">
        <f t="shared" ref="D301:O301" si="121">D133*$R$174</f>
        <v>0</v>
      </c>
      <c r="E301" s="72">
        <f t="shared" si="121"/>
        <v>0</v>
      </c>
      <c r="F301" s="72">
        <f t="shared" si="121"/>
        <v>0</v>
      </c>
      <c r="G301" s="72">
        <f t="shared" si="121"/>
        <v>0</v>
      </c>
      <c r="H301" s="72">
        <f t="shared" si="121"/>
        <v>0</v>
      </c>
      <c r="I301" s="72">
        <f t="shared" si="121"/>
        <v>0</v>
      </c>
      <c r="J301" s="72">
        <f t="shared" si="121"/>
        <v>0</v>
      </c>
      <c r="K301" s="72">
        <f t="shared" si="121"/>
        <v>0</v>
      </c>
      <c r="L301" s="72">
        <f t="shared" si="121"/>
        <v>0</v>
      </c>
      <c r="M301" s="72">
        <f t="shared" si="121"/>
        <v>0</v>
      </c>
      <c r="N301" s="72">
        <f t="shared" si="121"/>
        <v>0</v>
      </c>
      <c r="O301" s="72">
        <f t="shared" si="121"/>
        <v>0</v>
      </c>
      <c r="P301" s="98">
        <f>SUM(D301:O301)</f>
        <v>0</v>
      </c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  <c r="BI301" s="37"/>
      <c r="BJ301" s="37"/>
      <c r="BK301" s="37"/>
      <c r="BL301" s="37"/>
      <c r="BM301" s="37"/>
      <c r="BN301" s="37"/>
      <c r="BO301" s="37"/>
      <c r="BP301" s="37"/>
      <c r="BQ301" s="37"/>
      <c r="BR301" s="37"/>
      <c r="BS301" s="37"/>
      <c r="BT301" s="37"/>
      <c r="BU301" s="37"/>
      <c r="BV301" s="37"/>
      <c r="BW301" s="37"/>
      <c r="BX301" s="37"/>
      <c r="BY301" s="37"/>
      <c r="BZ301" s="37"/>
      <c r="CA301" s="37"/>
      <c r="CB301" s="37"/>
      <c r="CC301" s="37"/>
      <c r="CD301" s="37"/>
      <c r="CE301" s="37"/>
      <c r="CF301" s="37"/>
      <c r="CG301" s="37"/>
      <c r="CH301" s="37"/>
      <c r="CI301" s="37"/>
      <c r="CJ301" s="37"/>
      <c r="CK301" s="37"/>
      <c r="CL301" s="37"/>
      <c r="CM301" s="37"/>
      <c r="CN301" s="37"/>
      <c r="CO301" s="37"/>
      <c r="CP301" s="37"/>
      <c r="CQ301" s="37"/>
      <c r="CR301" s="37"/>
      <c r="CS301" s="37"/>
      <c r="CT301" s="37"/>
      <c r="CU301" s="37"/>
      <c r="CV301" s="37"/>
      <c r="CW301" s="37"/>
      <c r="CX301" s="37"/>
      <c r="CY301" s="37"/>
      <c r="CZ301" s="37"/>
      <c r="DA301" s="37"/>
      <c r="DB301" s="37"/>
      <c r="DC301" s="37"/>
      <c r="DD301" s="37"/>
      <c r="DE301" s="37"/>
      <c r="DF301" s="37"/>
      <c r="DG301" s="37"/>
      <c r="DH301" s="37"/>
      <c r="DI301" s="37"/>
      <c r="DJ301" s="37"/>
      <c r="DK301" s="37"/>
      <c r="DL301" s="37"/>
      <c r="DM301" s="37"/>
      <c r="DN301" s="37"/>
      <c r="DO301" s="37"/>
      <c r="DP301" s="37"/>
      <c r="DQ301" s="37"/>
      <c r="DR301" s="37"/>
      <c r="DS301" s="37"/>
      <c r="DT301" s="37"/>
      <c r="DU301" s="37"/>
      <c r="DV301" s="37"/>
      <c r="DW301" s="37"/>
      <c r="DX301" s="37"/>
      <c r="DY301" s="37"/>
      <c r="DZ301" s="37"/>
      <c r="EA301" s="37"/>
      <c r="EB301" s="37"/>
      <c r="EC301" s="37"/>
      <c r="ED301" s="37"/>
      <c r="EE301" s="37"/>
      <c r="EF301" s="37"/>
      <c r="EG301" s="37"/>
      <c r="EH301" s="37"/>
      <c r="EI301" s="37"/>
      <c r="EJ301" s="37"/>
      <c r="EK301" s="37"/>
      <c r="EL301" s="37"/>
      <c r="EM301" s="37"/>
      <c r="EN301" s="37"/>
    </row>
    <row r="302" spans="1:144" s="34" customFormat="1">
      <c r="A302" s="46">
        <v>16</v>
      </c>
      <c r="B302" s="114" t="s">
        <v>23</v>
      </c>
      <c r="C302" s="145"/>
      <c r="D302" s="100">
        <f t="shared" ref="D302:P302" si="122">SUM(D300:D301)</f>
        <v>0</v>
      </c>
      <c r="E302" s="100">
        <f t="shared" si="122"/>
        <v>0</v>
      </c>
      <c r="F302" s="100">
        <f t="shared" si="122"/>
        <v>0</v>
      </c>
      <c r="G302" s="100">
        <f t="shared" si="122"/>
        <v>0</v>
      </c>
      <c r="H302" s="100">
        <f t="shared" si="122"/>
        <v>0</v>
      </c>
      <c r="I302" s="100">
        <f t="shared" si="122"/>
        <v>0</v>
      </c>
      <c r="J302" s="100">
        <f t="shared" si="122"/>
        <v>0</v>
      </c>
      <c r="K302" s="100">
        <f t="shared" si="122"/>
        <v>0</v>
      </c>
      <c r="L302" s="100">
        <f t="shared" si="122"/>
        <v>0</v>
      </c>
      <c r="M302" s="100">
        <f t="shared" si="122"/>
        <v>0</v>
      </c>
      <c r="N302" s="93">
        <f t="shared" si="122"/>
        <v>0</v>
      </c>
      <c r="O302" s="93">
        <f t="shared" si="122"/>
        <v>0</v>
      </c>
      <c r="P302" s="93">
        <f t="shared" si="122"/>
        <v>0</v>
      </c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  <c r="BI302" s="37"/>
      <c r="BJ302" s="37"/>
      <c r="BK302" s="37"/>
      <c r="BL302" s="37"/>
      <c r="BM302" s="37"/>
      <c r="BN302" s="37"/>
      <c r="BO302" s="37"/>
      <c r="BP302" s="37"/>
      <c r="BQ302" s="37"/>
      <c r="BR302" s="37"/>
      <c r="BS302" s="37"/>
      <c r="BT302" s="37"/>
      <c r="BU302" s="37"/>
      <c r="BV302" s="37"/>
      <c r="BW302" s="37"/>
      <c r="BX302" s="37"/>
      <c r="BY302" s="37"/>
      <c r="BZ302" s="37"/>
      <c r="CA302" s="37"/>
      <c r="CB302" s="37"/>
      <c r="CC302" s="37"/>
      <c r="CD302" s="37"/>
      <c r="CE302" s="37"/>
      <c r="CF302" s="37"/>
      <c r="CG302" s="37"/>
      <c r="CH302" s="37"/>
      <c r="CI302" s="37"/>
      <c r="CJ302" s="37"/>
      <c r="CK302" s="37"/>
      <c r="CL302" s="37"/>
      <c r="CM302" s="37"/>
      <c r="CN302" s="37"/>
      <c r="CO302" s="37"/>
      <c r="CP302" s="37"/>
      <c r="CQ302" s="37"/>
      <c r="CR302" s="37"/>
      <c r="CS302" s="37"/>
      <c r="CT302" s="37"/>
      <c r="CU302" s="37"/>
      <c r="CV302" s="37"/>
      <c r="CW302" s="37"/>
      <c r="CX302" s="37"/>
      <c r="CY302" s="37"/>
      <c r="CZ302" s="37"/>
      <c r="DA302" s="37"/>
      <c r="DB302" s="37"/>
      <c r="DC302" s="37"/>
      <c r="DD302" s="37"/>
      <c r="DE302" s="37"/>
      <c r="DF302" s="37"/>
      <c r="DG302" s="37"/>
      <c r="DH302" s="37"/>
      <c r="DI302" s="37"/>
      <c r="DJ302" s="37"/>
      <c r="DK302" s="37"/>
      <c r="DL302" s="37"/>
      <c r="DM302" s="37"/>
      <c r="DN302" s="37"/>
      <c r="DO302" s="37"/>
      <c r="DP302" s="37"/>
      <c r="DQ302" s="37"/>
      <c r="DR302" s="37"/>
      <c r="DS302" s="37"/>
      <c r="DT302" s="37"/>
      <c r="DU302" s="37"/>
      <c r="DV302" s="37"/>
      <c r="DW302" s="37"/>
      <c r="DX302" s="37"/>
      <c r="DY302" s="37"/>
      <c r="DZ302" s="37"/>
      <c r="EA302" s="37"/>
      <c r="EB302" s="37"/>
      <c r="EC302" s="37"/>
      <c r="ED302" s="37"/>
      <c r="EE302" s="37"/>
      <c r="EF302" s="37"/>
      <c r="EG302" s="37"/>
      <c r="EH302" s="37"/>
      <c r="EI302" s="37"/>
      <c r="EJ302" s="37"/>
      <c r="EK302" s="37"/>
      <c r="EL302" s="37"/>
      <c r="EM302" s="37"/>
      <c r="EN302" s="37"/>
    </row>
    <row r="303" spans="1:144" s="34" customFormat="1">
      <c r="A303" s="46"/>
      <c r="B303" s="78"/>
      <c r="C303" s="116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71"/>
      <c r="O303" s="71"/>
      <c r="P303" s="76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  <c r="BI303" s="37"/>
      <c r="BJ303" s="37"/>
      <c r="BK303" s="37"/>
      <c r="BL303" s="37"/>
      <c r="BM303" s="37"/>
      <c r="BN303" s="37"/>
      <c r="BO303" s="37"/>
      <c r="BP303" s="37"/>
      <c r="BQ303" s="37"/>
      <c r="BR303" s="37"/>
      <c r="BS303" s="37"/>
      <c r="BT303" s="37"/>
      <c r="BU303" s="37"/>
      <c r="BV303" s="37"/>
      <c r="BW303" s="37"/>
      <c r="BX303" s="37"/>
      <c r="BY303" s="37"/>
      <c r="BZ303" s="37"/>
      <c r="CA303" s="37"/>
      <c r="CB303" s="37"/>
      <c r="CC303" s="37"/>
      <c r="CD303" s="37"/>
      <c r="CE303" s="37"/>
      <c r="CF303" s="37"/>
      <c r="CG303" s="37"/>
      <c r="CH303" s="37"/>
      <c r="CI303" s="37"/>
      <c r="CJ303" s="37"/>
      <c r="CK303" s="37"/>
      <c r="CL303" s="37"/>
      <c r="CM303" s="37"/>
      <c r="CN303" s="37"/>
      <c r="CO303" s="37"/>
      <c r="CP303" s="37"/>
      <c r="CQ303" s="37"/>
      <c r="CR303" s="37"/>
      <c r="CS303" s="37"/>
      <c r="CT303" s="37"/>
      <c r="CU303" s="37"/>
      <c r="CV303" s="37"/>
      <c r="CW303" s="37"/>
      <c r="CX303" s="37"/>
      <c r="CY303" s="37"/>
      <c r="CZ303" s="37"/>
      <c r="DA303" s="37"/>
      <c r="DB303" s="37"/>
      <c r="DC303" s="37"/>
      <c r="DD303" s="37"/>
      <c r="DE303" s="37"/>
      <c r="DF303" s="37"/>
      <c r="DG303" s="37"/>
      <c r="DH303" s="37"/>
      <c r="DI303" s="37"/>
      <c r="DJ303" s="37"/>
      <c r="DK303" s="37"/>
      <c r="DL303" s="37"/>
      <c r="DM303" s="37"/>
      <c r="DN303" s="37"/>
      <c r="DO303" s="37"/>
      <c r="DP303" s="37"/>
      <c r="DQ303" s="37"/>
      <c r="DR303" s="37"/>
      <c r="DS303" s="37"/>
      <c r="DT303" s="37"/>
      <c r="DU303" s="37"/>
      <c r="DV303" s="37"/>
      <c r="DW303" s="37"/>
      <c r="DX303" s="37"/>
      <c r="DY303" s="37"/>
      <c r="DZ303" s="37"/>
      <c r="EA303" s="37"/>
      <c r="EB303" s="37"/>
      <c r="EC303" s="37"/>
      <c r="ED303" s="37"/>
      <c r="EE303" s="37"/>
      <c r="EF303" s="37"/>
      <c r="EG303" s="37"/>
      <c r="EH303" s="37"/>
      <c r="EI303" s="37"/>
      <c r="EJ303" s="37"/>
      <c r="EK303" s="37"/>
      <c r="EL303" s="37"/>
      <c r="EM303" s="37"/>
      <c r="EN303" s="37"/>
    </row>
    <row r="304" spans="1:144" s="34" customFormat="1" ht="13.5" customHeight="1" thickBot="1">
      <c r="A304" s="46">
        <v>17</v>
      </c>
      <c r="B304" s="147" t="s">
        <v>92</v>
      </c>
      <c r="C304" s="145"/>
      <c r="D304" s="148">
        <f t="shared" ref="D304:P304" si="123">+D302+D298</f>
        <v>0</v>
      </c>
      <c r="E304" s="148">
        <f t="shared" si="123"/>
        <v>0</v>
      </c>
      <c r="F304" s="148">
        <f t="shared" si="123"/>
        <v>0</v>
      </c>
      <c r="G304" s="148">
        <f t="shared" si="123"/>
        <v>0</v>
      </c>
      <c r="H304" s="148">
        <f t="shared" si="123"/>
        <v>0</v>
      </c>
      <c r="I304" s="148">
        <f t="shared" si="123"/>
        <v>0</v>
      </c>
      <c r="J304" s="148">
        <f t="shared" si="123"/>
        <v>0</v>
      </c>
      <c r="K304" s="148">
        <f t="shared" si="123"/>
        <v>0</v>
      </c>
      <c r="L304" s="148">
        <f t="shared" si="123"/>
        <v>0</v>
      </c>
      <c r="M304" s="148">
        <f t="shared" si="123"/>
        <v>0</v>
      </c>
      <c r="N304" s="148">
        <f t="shared" si="123"/>
        <v>0</v>
      </c>
      <c r="O304" s="148">
        <f t="shared" si="123"/>
        <v>0</v>
      </c>
      <c r="P304" s="148">
        <f t="shared" si="123"/>
        <v>0</v>
      </c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  <c r="BI304" s="37"/>
      <c r="BJ304" s="37"/>
      <c r="BK304" s="37"/>
      <c r="BL304" s="37"/>
      <c r="BM304" s="37"/>
      <c r="BN304" s="37"/>
      <c r="BO304" s="37"/>
      <c r="BP304" s="37"/>
      <c r="BQ304" s="37"/>
      <c r="BR304" s="37"/>
      <c r="BS304" s="37"/>
      <c r="BT304" s="37"/>
      <c r="BU304" s="37"/>
      <c r="BV304" s="37"/>
      <c r="BW304" s="37"/>
      <c r="BX304" s="37"/>
      <c r="BY304" s="37"/>
      <c r="BZ304" s="37"/>
      <c r="CA304" s="37"/>
      <c r="CB304" s="37"/>
      <c r="CC304" s="37"/>
      <c r="CD304" s="37"/>
      <c r="CE304" s="37"/>
      <c r="CF304" s="37"/>
      <c r="CG304" s="37"/>
      <c r="CH304" s="37"/>
      <c r="CI304" s="37"/>
      <c r="CJ304" s="37"/>
      <c r="CK304" s="37"/>
      <c r="CL304" s="37"/>
      <c r="CM304" s="37"/>
      <c r="CN304" s="37"/>
      <c r="CO304" s="37"/>
      <c r="CP304" s="37"/>
      <c r="CQ304" s="37"/>
      <c r="CR304" s="37"/>
      <c r="CS304" s="37"/>
      <c r="CT304" s="37"/>
      <c r="CU304" s="37"/>
      <c r="CV304" s="37"/>
      <c r="CW304" s="37"/>
      <c r="CX304" s="37"/>
      <c r="CY304" s="37"/>
      <c r="CZ304" s="37"/>
      <c r="DA304" s="37"/>
      <c r="DB304" s="37"/>
      <c r="DC304" s="37"/>
      <c r="DD304" s="37"/>
      <c r="DE304" s="37"/>
      <c r="DF304" s="37"/>
      <c r="DG304" s="37"/>
      <c r="DH304" s="37"/>
      <c r="DI304" s="37"/>
      <c r="DJ304" s="37"/>
      <c r="DK304" s="37"/>
      <c r="DL304" s="37"/>
      <c r="DM304" s="37"/>
      <c r="DN304" s="37"/>
      <c r="DO304" s="37"/>
      <c r="DP304" s="37"/>
      <c r="DQ304" s="37"/>
      <c r="DR304" s="37"/>
      <c r="DS304" s="37"/>
      <c r="DT304" s="37"/>
      <c r="DU304" s="37"/>
      <c r="DV304" s="37"/>
      <c r="DW304" s="37"/>
      <c r="DX304" s="37"/>
      <c r="DY304" s="37"/>
      <c r="DZ304" s="37"/>
      <c r="EA304" s="37"/>
      <c r="EB304" s="37"/>
      <c r="EC304" s="37"/>
      <c r="ED304" s="37"/>
      <c r="EE304" s="37"/>
      <c r="EF304" s="37"/>
      <c r="EG304" s="37"/>
      <c r="EH304" s="37"/>
      <c r="EI304" s="37"/>
      <c r="EJ304" s="37"/>
      <c r="EK304" s="37"/>
      <c r="EL304" s="37"/>
      <c r="EM304" s="37"/>
      <c r="EN304" s="37"/>
    </row>
    <row r="305" spans="1:145" customFormat="1" ht="13.5" thickTop="1"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</row>
    <row r="306" spans="1:145" ht="14.25" customHeight="1">
      <c r="B306" s="366" t="str">
        <f>B7</f>
        <v>AEP TEXAS</v>
      </c>
      <c r="C306" s="366"/>
      <c r="D306" s="366"/>
      <c r="E306" s="366"/>
      <c r="F306" s="366"/>
      <c r="G306" s="366"/>
      <c r="H306" s="366"/>
      <c r="I306" s="366"/>
      <c r="J306" s="366"/>
      <c r="K306" s="366"/>
      <c r="L306" s="366"/>
      <c r="M306" s="366"/>
      <c r="N306" s="366"/>
      <c r="O306" s="366"/>
      <c r="P306" s="105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</row>
    <row r="307" spans="1:145">
      <c r="B307" s="366" t="s">
        <v>14</v>
      </c>
      <c r="C307" s="366"/>
      <c r="D307" s="366"/>
      <c r="E307" s="366"/>
      <c r="F307" s="366"/>
      <c r="G307" s="366"/>
      <c r="H307" s="366"/>
      <c r="I307" s="366"/>
      <c r="J307" s="366"/>
      <c r="K307" s="366"/>
      <c r="L307" s="366"/>
      <c r="M307" s="366"/>
      <c r="N307" s="366"/>
      <c r="O307" s="366"/>
      <c r="P307" s="88" t="s">
        <v>1</v>
      </c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</row>
    <row r="308" spans="1:145">
      <c r="B308" s="366" t="str">
        <f>G9</f>
        <v>FOR TEST YEAR ENDED SEPTEMBER 30, 2023</v>
      </c>
      <c r="C308" s="366"/>
      <c r="D308" s="366"/>
      <c r="E308" s="366"/>
      <c r="F308" s="366"/>
      <c r="G308" s="366"/>
      <c r="H308" s="366"/>
      <c r="I308" s="366"/>
      <c r="J308" s="366"/>
      <c r="K308" s="366"/>
      <c r="L308" s="366"/>
      <c r="M308" s="366"/>
      <c r="N308" s="366"/>
      <c r="O308" s="366"/>
      <c r="P308" s="87" t="s">
        <v>1</v>
      </c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</row>
    <row r="309" spans="1:145" customFormat="1" ht="12.75"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</row>
    <row r="310" spans="1:145">
      <c r="B310" s="106"/>
      <c r="C310" s="105"/>
      <c r="D310" s="107"/>
      <c r="E310" s="108"/>
      <c r="F310" s="108"/>
      <c r="G310" s="107"/>
      <c r="H310" s="94"/>
      <c r="I310" s="94"/>
      <c r="J310" s="94"/>
      <c r="K310" s="94"/>
      <c r="L310" s="94"/>
      <c r="M310" s="94"/>
      <c r="N310" s="94"/>
      <c r="O310" s="71"/>
      <c r="P310" s="109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</row>
    <row r="311" spans="1:145">
      <c r="A311" s="18" t="s">
        <v>8</v>
      </c>
      <c r="B311" s="144" t="s">
        <v>0</v>
      </c>
      <c r="C311" s="144" t="s">
        <v>7</v>
      </c>
      <c r="D311" s="97" t="str">
        <f>+D12</f>
        <v>Oct-22</v>
      </c>
      <c r="E311" s="97" t="str">
        <f t="shared" ref="E311:O311" si="124">+E12</f>
        <v>Nov-22</v>
      </c>
      <c r="F311" s="97" t="str">
        <f t="shared" si="124"/>
        <v>Dec-22</v>
      </c>
      <c r="G311" s="97" t="str">
        <f t="shared" si="124"/>
        <v>Jan-23</v>
      </c>
      <c r="H311" s="97" t="str">
        <f t="shared" si="124"/>
        <v>Feb-23</v>
      </c>
      <c r="I311" s="97" t="str">
        <f t="shared" si="124"/>
        <v>Mar-23</v>
      </c>
      <c r="J311" s="97" t="str">
        <f t="shared" si="124"/>
        <v>Apr-23</v>
      </c>
      <c r="K311" s="97" t="str">
        <f t="shared" si="124"/>
        <v>May-23</v>
      </c>
      <c r="L311" s="97" t="str">
        <f t="shared" si="124"/>
        <v>Jun-23</v>
      </c>
      <c r="M311" s="97" t="str">
        <f t="shared" si="124"/>
        <v>Jul-23</v>
      </c>
      <c r="N311" s="97" t="str">
        <f t="shared" si="124"/>
        <v>Aug-23</v>
      </c>
      <c r="O311" s="97" t="str">
        <f t="shared" si="124"/>
        <v>Sep-23</v>
      </c>
      <c r="P311" s="110" t="s">
        <v>2</v>
      </c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</row>
    <row r="312" spans="1:145" s="34" customFormat="1">
      <c r="A312" s="46"/>
      <c r="B312" s="111"/>
      <c r="C312" s="112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37"/>
    </row>
    <row r="313" spans="1:145" s="34" customFormat="1">
      <c r="A313" s="46" t="s">
        <v>9</v>
      </c>
      <c r="B313" s="78" t="s">
        <v>17</v>
      </c>
      <c r="C313" s="85" t="s">
        <v>4</v>
      </c>
      <c r="D313" s="71">
        <f t="shared" ref="D313:O313" si="125">D280+D245+D210+D177</f>
        <v>1148506004.5807958</v>
      </c>
      <c r="E313" s="71">
        <f t="shared" si="125"/>
        <v>887975776.10139108</v>
      </c>
      <c r="F313" s="71">
        <f t="shared" si="125"/>
        <v>961242838.8644228</v>
      </c>
      <c r="G313" s="71">
        <f t="shared" si="125"/>
        <v>1054909362.6307616</v>
      </c>
      <c r="H313" s="71">
        <f t="shared" si="125"/>
        <v>982308370.91226351</v>
      </c>
      <c r="I313" s="71">
        <f t="shared" si="125"/>
        <v>858779569.21393669</v>
      </c>
      <c r="J313" s="71">
        <f t="shared" si="125"/>
        <v>818715892.6112361</v>
      </c>
      <c r="K313" s="71">
        <f t="shared" si="125"/>
        <v>976550848.52680576</v>
      </c>
      <c r="L313" s="71">
        <f t="shared" si="125"/>
        <v>1286449909.9174521</v>
      </c>
      <c r="M313" s="71">
        <f t="shared" si="125"/>
        <v>1521133607.0819263</v>
      </c>
      <c r="N313" s="71">
        <f t="shared" si="125"/>
        <v>1545670582.7130723</v>
      </c>
      <c r="O313" s="71">
        <f t="shared" si="125"/>
        <v>1496916937.0727999</v>
      </c>
      <c r="P313" s="76">
        <f>SUM(D313:O313)</f>
        <v>13539159700.226864</v>
      </c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  <c r="BB313" s="37"/>
      <c r="BC313" s="37"/>
      <c r="BD313" s="37"/>
      <c r="BE313" s="37"/>
      <c r="BF313" s="37"/>
      <c r="BG313" s="37"/>
      <c r="BH313" s="37"/>
      <c r="BI313" s="37"/>
      <c r="BJ313" s="37"/>
      <c r="BK313" s="37"/>
      <c r="BL313" s="37"/>
      <c r="BM313" s="37"/>
      <c r="BN313" s="37"/>
      <c r="BO313" s="37"/>
      <c r="BP313" s="37"/>
      <c r="BQ313" s="37"/>
      <c r="BR313" s="37"/>
      <c r="BS313" s="37"/>
      <c r="BT313" s="37"/>
      <c r="BU313" s="37"/>
      <c r="BV313" s="37"/>
      <c r="BW313" s="37"/>
      <c r="BX313" s="37"/>
      <c r="BY313" s="37"/>
      <c r="BZ313" s="37"/>
      <c r="CA313" s="37"/>
      <c r="CB313" s="37"/>
      <c r="CC313" s="37"/>
      <c r="CD313" s="37"/>
      <c r="CE313" s="37"/>
      <c r="CF313" s="37"/>
      <c r="CG313" s="37"/>
      <c r="CH313" s="37"/>
      <c r="CI313" s="37"/>
      <c r="CJ313" s="37"/>
      <c r="CK313" s="37"/>
      <c r="CL313" s="37"/>
      <c r="CM313" s="37"/>
      <c r="CN313" s="37"/>
      <c r="CO313" s="37"/>
      <c r="CP313" s="37"/>
      <c r="CQ313" s="37"/>
      <c r="CR313" s="37"/>
      <c r="CS313" s="37"/>
      <c r="CT313" s="37"/>
      <c r="CU313" s="37"/>
      <c r="CV313" s="37"/>
      <c r="CW313" s="37"/>
      <c r="CX313" s="37"/>
      <c r="CY313" s="37"/>
      <c r="CZ313" s="37"/>
      <c r="DA313" s="37"/>
      <c r="DB313" s="37"/>
      <c r="DC313" s="37"/>
      <c r="DD313" s="37"/>
      <c r="DE313" s="37"/>
      <c r="DF313" s="37"/>
      <c r="DG313" s="37"/>
      <c r="DH313" s="37"/>
      <c r="DI313" s="37"/>
      <c r="DJ313" s="37"/>
      <c r="DK313" s="37"/>
      <c r="DL313" s="37"/>
      <c r="DM313" s="37"/>
      <c r="DN313" s="37"/>
      <c r="DO313" s="37"/>
      <c r="DP313" s="37"/>
      <c r="DQ313" s="37"/>
      <c r="DR313" s="37"/>
      <c r="DS313" s="37"/>
      <c r="DT313" s="37"/>
      <c r="DU313" s="37"/>
      <c r="DV313" s="37"/>
      <c r="DW313" s="37"/>
      <c r="DX313" s="37"/>
      <c r="DY313" s="37"/>
      <c r="DZ313" s="37"/>
      <c r="EA313" s="37"/>
      <c r="EB313" s="37"/>
      <c r="EC313" s="37"/>
      <c r="ED313" s="37"/>
      <c r="EE313" s="37"/>
      <c r="EF313" s="37"/>
      <c r="EG313" s="37"/>
      <c r="EH313" s="37"/>
      <c r="EI313" s="37"/>
      <c r="EJ313" s="37"/>
      <c r="EK313" s="37"/>
      <c r="EL313" s="37"/>
      <c r="EM313" s="37"/>
      <c r="EN313" s="37"/>
    </row>
    <row r="314" spans="1:145" s="34" customFormat="1">
      <c r="B314" s="78"/>
      <c r="C314" s="85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76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  <c r="BB314" s="37"/>
      <c r="BC314" s="37"/>
      <c r="BD314" s="37"/>
      <c r="BE314" s="37"/>
      <c r="BF314" s="37"/>
      <c r="BG314" s="37"/>
      <c r="BH314" s="37"/>
      <c r="BI314" s="37"/>
      <c r="BJ314" s="37"/>
      <c r="BK314" s="37"/>
      <c r="BL314" s="37"/>
      <c r="BM314" s="37"/>
      <c r="BN314" s="37"/>
      <c r="BO314" s="37"/>
      <c r="BP314" s="37"/>
      <c r="BQ314" s="37"/>
      <c r="BR314" s="37"/>
      <c r="BS314" s="37"/>
      <c r="BT314" s="37"/>
      <c r="BU314" s="37"/>
      <c r="BV314" s="37"/>
      <c r="BW314" s="37"/>
      <c r="BX314" s="37"/>
      <c r="BY314" s="37"/>
      <c r="BZ314" s="37"/>
      <c r="CA314" s="37"/>
      <c r="CB314" s="37"/>
      <c r="CC314" s="37"/>
      <c r="CD314" s="37"/>
      <c r="CE314" s="37"/>
      <c r="CF314" s="37"/>
      <c r="CG314" s="37"/>
      <c r="CH314" s="37"/>
      <c r="CI314" s="37"/>
      <c r="CJ314" s="37"/>
      <c r="CK314" s="37"/>
      <c r="CL314" s="37"/>
      <c r="CM314" s="37"/>
      <c r="CN314" s="37"/>
      <c r="CO314" s="37"/>
      <c r="CP314" s="37"/>
      <c r="CQ314" s="37"/>
      <c r="CR314" s="37"/>
      <c r="CS314" s="37"/>
      <c r="CT314" s="37"/>
      <c r="CU314" s="37"/>
      <c r="CV314" s="37"/>
      <c r="CW314" s="37"/>
      <c r="CX314" s="37"/>
      <c r="CY314" s="37"/>
      <c r="CZ314" s="37"/>
      <c r="DA314" s="37"/>
      <c r="DB314" s="37"/>
      <c r="DC314" s="37"/>
      <c r="DD314" s="37"/>
      <c r="DE314" s="37"/>
      <c r="DF314" s="37"/>
      <c r="DG314" s="37"/>
      <c r="DH314" s="37"/>
      <c r="DI314" s="37"/>
      <c r="DJ314" s="37"/>
      <c r="DK314" s="37"/>
      <c r="DL314" s="37"/>
      <c r="DM314" s="37"/>
      <c r="DN314" s="37"/>
      <c r="DO314" s="37"/>
      <c r="DP314" s="37"/>
      <c r="DQ314" s="37"/>
      <c r="DR314" s="37"/>
      <c r="DS314" s="37"/>
      <c r="DT314" s="37"/>
      <c r="DU314" s="37"/>
      <c r="DV314" s="37"/>
      <c r="DW314" s="37"/>
      <c r="DX314" s="37"/>
      <c r="DY314" s="37"/>
      <c r="DZ314" s="37"/>
      <c r="EA314" s="37"/>
      <c r="EB314" s="37"/>
      <c r="EC314" s="37"/>
      <c r="ED314" s="37"/>
      <c r="EE314" s="37"/>
      <c r="EF314" s="37"/>
      <c r="EG314" s="37"/>
      <c r="EH314" s="37"/>
      <c r="EI314" s="37"/>
      <c r="EJ314" s="37"/>
      <c r="EK314" s="37"/>
      <c r="EL314" s="37"/>
      <c r="EM314" s="37"/>
      <c r="EN314" s="37"/>
    </row>
    <row r="315" spans="1:145" s="34" customFormat="1">
      <c r="A315" s="46">
        <v>2</v>
      </c>
      <c r="B315" s="78" t="s">
        <v>150</v>
      </c>
      <c r="C315" s="85" t="s">
        <v>4</v>
      </c>
      <c r="D315" s="71">
        <f t="shared" ref="D315:O315" si="126">D282+D247+D212+D179</f>
        <v>61760521.998394787</v>
      </c>
      <c r="E315" s="71">
        <f t="shared" si="126"/>
        <v>54777815.030627713</v>
      </c>
      <c r="F315" s="71">
        <f t="shared" si="126"/>
        <v>57034467.627413765</v>
      </c>
      <c r="G315" s="71">
        <f t="shared" si="126"/>
        <v>58568176.116147958</v>
      </c>
      <c r="H315" s="71">
        <f t="shared" si="126"/>
        <v>54124260.19158268</v>
      </c>
      <c r="I315" s="71">
        <f t="shared" si="126"/>
        <v>51614840.344555274</v>
      </c>
      <c r="J315" s="71">
        <f t="shared" si="126"/>
        <v>51876531.509068206</v>
      </c>
      <c r="K315" s="71">
        <f t="shared" si="126"/>
        <v>55732928.162469327</v>
      </c>
      <c r="L315" s="71">
        <f t="shared" si="126"/>
        <v>63394402.813517071</v>
      </c>
      <c r="M315" s="71">
        <f t="shared" si="126"/>
        <v>69955926.538095206</v>
      </c>
      <c r="N315" s="71">
        <f t="shared" si="126"/>
        <v>72268989.999704272</v>
      </c>
      <c r="O315" s="71">
        <f t="shared" si="126"/>
        <v>71667593.784628898</v>
      </c>
      <c r="P315" s="76">
        <f>SUM(D315:O315)</f>
        <v>722776454.1162051</v>
      </c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  <c r="BI315" s="37"/>
      <c r="BJ315" s="37"/>
      <c r="BK315" s="37"/>
      <c r="BL315" s="37"/>
      <c r="BM315" s="37"/>
      <c r="BN315" s="37"/>
      <c r="BO315" s="37"/>
      <c r="BP315" s="37"/>
      <c r="BQ315" s="37"/>
      <c r="BR315" s="37"/>
      <c r="BS315" s="37"/>
      <c r="BT315" s="37"/>
      <c r="BU315" s="37"/>
      <c r="BV315" s="37"/>
      <c r="BW315" s="37"/>
      <c r="BX315" s="37"/>
      <c r="BY315" s="37"/>
      <c r="BZ315" s="37"/>
      <c r="CA315" s="37"/>
      <c r="CB315" s="37"/>
      <c r="CC315" s="37"/>
      <c r="CD315" s="37"/>
      <c r="CE315" s="37"/>
      <c r="CF315" s="37"/>
      <c r="CG315" s="37"/>
      <c r="CH315" s="37"/>
      <c r="CI315" s="37"/>
      <c r="CJ315" s="37"/>
      <c r="CK315" s="37"/>
      <c r="CL315" s="37"/>
      <c r="CM315" s="37"/>
      <c r="CN315" s="37"/>
      <c r="CO315" s="37"/>
      <c r="CP315" s="37"/>
      <c r="CQ315" s="37"/>
      <c r="CR315" s="37"/>
      <c r="CS315" s="37"/>
      <c r="CT315" s="37"/>
      <c r="CU315" s="37"/>
      <c r="CV315" s="37"/>
      <c r="CW315" s="37"/>
      <c r="CX315" s="37"/>
      <c r="CY315" s="37"/>
      <c r="CZ315" s="37"/>
      <c r="DA315" s="37"/>
      <c r="DB315" s="37"/>
      <c r="DC315" s="37"/>
      <c r="DD315" s="37"/>
      <c r="DE315" s="37"/>
      <c r="DF315" s="37"/>
      <c r="DG315" s="37"/>
      <c r="DH315" s="37"/>
      <c r="DI315" s="37"/>
      <c r="DJ315" s="37"/>
      <c r="DK315" s="37"/>
      <c r="DL315" s="37"/>
      <c r="DM315" s="37"/>
      <c r="DN315" s="37"/>
      <c r="DO315" s="37"/>
      <c r="DP315" s="37"/>
      <c r="DQ315" s="37"/>
      <c r="DR315" s="37"/>
      <c r="DS315" s="37"/>
      <c r="DT315" s="37"/>
      <c r="DU315" s="37"/>
      <c r="DV315" s="37"/>
      <c r="DW315" s="37"/>
      <c r="DX315" s="37"/>
      <c r="DY315" s="37"/>
      <c r="DZ315" s="37"/>
      <c r="EA315" s="37"/>
      <c r="EB315" s="37"/>
      <c r="EC315" s="37"/>
      <c r="ED315" s="37"/>
      <c r="EE315" s="37"/>
      <c r="EF315" s="37"/>
      <c r="EG315" s="37"/>
      <c r="EH315" s="37"/>
      <c r="EI315" s="37"/>
      <c r="EJ315" s="37"/>
      <c r="EK315" s="37"/>
      <c r="EL315" s="37"/>
      <c r="EM315" s="37"/>
      <c r="EN315" s="37"/>
    </row>
    <row r="316" spans="1:145" s="34" customFormat="1">
      <c r="A316" s="46"/>
      <c r="B316" s="78"/>
      <c r="C316" s="85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6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  <c r="BI316" s="37"/>
      <c r="BJ316" s="37"/>
      <c r="BK316" s="37"/>
      <c r="BL316" s="37"/>
      <c r="BM316" s="37"/>
      <c r="BN316" s="37"/>
      <c r="BO316" s="37"/>
      <c r="BP316" s="37"/>
      <c r="BQ316" s="37"/>
      <c r="BR316" s="37"/>
      <c r="BS316" s="37"/>
      <c r="BT316" s="37"/>
      <c r="BU316" s="37"/>
      <c r="BV316" s="37"/>
      <c r="BW316" s="37"/>
      <c r="BX316" s="37"/>
      <c r="BY316" s="37"/>
      <c r="BZ316" s="37"/>
      <c r="CA316" s="37"/>
      <c r="CB316" s="37"/>
      <c r="CC316" s="37"/>
      <c r="CD316" s="37"/>
      <c r="CE316" s="37"/>
      <c r="CF316" s="37"/>
      <c r="CG316" s="37"/>
      <c r="CH316" s="37"/>
      <c r="CI316" s="37"/>
      <c r="CJ316" s="37"/>
      <c r="CK316" s="37"/>
      <c r="CL316" s="37"/>
      <c r="CM316" s="37"/>
      <c r="CN316" s="37"/>
      <c r="CO316" s="37"/>
      <c r="CP316" s="37"/>
      <c r="CQ316" s="37"/>
      <c r="CR316" s="37"/>
      <c r="CS316" s="37"/>
      <c r="CT316" s="37"/>
      <c r="CU316" s="37"/>
      <c r="CV316" s="37"/>
      <c r="CW316" s="37"/>
      <c r="CX316" s="37"/>
      <c r="CY316" s="37"/>
      <c r="CZ316" s="37"/>
      <c r="DA316" s="37"/>
      <c r="DB316" s="37"/>
      <c r="DC316" s="37"/>
      <c r="DD316" s="37"/>
      <c r="DE316" s="37"/>
      <c r="DF316" s="37"/>
      <c r="DG316" s="37"/>
      <c r="DH316" s="37"/>
      <c r="DI316" s="37"/>
      <c r="DJ316" s="37"/>
      <c r="DK316" s="37"/>
      <c r="DL316" s="37"/>
      <c r="DM316" s="37"/>
      <c r="DN316" s="37"/>
      <c r="DO316" s="37"/>
      <c r="DP316" s="37"/>
      <c r="DQ316" s="37"/>
      <c r="DR316" s="37"/>
      <c r="DS316" s="37"/>
      <c r="DT316" s="37"/>
      <c r="DU316" s="37"/>
      <c r="DV316" s="37"/>
      <c r="DW316" s="37"/>
      <c r="DX316" s="37"/>
      <c r="DY316" s="37"/>
      <c r="DZ316" s="37"/>
      <c r="EA316" s="37"/>
      <c r="EB316" s="37"/>
      <c r="EC316" s="37"/>
      <c r="ED316" s="37"/>
      <c r="EE316" s="37"/>
      <c r="EF316" s="37"/>
      <c r="EG316" s="37"/>
      <c r="EH316" s="37"/>
      <c r="EI316" s="37"/>
      <c r="EJ316" s="37"/>
      <c r="EK316" s="37"/>
      <c r="EL316" s="37"/>
      <c r="EM316" s="37"/>
      <c r="EN316" s="37"/>
    </row>
    <row r="317" spans="1:145" s="34" customFormat="1">
      <c r="A317" s="46">
        <v>3</v>
      </c>
      <c r="B317" s="87" t="s">
        <v>81</v>
      </c>
      <c r="C317" s="74" t="s">
        <v>4</v>
      </c>
      <c r="D317" s="71">
        <f t="shared" ref="D317:O317" si="127">D284+D249+D214+D181</f>
        <v>750257050.51655602</v>
      </c>
      <c r="E317" s="71">
        <f t="shared" si="127"/>
        <v>648477401.04345512</v>
      </c>
      <c r="F317" s="71">
        <f t="shared" si="127"/>
        <v>636080713.96768939</v>
      </c>
      <c r="G317" s="71">
        <f t="shared" si="127"/>
        <v>629892854.17196417</v>
      </c>
      <c r="H317" s="71">
        <f t="shared" si="127"/>
        <v>574906928.45896232</v>
      </c>
      <c r="I317" s="71">
        <f t="shared" si="127"/>
        <v>582299904.14196062</v>
      </c>
      <c r="J317" s="71">
        <f t="shared" si="127"/>
        <v>617228975.798581</v>
      </c>
      <c r="K317" s="71">
        <f t="shared" si="127"/>
        <v>675382919.85911381</v>
      </c>
      <c r="L317" s="71">
        <f t="shared" si="127"/>
        <v>781935914.11168897</v>
      </c>
      <c r="M317" s="71">
        <f t="shared" si="127"/>
        <v>853822241.75951934</v>
      </c>
      <c r="N317" s="71">
        <f t="shared" si="127"/>
        <v>866750939.24555314</v>
      </c>
      <c r="O317" s="71">
        <f t="shared" si="127"/>
        <v>873774559.60258889</v>
      </c>
      <c r="P317" s="76">
        <f>SUM(D317:O317)</f>
        <v>8490810402.6776323</v>
      </c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  <c r="BB317" s="37"/>
      <c r="BC317" s="37"/>
      <c r="BD317" s="37"/>
      <c r="BE317" s="37"/>
      <c r="BF317" s="37"/>
      <c r="BG317" s="37"/>
      <c r="BH317" s="37"/>
      <c r="BI317" s="37"/>
      <c r="BJ317" s="37"/>
      <c r="BK317" s="37"/>
      <c r="BL317" s="37"/>
      <c r="BM317" s="37"/>
      <c r="BN317" s="37"/>
      <c r="BO317" s="37"/>
      <c r="BP317" s="37"/>
      <c r="BQ317" s="37"/>
      <c r="BR317" s="37"/>
      <c r="BS317" s="37"/>
      <c r="BT317" s="37"/>
      <c r="BU317" s="37"/>
      <c r="BV317" s="37"/>
      <c r="BW317" s="37"/>
      <c r="BX317" s="37"/>
      <c r="BY317" s="37"/>
      <c r="BZ317" s="37"/>
      <c r="CA317" s="37"/>
      <c r="CB317" s="37"/>
      <c r="CC317" s="37"/>
      <c r="CD317" s="37"/>
      <c r="CE317" s="37"/>
      <c r="CF317" s="37"/>
      <c r="CG317" s="37"/>
      <c r="CH317" s="37"/>
      <c r="CI317" s="37"/>
      <c r="CJ317" s="37"/>
      <c r="CK317" s="37"/>
      <c r="CL317" s="37"/>
      <c r="CM317" s="37"/>
      <c r="CN317" s="37"/>
      <c r="CO317" s="37"/>
      <c r="CP317" s="37"/>
      <c r="CQ317" s="37"/>
      <c r="CR317" s="37"/>
      <c r="CS317" s="37"/>
      <c r="CT317" s="37"/>
      <c r="CU317" s="37"/>
      <c r="CV317" s="37"/>
      <c r="CW317" s="37"/>
      <c r="CX317" s="37"/>
      <c r="CY317" s="37"/>
      <c r="CZ317" s="37"/>
      <c r="DA317" s="37"/>
      <c r="DB317" s="37"/>
      <c r="DC317" s="37"/>
      <c r="DD317" s="37"/>
      <c r="DE317" s="37"/>
      <c r="DF317" s="37"/>
      <c r="DG317" s="37"/>
      <c r="DH317" s="37"/>
      <c r="DI317" s="37"/>
      <c r="DJ317" s="37"/>
      <c r="DK317" s="37"/>
      <c r="DL317" s="37"/>
      <c r="DM317" s="37"/>
      <c r="DN317" s="37"/>
      <c r="DO317" s="37"/>
      <c r="DP317" s="37"/>
      <c r="DQ317" s="37"/>
      <c r="DR317" s="37"/>
      <c r="DS317" s="37"/>
      <c r="DT317" s="37"/>
      <c r="DU317" s="37"/>
      <c r="DV317" s="37"/>
      <c r="DW317" s="37"/>
      <c r="DX317" s="37"/>
      <c r="DY317" s="37"/>
      <c r="DZ317" s="37"/>
      <c r="EA317" s="37"/>
      <c r="EB317" s="37"/>
      <c r="EC317" s="37"/>
      <c r="ED317" s="37"/>
      <c r="EE317" s="37"/>
      <c r="EF317" s="37"/>
      <c r="EG317" s="37"/>
      <c r="EH317" s="37"/>
      <c r="EI317" s="37"/>
      <c r="EJ317" s="37"/>
      <c r="EK317" s="37"/>
      <c r="EL317" s="37"/>
      <c r="EM317" s="37"/>
      <c r="EN317" s="37"/>
    </row>
    <row r="318" spans="1:145" s="34" customFormat="1">
      <c r="A318" s="46">
        <v>4</v>
      </c>
      <c r="B318" s="87" t="s">
        <v>85</v>
      </c>
      <c r="C318" s="74" t="s">
        <v>4</v>
      </c>
      <c r="D318" s="72">
        <f t="shared" ref="D318:O318" si="128">D285+D250+D215+D182</f>
        <v>125570035.2847646</v>
      </c>
      <c r="E318" s="72">
        <f t="shared" si="128"/>
        <v>109997742.80045451</v>
      </c>
      <c r="F318" s="72">
        <f t="shared" si="128"/>
        <v>112903670.03313179</v>
      </c>
      <c r="G318" s="72">
        <f t="shared" si="128"/>
        <v>107923161.83727553</v>
      </c>
      <c r="H318" s="72">
        <f t="shared" si="128"/>
        <v>98427118.712025985</v>
      </c>
      <c r="I318" s="72">
        <f t="shared" si="128"/>
        <v>100179931.38495666</v>
      </c>
      <c r="J318" s="72">
        <f t="shared" si="128"/>
        <v>108307055.67101987</v>
      </c>
      <c r="K318" s="72">
        <f t="shared" si="128"/>
        <v>111521240.23915742</v>
      </c>
      <c r="L318" s="72">
        <f t="shared" si="128"/>
        <v>123611796.68788861</v>
      </c>
      <c r="M318" s="72">
        <f t="shared" si="128"/>
        <v>129160406.42924775</v>
      </c>
      <c r="N318" s="72">
        <f t="shared" si="128"/>
        <v>134836969.51819709</v>
      </c>
      <c r="O318" s="72">
        <f t="shared" si="128"/>
        <v>145868989.48336464</v>
      </c>
      <c r="P318" s="98">
        <f>SUM(D318:O318)</f>
        <v>1408308118.0814846</v>
      </c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7"/>
      <c r="AV318" s="37"/>
      <c r="AW318" s="37"/>
      <c r="AX318" s="37"/>
      <c r="AY318" s="37"/>
      <c r="AZ318" s="37"/>
      <c r="BA318" s="37"/>
      <c r="BB318" s="37"/>
      <c r="BC318" s="37"/>
      <c r="BD318" s="37"/>
      <c r="BE318" s="37"/>
      <c r="BF318" s="37"/>
      <c r="BG318" s="37"/>
      <c r="BH318" s="37"/>
      <c r="BI318" s="37"/>
      <c r="BJ318" s="37"/>
      <c r="BK318" s="37"/>
      <c r="BL318" s="37"/>
      <c r="BM318" s="37"/>
      <c r="BN318" s="37"/>
      <c r="BO318" s="37"/>
      <c r="BP318" s="37"/>
      <c r="BQ318" s="37"/>
      <c r="BR318" s="37"/>
      <c r="BS318" s="37"/>
      <c r="BT318" s="37"/>
      <c r="BU318" s="37"/>
      <c r="BV318" s="37"/>
      <c r="BW318" s="37"/>
      <c r="BX318" s="37"/>
      <c r="BY318" s="37"/>
      <c r="BZ318" s="37"/>
      <c r="CA318" s="37"/>
      <c r="CB318" s="37"/>
      <c r="CC318" s="37"/>
      <c r="CD318" s="37"/>
      <c r="CE318" s="37"/>
      <c r="CF318" s="37"/>
      <c r="CG318" s="37"/>
      <c r="CH318" s="37"/>
      <c r="CI318" s="37"/>
      <c r="CJ318" s="37"/>
      <c r="CK318" s="37"/>
      <c r="CL318" s="37"/>
      <c r="CM318" s="37"/>
      <c r="CN318" s="37"/>
      <c r="CO318" s="37"/>
      <c r="CP318" s="37"/>
      <c r="CQ318" s="37"/>
      <c r="CR318" s="37"/>
      <c r="CS318" s="37"/>
      <c r="CT318" s="37"/>
      <c r="CU318" s="37"/>
      <c r="CV318" s="37"/>
      <c r="CW318" s="37"/>
      <c r="CX318" s="37"/>
      <c r="CY318" s="37"/>
      <c r="CZ318" s="37"/>
      <c r="DA318" s="37"/>
      <c r="DB318" s="37"/>
      <c r="DC318" s="37"/>
      <c r="DD318" s="37"/>
      <c r="DE318" s="37"/>
      <c r="DF318" s="37"/>
      <c r="DG318" s="37"/>
      <c r="DH318" s="37"/>
      <c r="DI318" s="37"/>
      <c r="DJ318" s="37"/>
      <c r="DK318" s="37"/>
      <c r="DL318" s="37"/>
      <c r="DM318" s="37"/>
      <c r="DN318" s="37"/>
      <c r="DO318" s="37"/>
      <c r="DP318" s="37"/>
      <c r="DQ318" s="37"/>
      <c r="DR318" s="37"/>
      <c r="DS318" s="37"/>
      <c r="DT318" s="37"/>
      <c r="DU318" s="37"/>
      <c r="DV318" s="37"/>
      <c r="DW318" s="37"/>
      <c r="DX318" s="37"/>
      <c r="DY318" s="37"/>
      <c r="DZ318" s="37"/>
      <c r="EA318" s="37"/>
      <c r="EB318" s="37"/>
      <c r="EC318" s="37"/>
      <c r="ED318" s="37"/>
      <c r="EE318" s="37"/>
      <c r="EF318" s="37"/>
      <c r="EG318" s="37"/>
      <c r="EH318" s="37"/>
      <c r="EI318" s="37"/>
      <c r="EJ318" s="37"/>
      <c r="EK318" s="37"/>
      <c r="EL318" s="37"/>
      <c r="EM318" s="37"/>
      <c r="EN318" s="37"/>
    </row>
    <row r="319" spans="1:145" s="34" customFormat="1">
      <c r="A319" s="46">
        <v>5</v>
      </c>
      <c r="B319" s="96" t="s">
        <v>18</v>
      </c>
      <c r="C319" s="85"/>
      <c r="D319" s="94">
        <f t="shared" ref="D319:P319" si="129">SUM(D317:D318)</f>
        <v>875827085.80132067</v>
      </c>
      <c r="E319" s="94">
        <f t="shared" si="129"/>
        <v>758475143.84390962</v>
      </c>
      <c r="F319" s="94">
        <f t="shared" si="129"/>
        <v>748984384.00082123</v>
      </c>
      <c r="G319" s="94">
        <f t="shared" si="129"/>
        <v>737816016.00923967</v>
      </c>
      <c r="H319" s="94">
        <f t="shared" si="129"/>
        <v>673334047.17098832</v>
      </c>
      <c r="I319" s="94">
        <f t="shared" si="129"/>
        <v>682479835.52691722</v>
      </c>
      <c r="J319" s="94">
        <f t="shared" si="129"/>
        <v>725536031.46960092</v>
      </c>
      <c r="K319" s="94">
        <f t="shared" si="129"/>
        <v>786904160.09827125</v>
      </c>
      <c r="L319" s="94">
        <f t="shared" si="129"/>
        <v>905547710.79957759</v>
      </c>
      <c r="M319" s="94">
        <f t="shared" si="129"/>
        <v>982982648.18876708</v>
      </c>
      <c r="N319" s="94">
        <f t="shared" si="129"/>
        <v>1001587908.7637502</v>
      </c>
      <c r="O319" s="94">
        <f t="shared" si="129"/>
        <v>1019643549.0859535</v>
      </c>
      <c r="P319" s="94">
        <f t="shared" si="129"/>
        <v>9899118520.7591171</v>
      </c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  <c r="BB319" s="37"/>
      <c r="BC319" s="37"/>
      <c r="BD319" s="37"/>
      <c r="BE319" s="37"/>
      <c r="BF319" s="37"/>
      <c r="BG319" s="37"/>
      <c r="BH319" s="37"/>
      <c r="BI319" s="37"/>
      <c r="BJ319" s="37"/>
      <c r="BK319" s="37"/>
      <c r="BL319" s="37"/>
      <c r="BM319" s="37"/>
      <c r="BN319" s="37"/>
      <c r="BO319" s="37"/>
      <c r="BP319" s="37"/>
      <c r="BQ319" s="37"/>
      <c r="BR319" s="37"/>
      <c r="BS319" s="37"/>
      <c r="BT319" s="37"/>
      <c r="BU319" s="37"/>
      <c r="BV319" s="37"/>
      <c r="BW319" s="37"/>
      <c r="BX319" s="37"/>
      <c r="BY319" s="37"/>
      <c r="BZ319" s="37"/>
      <c r="CA319" s="37"/>
      <c r="CB319" s="37"/>
      <c r="CC319" s="37"/>
      <c r="CD319" s="37"/>
      <c r="CE319" s="37"/>
      <c r="CF319" s="37"/>
      <c r="CG319" s="37"/>
      <c r="CH319" s="37"/>
      <c r="CI319" s="37"/>
      <c r="CJ319" s="37"/>
      <c r="CK319" s="37"/>
      <c r="CL319" s="37"/>
      <c r="CM319" s="37"/>
      <c r="CN319" s="37"/>
      <c r="CO319" s="37"/>
      <c r="CP319" s="37"/>
      <c r="CQ319" s="37"/>
      <c r="CR319" s="37"/>
      <c r="CS319" s="37"/>
      <c r="CT319" s="37"/>
      <c r="CU319" s="37"/>
      <c r="CV319" s="37"/>
      <c r="CW319" s="37"/>
      <c r="CX319" s="37"/>
      <c r="CY319" s="37"/>
      <c r="CZ319" s="37"/>
      <c r="DA319" s="37"/>
      <c r="DB319" s="37"/>
      <c r="DC319" s="37"/>
      <c r="DD319" s="37"/>
      <c r="DE319" s="37"/>
      <c r="DF319" s="37"/>
      <c r="DG319" s="37"/>
      <c r="DH319" s="37"/>
      <c r="DI319" s="37"/>
      <c r="DJ319" s="37"/>
      <c r="DK319" s="37"/>
      <c r="DL319" s="37"/>
      <c r="DM319" s="37"/>
      <c r="DN319" s="37"/>
      <c r="DO319" s="37"/>
      <c r="DP319" s="37"/>
      <c r="DQ319" s="37"/>
      <c r="DR319" s="37"/>
      <c r="DS319" s="37"/>
      <c r="DT319" s="37"/>
      <c r="DU319" s="37"/>
      <c r="DV319" s="37"/>
      <c r="DW319" s="37"/>
      <c r="DX319" s="37"/>
      <c r="DY319" s="37"/>
      <c r="DZ319" s="37"/>
      <c r="EA319" s="37"/>
      <c r="EB319" s="37"/>
      <c r="EC319" s="37"/>
      <c r="ED319" s="37"/>
      <c r="EE319" s="37"/>
      <c r="EF319" s="37"/>
      <c r="EG319" s="37"/>
      <c r="EH319" s="37"/>
      <c r="EI319" s="37"/>
      <c r="EJ319" s="37"/>
      <c r="EK319" s="37"/>
      <c r="EL319" s="37"/>
      <c r="EM319" s="37"/>
      <c r="EN319" s="37"/>
    </row>
    <row r="320" spans="1:145" s="34" customFormat="1">
      <c r="B320" s="146"/>
      <c r="C320" s="85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71"/>
      <c r="O320" s="71"/>
      <c r="P320" s="76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  <c r="BB320" s="37"/>
      <c r="BC320" s="37"/>
      <c r="BD320" s="37"/>
      <c r="BE320" s="37"/>
      <c r="BF320" s="37"/>
      <c r="BG320" s="37"/>
      <c r="BH320" s="37"/>
      <c r="BI320" s="37"/>
      <c r="BJ320" s="37"/>
      <c r="BK320" s="37"/>
      <c r="BL320" s="37"/>
      <c r="BM320" s="37"/>
      <c r="BN320" s="37"/>
      <c r="BO320" s="37"/>
      <c r="BP320" s="37"/>
      <c r="BQ320" s="37"/>
      <c r="BR320" s="37"/>
      <c r="BS320" s="37"/>
      <c r="BT320" s="37"/>
      <c r="BU320" s="37"/>
      <c r="BV320" s="37"/>
      <c r="BW320" s="37"/>
      <c r="BX320" s="37"/>
      <c r="BY320" s="37"/>
      <c r="BZ320" s="37"/>
      <c r="CA320" s="37"/>
      <c r="CB320" s="37"/>
      <c r="CC320" s="37"/>
      <c r="CD320" s="37"/>
      <c r="CE320" s="37"/>
      <c r="CF320" s="37"/>
      <c r="CG320" s="37"/>
      <c r="CH320" s="37"/>
      <c r="CI320" s="37"/>
      <c r="CJ320" s="37"/>
      <c r="CK320" s="37"/>
      <c r="CL320" s="37"/>
      <c r="CM320" s="37"/>
      <c r="CN320" s="37"/>
      <c r="CO320" s="37"/>
      <c r="CP320" s="37"/>
      <c r="CQ320" s="37"/>
      <c r="CR320" s="37"/>
      <c r="CS320" s="37"/>
      <c r="CT320" s="37"/>
      <c r="CU320" s="37"/>
      <c r="CV320" s="37"/>
      <c r="CW320" s="37"/>
      <c r="CX320" s="37"/>
      <c r="CY320" s="37"/>
      <c r="CZ320" s="37"/>
      <c r="DA320" s="37"/>
      <c r="DB320" s="37"/>
      <c r="DC320" s="37"/>
      <c r="DD320" s="37"/>
      <c r="DE320" s="37"/>
      <c r="DF320" s="37"/>
      <c r="DG320" s="37"/>
      <c r="DH320" s="37"/>
      <c r="DI320" s="37"/>
      <c r="DJ320" s="37"/>
      <c r="DK320" s="37"/>
      <c r="DL320" s="37"/>
      <c r="DM320" s="37"/>
      <c r="DN320" s="37"/>
      <c r="DO320" s="37"/>
      <c r="DP320" s="37"/>
      <c r="DQ320" s="37"/>
      <c r="DR320" s="37"/>
      <c r="DS320" s="37"/>
      <c r="DT320" s="37"/>
      <c r="DU320" s="37"/>
      <c r="DV320" s="37"/>
      <c r="DW320" s="37"/>
      <c r="DX320" s="37"/>
      <c r="DY320" s="37"/>
      <c r="DZ320" s="37"/>
      <c r="EA320" s="37"/>
      <c r="EB320" s="37"/>
      <c r="EC320" s="37"/>
      <c r="ED320" s="37"/>
      <c r="EE320" s="37"/>
      <c r="EF320" s="37"/>
      <c r="EG320" s="37"/>
      <c r="EH320" s="37"/>
      <c r="EI320" s="37"/>
      <c r="EJ320" s="37"/>
      <c r="EK320" s="37"/>
      <c r="EL320" s="37"/>
      <c r="EM320" s="37"/>
      <c r="EN320" s="37"/>
    </row>
    <row r="321" spans="1:144" s="34" customFormat="1">
      <c r="A321" s="46">
        <v>6</v>
      </c>
      <c r="B321" s="87" t="s">
        <v>82</v>
      </c>
      <c r="C321" s="74" t="s">
        <v>5</v>
      </c>
      <c r="D321" s="71">
        <f t="shared" ref="D321:O321" si="130">D288+D253+D218+D185</f>
        <v>20207368.539118737</v>
      </c>
      <c r="E321" s="71">
        <f t="shared" si="130"/>
        <v>19989883.93646561</v>
      </c>
      <c r="F321" s="71">
        <f t="shared" si="130"/>
        <v>21855815.214070555</v>
      </c>
      <c r="G321" s="71">
        <f t="shared" si="130"/>
        <v>19955412.826817628</v>
      </c>
      <c r="H321" s="71">
        <f t="shared" si="130"/>
        <v>19919937.715730648</v>
      </c>
      <c r="I321" s="71">
        <f t="shared" si="130"/>
        <v>21349054.776518367</v>
      </c>
      <c r="J321" s="71">
        <f t="shared" si="130"/>
        <v>23255271.97641075</v>
      </c>
      <c r="K321" s="71">
        <f t="shared" si="130"/>
        <v>26031116.248519443</v>
      </c>
      <c r="L321" s="71">
        <f t="shared" si="130"/>
        <v>24257427.325531911</v>
      </c>
      <c r="M321" s="71">
        <f t="shared" si="130"/>
        <v>24767458.941404942</v>
      </c>
      <c r="N321" s="71">
        <f t="shared" si="130"/>
        <v>25260973.060191303</v>
      </c>
      <c r="O321" s="71">
        <f t="shared" si="130"/>
        <v>25963396.396257937</v>
      </c>
      <c r="P321" s="76">
        <f>SUM(D321:O321)</f>
        <v>272813116.95703781</v>
      </c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37"/>
      <c r="BI321" s="37"/>
      <c r="BJ321" s="37"/>
      <c r="BK321" s="37"/>
      <c r="BL321" s="37"/>
      <c r="BM321" s="37"/>
      <c r="BN321" s="37"/>
      <c r="BO321" s="37"/>
      <c r="BP321" s="37"/>
      <c r="BQ321" s="37"/>
      <c r="BR321" s="37"/>
      <c r="BS321" s="37"/>
      <c r="BT321" s="37"/>
      <c r="BU321" s="37"/>
      <c r="BV321" s="37"/>
      <c r="BW321" s="37"/>
      <c r="BX321" s="37"/>
      <c r="BY321" s="37"/>
      <c r="BZ321" s="37"/>
      <c r="CA321" s="37"/>
      <c r="CB321" s="37"/>
      <c r="CC321" s="37"/>
      <c r="CD321" s="37"/>
      <c r="CE321" s="37"/>
      <c r="CF321" s="37"/>
      <c r="CG321" s="37"/>
      <c r="CH321" s="37"/>
      <c r="CI321" s="37"/>
      <c r="CJ321" s="37"/>
      <c r="CK321" s="37"/>
      <c r="CL321" s="37"/>
      <c r="CM321" s="37"/>
      <c r="CN321" s="37"/>
      <c r="CO321" s="37"/>
      <c r="CP321" s="37"/>
      <c r="CQ321" s="37"/>
      <c r="CR321" s="37"/>
      <c r="CS321" s="37"/>
      <c r="CT321" s="37"/>
      <c r="CU321" s="37"/>
      <c r="CV321" s="37"/>
      <c r="CW321" s="37"/>
      <c r="CX321" s="37"/>
      <c r="CY321" s="37"/>
      <c r="CZ321" s="37"/>
      <c r="DA321" s="37"/>
      <c r="DB321" s="37"/>
      <c r="DC321" s="37"/>
      <c r="DD321" s="37"/>
      <c r="DE321" s="37"/>
      <c r="DF321" s="37"/>
      <c r="DG321" s="37"/>
      <c r="DH321" s="37"/>
      <c r="DI321" s="37"/>
      <c r="DJ321" s="37"/>
      <c r="DK321" s="37"/>
      <c r="DL321" s="37"/>
      <c r="DM321" s="37"/>
      <c r="DN321" s="37"/>
      <c r="DO321" s="37"/>
      <c r="DP321" s="37"/>
      <c r="DQ321" s="37"/>
      <c r="DR321" s="37"/>
      <c r="DS321" s="37"/>
      <c r="DT321" s="37"/>
      <c r="DU321" s="37"/>
      <c r="DV321" s="37"/>
      <c r="DW321" s="37"/>
      <c r="DX321" s="37"/>
      <c r="DY321" s="37"/>
      <c r="DZ321" s="37"/>
      <c r="EA321" s="37"/>
      <c r="EB321" s="37"/>
      <c r="EC321" s="37"/>
      <c r="ED321" s="37"/>
      <c r="EE321" s="37"/>
      <c r="EF321" s="37"/>
      <c r="EG321" s="37"/>
      <c r="EH321" s="37"/>
      <c r="EI321" s="37"/>
      <c r="EJ321" s="37"/>
      <c r="EK321" s="37"/>
      <c r="EL321" s="37"/>
      <c r="EM321" s="37"/>
      <c r="EN321" s="37"/>
    </row>
    <row r="322" spans="1:144" s="34" customFormat="1">
      <c r="A322" s="46">
        <v>7</v>
      </c>
      <c r="B322" s="87" t="s">
        <v>83</v>
      </c>
      <c r="C322" s="74" t="s">
        <v>5</v>
      </c>
      <c r="D322" s="84">
        <f t="shared" ref="D322:O322" si="131">D289+D254+D219+D186</f>
        <v>330471562.4500438</v>
      </c>
      <c r="E322" s="84">
        <f t="shared" si="131"/>
        <v>315516397.52643794</v>
      </c>
      <c r="F322" s="84">
        <f t="shared" si="131"/>
        <v>316952741.64816815</v>
      </c>
      <c r="G322" s="84">
        <f t="shared" si="131"/>
        <v>328680031.26975036</v>
      </c>
      <c r="H322" s="84">
        <f t="shared" si="131"/>
        <v>296076432.22922111</v>
      </c>
      <c r="I322" s="84">
        <f t="shared" si="131"/>
        <v>300642720.36853778</v>
      </c>
      <c r="J322" s="84">
        <f t="shared" si="131"/>
        <v>319219883.69068676</v>
      </c>
      <c r="K322" s="84">
        <f t="shared" si="131"/>
        <v>318418740.48565334</v>
      </c>
      <c r="L322" s="84">
        <f t="shared" si="131"/>
        <v>342671949.47534502</v>
      </c>
      <c r="M322" s="84">
        <f t="shared" si="131"/>
        <v>346785214.70484155</v>
      </c>
      <c r="N322" s="84">
        <f t="shared" si="131"/>
        <v>351888744.12896729</v>
      </c>
      <c r="O322" s="84">
        <f t="shared" si="131"/>
        <v>358514228.66537219</v>
      </c>
      <c r="P322" s="76">
        <f>SUM(D322:O322)</f>
        <v>3925838646.6430254</v>
      </c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  <c r="BM322" s="37"/>
      <c r="BN322" s="37"/>
      <c r="BO322" s="37"/>
      <c r="BP322" s="37"/>
      <c r="BQ322" s="37"/>
      <c r="BR322" s="37"/>
      <c r="BS322" s="37"/>
      <c r="BT322" s="37"/>
      <c r="BU322" s="37"/>
      <c r="BV322" s="37"/>
      <c r="BW322" s="37"/>
      <c r="BX322" s="37"/>
      <c r="BY322" s="37"/>
      <c r="BZ322" s="37"/>
      <c r="CA322" s="37"/>
      <c r="CB322" s="37"/>
      <c r="CC322" s="37"/>
      <c r="CD322" s="37"/>
      <c r="CE322" s="37"/>
      <c r="CF322" s="37"/>
      <c r="CG322" s="37"/>
      <c r="CH322" s="37"/>
      <c r="CI322" s="37"/>
      <c r="CJ322" s="37"/>
      <c r="CK322" s="37"/>
      <c r="CL322" s="37"/>
      <c r="CM322" s="37"/>
      <c r="CN322" s="37"/>
      <c r="CO322" s="37"/>
      <c r="CP322" s="37"/>
      <c r="CQ322" s="37"/>
      <c r="CR322" s="37"/>
      <c r="CS322" s="37"/>
      <c r="CT322" s="37"/>
      <c r="CU322" s="37"/>
      <c r="CV322" s="37"/>
      <c r="CW322" s="37"/>
      <c r="CX322" s="37"/>
      <c r="CY322" s="37"/>
      <c r="CZ322" s="37"/>
      <c r="DA322" s="37"/>
      <c r="DB322" s="37"/>
      <c r="DC322" s="37"/>
      <c r="DD322" s="37"/>
      <c r="DE322" s="37"/>
      <c r="DF322" s="37"/>
      <c r="DG322" s="37"/>
      <c r="DH322" s="37"/>
      <c r="DI322" s="37"/>
      <c r="DJ322" s="37"/>
      <c r="DK322" s="37"/>
      <c r="DL322" s="37"/>
      <c r="DM322" s="37"/>
      <c r="DN322" s="37"/>
      <c r="DO322" s="37"/>
      <c r="DP322" s="37"/>
      <c r="DQ322" s="37"/>
      <c r="DR322" s="37"/>
      <c r="DS322" s="37"/>
      <c r="DT322" s="37"/>
      <c r="DU322" s="37"/>
      <c r="DV322" s="37"/>
      <c r="DW322" s="37"/>
      <c r="DX322" s="37"/>
      <c r="DY322" s="37"/>
      <c r="DZ322" s="37"/>
      <c r="EA322" s="37"/>
      <c r="EB322" s="37"/>
      <c r="EC322" s="37"/>
      <c r="ED322" s="37"/>
      <c r="EE322" s="37"/>
      <c r="EF322" s="37"/>
      <c r="EG322" s="37"/>
      <c r="EH322" s="37"/>
      <c r="EI322" s="37"/>
      <c r="EJ322" s="37"/>
      <c r="EK322" s="37"/>
      <c r="EL322" s="37"/>
      <c r="EM322" s="37"/>
      <c r="EN322" s="37"/>
    </row>
    <row r="323" spans="1:144" s="34" customFormat="1">
      <c r="A323" s="46">
        <v>8</v>
      </c>
      <c r="B323" s="87" t="s">
        <v>148</v>
      </c>
      <c r="C323" s="74" t="s">
        <v>5</v>
      </c>
      <c r="D323" s="84">
        <f t="shared" ref="D323:O323" si="132">D290+D255+D220+D187</f>
        <v>450653.38199999998</v>
      </c>
      <c r="E323" s="84">
        <f t="shared" si="132"/>
        <v>428716.152</v>
      </c>
      <c r="F323" s="84">
        <f t="shared" si="132"/>
        <v>487842.20999999996</v>
      </c>
      <c r="G323" s="84">
        <f t="shared" si="132"/>
        <v>383170.28399999999</v>
      </c>
      <c r="H323" s="84">
        <f t="shared" si="132"/>
        <v>387975.58199999999</v>
      </c>
      <c r="I323" s="84">
        <f t="shared" si="132"/>
        <v>493274.28599999996</v>
      </c>
      <c r="J323" s="84">
        <f t="shared" si="132"/>
        <v>517509.70199999999</v>
      </c>
      <c r="K323" s="84">
        <f t="shared" si="132"/>
        <v>574964.35199999996</v>
      </c>
      <c r="L323" s="84">
        <f t="shared" si="132"/>
        <v>619256.66399999999</v>
      </c>
      <c r="M323" s="84">
        <f t="shared" si="132"/>
        <v>618003.10800000001</v>
      </c>
      <c r="N323" s="84">
        <f t="shared" si="132"/>
        <v>577889.31599999999</v>
      </c>
      <c r="O323" s="84">
        <f t="shared" si="132"/>
        <v>603796.14</v>
      </c>
      <c r="P323" s="76">
        <f t="shared" ref="P323:P324" si="133">SUM(D323:O323)</f>
        <v>6143051.1779999994</v>
      </c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  <c r="BB323" s="37"/>
      <c r="BC323" s="37"/>
      <c r="BD323" s="37"/>
      <c r="BE323" s="37"/>
      <c r="BF323" s="37"/>
      <c r="BG323" s="37"/>
      <c r="BH323" s="37"/>
      <c r="BI323" s="37"/>
      <c r="BJ323" s="37"/>
      <c r="BK323" s="37"/>
      <c r="BL323" s="37"/>
      <c r="BM323" s="37"/>
      <c r="BN323" s="37"/>
      <c r="BO323" s="37"/>
      <c r="BP323" s="37"/>
      <c r="BQ323" s="37"/>
      <c r="BR323" s="37"/>
      <c r="BS323" s="37"/>
      <c r="BT323" s="37"/>
      <c r="BU323" s="37"/>
      <c r="BV323" s="37"/>
      <c r="BW323" s="37"/>
      <c r="BX323" s="37"/>
      <c r="BY323" s="37"/>
      <c r="BZ323" s="37"/>
      <c r="CA323" s="37"/>
      <c r="CB323" s="37"/>
      <c r="CC323" s="37"/>
      <c r="CD323" s="37"/>
      <c r="CE323" s="37"/>
      <c r="CF323" s="37"/>
      <c r="CG323" s="37"/>
      <c r="CH323" s="37"/>
      <c r="CI323" s="37"/>
      <c r="CJ323" s="37"/>
      <c r="CK323" s="37"/>
      <c r="CL323" s="37"/>
      <c r="CM323" s="37"/>
      <c r="CN323" s="37"/>
      <c r="CO323" s="37"/>
      <c r="CP323" s="37"/>
      <c r="CQ323" s="37"/>
      <c r="CR323" s="37"/>
      <c r="CS323" s="37"/>
      <c r="CT323" s="37"/>
      <c r="CU323" s="37"/>
      <c r="CV323" s="37"/>
      <c r="CW323" s="37"/>
      <c r="CX323" s="37"/>
      <c r="CY323" s="37"/>
      <c r="CZ323" s="37"/>
      <c r="DA323" s="37"/>
      <c r="DB323" s="37"/>
      <c r="DC323" s="37"/>
      <c r="DD323" s="37"/>
      <c r="DE323" s="37"/>
      <c r="DF323" s="37"/>
      <c r="DG323" s="37"/>
      <c r="DH323" s="37"/>
      <c r="DI323" s="37"/>
      <c r="DJ323" s="37"/>
      <c r="DK323" s="37"/>
      <c r="DL323" s="37"/>
      <c r="DM323" s="37"/>
      <c r="DN323" s="37"/>
      <c r="DO323" s="37"/>
      <c r="DP323" s="37"/>
      <c r="DQ323" s="37"/>
      <c r="DR323" s="37"/>
      <c r="DS323" s="37"/>
      <c r="DT323" s="37"/>
      <c r="DU323" s="37"/>
      <c r="DV323" s="37"/>
      <c r="DW323" s="37"/>
      <c r="DX323" s="37"/>
      <c r="DY323" s="37"/>
      <c r="DZ323" s="37"/>
      <c r="EA323" s="37"/>
      <c r="EB323" s="37"/>
      <c r="EC323" s="37"/>
      <c r="ED323" s="37"/>
      <c r="EE323" s="37"/>
      <c r="EF323" s="37"/>
      <c r="EG323" s="37"/>
      <c r="EH323" s="37"/>
      <c r="EI323" s="37"/>
      <c r="EJ323" s="37"/>
      <c r="EK323" s="37"/>
      <c r="EL323" s="37"/>
      <c r="EM323" s="37"/>
      <c r="EN323" s="37"/>
    </row>
    <row r="324" spans="1:144" s="34" customFormat="1">
      <c r="A324" s="46">
        <v>9</v>
      </c>
      <c r="B324" s="87" t="s">
        <v>149</v>
      </c>
      <c r="C324" s="74" t="s">
        <v>5</v>
      </c>
      <c r="D324" s="84">
        <f t="shared" ref="D324:O324" si="134">D291+D256+D221+D188</f>
        <v>49629807.1998</v>
      </c>
      <c r="E324" s="84">
        <f t="shared" si="134"/>
        <v>44261767.018799998</v>
      </c>
      <c r="F324" s="84">
        <f t="shared" si="134"/>
        <v>47265099.161399998</v>
      </c>
      <c r="G324" s="84">
        <f t="shared" si="134"/>
        <v>50425877.937599994</v>
      </c>
      <c r="H324" s="84">
        <f t="shared" si="134"/>
        <v>48536581.012199998</v>
      </c>
      <c r="I324" s="84">
        <f t="shared" si="134"/>
        <v>41215981.112999998</v>
      </c>
      <c r="J324" s="84">
        <f t="shared" si="134"/>
        <v>46767332.966399997</v>
      </c>
      <c r="K324" s="84">
        <f t="shared" si="134"/>
        <v>43281611.582399994</v>
      </c>
      <c r="L324" s="84">
        <f t="shared" si="134"/>
        <v>42917411.779199995</v>
      </c>
      <c r="M324" s="84">
        <f t="shared" si="134"/>
        <v>35947953.808200002</v>
      </c>
      <c r="N324" s="84">
        <f t="shared" si="134"/>
        <v>33020858.762999997</v>
      </c>
      <c r="O324" s="84">
        <f t="shared" si="134"/>
        <v>38960499.587399997</v>
      </c>
      <c r="P324" s="76">
        <f t="shared" si="133"/>
        <v>522230781.92939997</v>
      </c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  <c r="BB324" s="37"/>
      <c r="BC324" s="37"/>
      <c r="BD324" s="37"/>
      <c r="BE324" s="37"/>
      <c r="BF324" s="37"/>
      <c r="BG324" s="37"/>
      <c r="BH324" s="37"/>
      <c r="BI324" s="37"/>
      <c r="BJ324" s="37"/>
      <c r="BK324" s="37"/>
      <c r="BL324" s="37"/>
      <c r="BM324" s="37"/>
      <c r="BN324" s="37"/>
      <c r="BO324" s="37"/>
      <c r="BP324" s="37"/>
      <c r="BQ324" s="37"/>
      <c r="BR324" s="37"/>
      <c r="BS324" s="37"/>
      <c r="BT324" s="37"/>
      <c r="BU324" s="37"/>
      <c r="BV324" s="37"/>
      <c r="BW324" s="37"/>
      <c r="BX324" s="37"/>
      <c r="BY324" s="37"/>
      <c r="BZ324" s="37"/>
      <c r="CA324" s="37"/>
      <c r="CB324" s="37"/>
      <c r="CC324" s="37"/>
      <c r="CD324" s="37"/>
      <c r="CE324" s="37"/>
      <c r="CF324" s="37"/>
      <c r="CG324" s="37"/>
      <c r="CH324" s="37"/>
      <c r="CI324" s="37"/>
      <c r="CJ324" s="37"/>
      <c r="CK324" s="37"/>
      <c r="CL324" s="37"/>
      <c r="CM324" s="37"/>
      <c r="CN324" s="37"/>
      <c r="CO324" s="37"/>
      <c r="CP324" s="37"/>
      <c r="CQ324" s="37"/>
      <c r="CR324" s="37"/>
      <c r="CS324" s="37"/>
      <c r="CT324" s="37"/>
      <c r="CU324" s="37"/>
      <c r="CV324" s="37"/>
      <c r="CW324" s="37"/>
      <c r="CX324" s="37"/>
      <c r="CY324" s="37"/>
      <c r="CZ324" s="37"/>
      <c r="DA324" s="37"/>
      <c r="DB324" s="37"/>
      <c r="DC324" s="37"/>
      <c r="DD324" s="37"/>
      <c r="DE324" s="37"/>
      <c r="DF324" s="37"/>
      <c r="DG324" s="37"/>
      <c r="DH324" s="37"/>
      <c r="DI324" s="37"/>
      <c r="DJ324" s="37"/>
      <c r="DK324" s="37"/>
      <c r="DL324" s="37"/>
      <c r="DM324" s="37"/>
      <c r="DN324" s="37"/>
      <c r="DO324" s="37"/>
      <c r="DP324" s="37"/>
      <c r="DQ324" s="37"/>
      <c r="DR324" s="37"/>
      <c r="DS324" s="37"/>
      <c r="DT324" s="37"/>
      <c r="DU324" s="37"/>
      <c r="DV324" s="37"/>
      <c r="DW324" s="37"/>
      <c r="DX324" s="37"/>
      <c r="DY324" s="37"/>
      <c r="DZ324" s="37"/>
      <c r="EA324" s="37"/>
      <c r="EB324" s="37"/>
      <c r="EC324" s="37"/>
      <c r="ED324" s="37"/>
      <c r="EE324" s="37"/>
      <c r="EF324" s="37"/>
      <c r="EG324" s="37"/>
      <c r="EH324" s="37"/>
      <c r="EI324" s="37"/>
      <c r="EJ324" s="37"/>
      <c r="EK324" s="37"/>
      <c r="EL324" s="37"/>
      <c r="EM324" s="37"/>
      <c r="EN324" s="37"/>
    </row>
    <row r="325" spans="1:144" s="34" customFormat="1">
      <c r="A325" s="46">
        <v>10</v>
      </c>
      <c r="B325" s="78" t="s">
        <v>19</v>
      </c>
      <c r="C325" s="74"/>
      <c r="D325" s="218">
        <f>SUM(D321:D324)</f>
        <v>400759391.57096261</v>
      </c>
      <c r="E325" s="218">
        <f t="shared" ref="E325:P325" si="135">SUM(E321:E324)</f>
        <v>380196764.63370359</v>
      </c>
      <c r="F325" s="218">
        <f t="shared" si="135"/>
        <v>386561498.2336387</v>
      </c>
      <c r="G325" s="218">
        <f t="shared" si="135"/>
        <v>399444492.31816798</v>
      </c>
      <c r="H325" s="218">
        <f t="shared" si="135"/>
        <v>364920926.53915179</v>
      </c>
      <c r="I325" s="218">
        <f t="shared" si="135"/>
        <v>363701030.54405612</v>
      </c>
      <c r="J325" s="218">
        <f t="shared" si="135"/>
        <v>389759998.3354975</v>
      </c>
      <c r="K325" s="218">
        <f t="shared" si="135"/>
        <v>388306432.66857278</v>
      </c>
      <c r="L325" s="218">
        <f t="shared" si="135"/>
        <v>410466045.24407691</v>
      </c>
      <c r="M325" s="218">
        <f t="shared" si="135"/>
        <v>408118630.56244648</v>
      </c>
      <c r="N325" s="218">
        <f t="shared" si="135"/>
        <v>410748465.26815856</v>
      </c>
      <c r="O325" s="218">
        <f t="shared" si="135"/>
        <v>424041920.78903013</v>
      </c>
      <c r="P325" s="218">
        <f t="shared" si="135"/>
        <v>4727025596.7074633</v>
      </c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  <c r="BB325" s="37"/>
      <c r="BC325" s="37"/>
      <c r="BD325" s="37"/>
      <c r="BE325" s="37"/>
      <c r="BF325" s="37"/>
      <c r="BG325" s="37"/>
      <c r="BH325" s="37"/>
      <c r="BI325" s="37"/>
      <c r="BJ325" s="37"/>
      <c r="BK325" s="37"/>
      <c r="BL325" s="37"/>
      <c r="BM325" s="37"/>
      <c r="BN325" s="37"/>
      <c r="BO325" s="37"/>
      <c r="BP325" s="37"/>
      <c r="BQ325" s="37"/>
      <c r="BR325" s="37"/>
      <c r="BS325" s="37"/>
      <c r="BT325" s="37"/>
      <c r="BU325" s="37"/>
      <c r="BV325" s="37"/>
      <c r="BW325" s="37"/>
      <c r="BX325" s="37"/>
      <c r="BY325" s="37"/>
      <c r="BZ325" s="37"/>
      <c r="CA325" s="37"/>
      <c r="CB325" s="37"/>
      <c r="CC325" s="37"/>
      <c r="CD325" s="37"/>
      <c r="CE325" s="37"/>
      <c r="CF325" s="37"/>
      <c r="CG325" s="37"/>
      <c r="CH325" s="37"/>
      <c r="CI325" s="37"/>
      <c r="CJ325" s="37"/>
      <c r="CK325" s="37"/>
      <c r="CL325" s="37"/>
      <c r="CM325" s="37"/>
      <c r="CN325" s="37"/>
      <c r="CO325" s="37"/>
      <c r="CP325" s="37"/>
      <c r="CQ325" s="37"/>
      <c r="CR325" s="37"/>
      <c r="CS325" s="37"/>
      <c r="CT325" s="37"/>
      <c r="CU325" s="37"/>
      <c r="CV325" s="37"/>
      <c r="CW325" s="37"/>
      <c r="CX325" s="37"/>
      <c r="CY325" s="37"/>
      <c r="CZ325" s="37"/>
      <c r="DA325" s="37"/>
      <c r="DB325" s="37"/>
      <c r="DC325" s="37"/>
      <c r="DD325" s="37"/>
      <c r="DE325" s="37"/>
      <c r="DF325" s="37"/>
      <c r="DG325" s="37"/>
      <c r="DH325" s="37"/>
      <c r="DI325" s="37"/>
      <c r="DJ325" s="37"/>
      <c r="DK325" s="37"/>
      <c r="DL325" s="37"/>
      <c r="DM325" s="37"/>
      <c r="DN325" s="37"/>
      <c r="DO325" s="37"/>
      <c r="DP325" s="37"/>
      <c r="DQ325" s="37"/>
      <c r="DR325" s="37"/>
      <c r="DS325" s="37"/>
      <c r="DT325" s="37"/>
      <c r="DU325" s="37"/>
      <c r="DV325" s="37"/>
      <c r="DW325" s="37"/>
      <c r="DX325" s="37"/>
      <c r="DY325" s="37"/>
      <c r="DZ325" s="37"/>
      <c r="EA325" s="37"/>
      <c r="EB325" s="37"/>
      <c r="EC325" s="37"/>
      <c r="ED325" s="37"/>
      <c r="EE325" s="37"/>
      <c r="EF325" s="37"/>
      <c r="EG325" s="37"/>
      <c r="EH325" s="37"/>
      <c r="EI325" s="37"/>
      <c r="EJ325" s="37"/>
      <c r="EK325" s="37"/>
      <c r="EL325" s="37"/>
      <c r="EM325" s="37"/>
      <c r="EN325" s="37"/>
    </row>
    <row r="326" spans="1:144" s="34" customFormat="1">
      <c r="A326" s="46"/>
      <c r="B326" s="78"/>
      <c r="C326" s="74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6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  <c r="BB326" s="37"/>
      <c r="BC326" s="37"/>
      <c r="BD326" s="37"/>
      <c r="BE326" s="37"/>
      <c r="BF326" s="37"/>
      <c r="BG326" s="37"/>
      <c r="BH326" s="37"/>
      <c r="BI326" s="37"/>
      <c r="BJ326" s="37"/>
      <c r="BK326" s="37"/>
      <c r="BL326" s="37"/>
      <c r="BM326" s="37"/>
      <c r="BN326" s="37"/>
      <c r="BO326" s="37"/>
      <c r="BP326" s="37"/>
      <c r="BQ326" s="37"/>
      <c r="BR326" s="37"/>
      <c r="BS326" s="37"/>
      <c r="BT326" s="37"/>
      <c r="BU326" s="37"/>
      <c r="BV326" s="37"/>
      <c r="BW326" s="37"/>
      <c r="BX326" s="37"/>
      <c r="BY326" s="37"/>
      <c r="BZ326" s="37"/>
      <c r="CA326" s="37"/>
      <c r="CB326" s="37"/>
      <c r="CC326" s="37"/>
      <c r="CD326" s="37"/>
      <c r="CE326" s="37"/>
      <c r="CF326" s="37"/>
      <c r="CG326" s="37"/>
      <c r="CH326" s="37"/>
      <c r="CI326" s="37"/>
      <c r="CJ326" s="37"/>
      <c r="CK326" s="37"/>
      <c r="CL326" s="37"/>
      <c r="CM326" s="37"/>
      <c r="CN326" s="37"/>
      <c r="CO326" s="37"/>
      <c r="CP326" s="37"/>
      <c r="CQ326" s="37"/>
      <c r="CR326" s="37"/>
      <c r="CS326" s="37"/>
      <c r="CT326" s="37"/>
      <c r="CU326" s="37"/>
      <c r="CV326" s="37"/>
      <c r="CW326" s="37"/>
      <c r="CX326" s="37"/>
      <c r="CY326" s="37"/>
      <c r="CZ326" s="37"/>
      <c r="DA326" s="37"/>
      <c r="DB326" s="37"/>
      <c r="DC326" s="37"/>
      <c r="DD326" s="37"/>
      <c r="DE326" s="37"/>
      <c r="DF326" s="37"/>
      <c r="DG326" s="37"/>
      <c r="DH326" s="37"/>
      <c r="DI326" s="37"/>
      <c r="DJ326" s="37"/>
      <c r="DK326" s="37"/>
      <c r="DL326" s="37"/>
      <c r="DM326" s="37"/>
      <c r="DN326" s="37"/>
      <c r="DO326" s="37"/>
      <c r="DP326" s="37"/>
      <c r="DQ326" s="37"/>
      <c r="DR326" s="37"/>
      <c r="DS326" s="37"/>
      <c r="DT326" s="37"/>
      <c r="DU326" s="37"/>
      <c r="DV326" s="37"/>
      <c r="DW326" s="37"/>
      <c r="DX326" s="37"/>
      <c r="DY326" s="37"/>
      <c r="DZ326" s="37"/>
      <c r="EA326" s="37"/>
      <c r="EB326" s="37"/>
      <c r="EC326" s="37"/>
      <c r="ED326" s="37"/>
      <c r="EE326" s="37"/>
      <c r="EF326" s="37"/>
      <c r="EG326" s="37"/>
      <c r="EH326" s="37"/>
      <c r="EI326" s="37"/>
      <c r="EJ326" s="37"/>
      <c r="EK326" s="37"/>
      <c r="EL326" s="37"/>
      <c r="EM326" s="37"/>
      <c r="EN326" s="37"/>
    </row>
    <row r="327" spans="1:144" s="34" customFormat="1">
      <c r="A327" s="46">
        <v>11</v>
      </c>
      <c r="B327" s="96" t="s">
        <v>86</v>
      </c>
      <c r="C327" s="74" t="s">
        <v>6</v>
      </c>
      <c r="D327" s="71">
        <f t="shared" ref="D327:O327" si="136">D294+D259+D224+D191</f>
        <v>752654387.10589826</v>
      </c>
      <c r="E327" s="71">
        <f t="shared" si="136"/>
        <v>966065495.29280066</v>
      </c>
      <c r="F327" s="71">
        <f t="shared" si="136"/>
        <v>861900134.87263465</v>
      </c>
      <c r="G327" s="71">
        <f t="shared" si="136"/>
        <v>975648507.21230102</v>
      </c>
      <c r="H327" s="71">
        <f t="shared" si="136"/>
        <v>911435402.56977344</v>
      </c>
      <c r="I327" s="71">
        <f t="shared" si="136"/>
        <v>963831264.55231297</v>
      </c>
      <c r="J327" s="71">
        <f t="shared" si="136"/>
        <v>919676818.99234569</v>
      </c>
      <c r="K327" s="71">
        <f t="shared" si="136"/>
        <v>960486799.54391623</v>
      </c>
      <c r="L327" s="71">
        <f t="shared" si="136"/>
        <v>1032060547.7340808</v>
      </c>
      <c r="M327" s="71">
        <f t="shared" si="136"/>
        <v>937726801.71115708</v>
      </c>
      <c r="N327" s="71">
        <f t="shared" si="136"/>
        <v>979447658.91207838</v>
      </c>
      <c r="O327" s="71">
        <f t="shared" si="136"/>
        <v>996139013.60591996</v>
      </c>
      <c r="P327" s="76">
        <f>SUM(D327:O327)</f>
        <v>11257072832.105221</v>
      </c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  <c r="BI327" s="37"/>
      <c r="BJ327" s="37"/>
      <c r="BK327" s="37"/>
      <c r="BL327" s="37"/>
      <c r="BM327" s="37"/>
      <c r="BN327" s="37"/>
      <c r="BO327" s="37"/>
      <c r="BP327" s="37"/>
      <c r="BQ327" s="37"/>
      <c r="BR327" s="37"/>
      <c r="BS327" s="37"/>
      <c r="BT327" s="37"/>
      <c r="BU327" s="37"/>
      <c r="BV327" s="37"/>
      <c r="BW327" s="37"/>
      <c r="BX327" s="37"/>
      <c r="BY327" s="37"/>
      <c r="BZ327" s="37"/>
      <c r="CA327" s="37"/>
      <c r="CB327" s="37"/>
      <c r="CC327" s="37"/>
      <c r="CD327" s="37"/>
      <c r="CE327" s="37"/>
      <c r="CF327" s="37"/>
      <c r="CG327" s="37"/>
      <c r="CH327" s="37"/>
      <c r="CI327" s="37"/>
      <c r="CJ327" s="37"/>
      <c r="CK327" s="37"/>
      <c r="CL327" s="37"/>
      <c r="CM327" s="37"/>
      <c r="CN327" s="37"/>
      <c r="CO327" s="37"/>
      <c r="CP327" s="37"/>
      <c r="CQ327" s="37"/>
      <c r="CR327" s="37"/>
      <c r="CS327" s="37"/>
      <c r="CT327" s="37"/>
      <c r="CU327" s="37"/>
      <c r="CV327" s="37"/>
      <c r="CW327" s="37"/>
      <c r="CX327" s="37"/>
      <c r="CY327" s="37"/>
      <c r="CZ327" s="37"/>
      <c r="DA327" s="37"/>
      <c r="DB327" s="37"/>
      <c r="DC327" s="37"/>
      <c r="DD327" s="37"/>
      <c r="DE327" s="37"/>
      <c r="DF327" s="37"/>
      <c r="DG327" s="37"/>
      <c r="DH327" s="37"/>
      <c r="DI327" s="37"/>
      <c r="DJ327" s="37"/>
      <c r="DK327" s="37"/>
      <c r="DL327" s="37"/>
      <c r="DM327" s="37"/>
      <c r="DN327" s="37"/>
      <c r="DO327" s="37"/>
      <c r="DP327" s="37"/>
      <c r="DQ327" s="37"/>
      <c r="DR327" s="37"/>
      <c r="DS327" s="37"/>
      <c r="DT327" s="37"/>
      <c r="DU327" s="37"/>
      <c r="DV327" s="37"/>
      <c r="DW327" s="37"/>
      <c r="DX327" s="37"/>
      <c r="DY327" s="37"/>
      <c r="DZ327" s="37"/>
      <c r="EA327" s="37"/>
      <c r="EB327" s="37"/>
      <c r="EC327" s="37"/>
      <c r="ED327" s="37"/>
      <c r="EE327" s="37"/>
      <c r="EF327" s="37"/>
      <c r="EG327" s="37"/>
      <c r="EH327" s="37"/>
      <c r="EI327" s="37"/>
      <c r="EJ327" s="37"/>
      <c r="EK327" s="37"/>
      <c r="EL327" s="37"/>
      <c r="EM327" s="37"/>
      <c r="EN327" s="37"/>
    </row>
    <row r="328" spans="1:144" s="34" customFormat="1">
      <c r="B328" s="78"/>
      <c r="C328" s="85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6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  <c r="BB328" s="37"/>
      <c r="BC328" s="37"/>
      <c r="BD328" s="37"/>
      <c r="BE328" s="37"/>
      <c r="BF328" s="37"/>
      <c r="BG328" s="37"/>
      <c r="BH328" s="37"/>
      <c r="BI328" s="37"/>
      <c r="BJ328" s="37"/>
      <c r="BK328" s="37"/>
      <c r="BL328" s="37"/>
      <c r="BM328" s="37"/>
      <c r="BN328" s="37"/>
      <c r="BO328" s="37"/>
      <c r="BP328" s="37"/>
      <c r="BQ328" s="37"/>
      <c r="BR328" s="37"/>
      <c r="BS328" s="37"/>
      <c r="BT328" s="37"/>
      <c r="BU328" s="37"/>
      <c r="BV328" s="37"/>
      <c r="BW328" s="37"/>
      <c r="BX328" s="37"/>
      <c r="BY328" s="37"/>
      <c r="BZ328" s="37"/>
      <c r="CA328" s="37"/>
      <c r="CB328" s="37"/>
      <c r="CC328" s="37"/>
      <c r="CD328" s="37"/>
      <c r="CE328" s="37"/>
      <c r="CF328" s="37"/>
      <c r="CG328" s="37"/>
      <c r="CH328" s="37"/>
      <c r="CI328" s="37"/>
      <c r="CJ328" s="37"/>
      <c r="CK328" s="37"/>
      <c r="CL328" s="37"/>
      <c r="CM328" s="37"/>
      <c r="CN328" s="37"/>
      <c r="CO328" s="37"/>
      <c r="CP328" s="37"/>
      <c r="CQ328" s="37"/>
      <c r="CR328" s="37"/>
      <c r="CS328" s="37"/>
      <c r="CT328" s="37"/>
      <c r="CU328" s="37"/>
      <c r="CV328" s="37"/>
      <c r="CW328" s="37"/>
      <c r="CX328" s="37"/>
      <c r="CY328" s="37"/>
      <c r="CZ328" s="37"/>
      <c r="DA328" s="37"/>
      <c r="DB328" s="37"/>
      <c r="DC328" s="37"/>
      <c r="DD328" s="37"/>
      <c r="DE328" s="37"/>
      <c r="DF328" s="37"/>
      <c r="DG328" s="37"/>
      <c r="DH328" s="37"/>
      <c r="DI328" s="37"/>
      <c r="DJ328" s="37"/>
      <c r="DK328" s="37"/>
      <c r="DL328" s="37"/>
      <c r="DM328" s="37"/>
      <c r="DN328" s="37"/>
      <c r="DO328" s="37"/>
      <c r="DP328" s="37"/>
      <c r="DQ328" s="37"/>
      <c r="DR328" s="37"/>
      <c r="DS328" s="37"/>
      <c r="DT328" s="37"/>
      <c r="DU328" s="37"/>
      <c r="DV328" s="37"/>
      <c r="DW328" s="37"/>
      <c r="DX328" s="37"/>
      <c r="DY328" s="37"/>
      <c r="DZ328" s="37"/>
      <c r="EA328" s="37"/>
      <c r="EB328" s="37"/>
      <c r="EC328" s="37"/>
      <c r="ED328" s="37"/>
      <c r="EE328" s="37"/>
      <c r="EF328" s="37"/>
      <c r="EG328" s="37"/>
      <c r="EH328" s="37"/>
      <c r="EI328" s="37"/>
      <c r="EJ328" s="37"/>
      <c r="EK328" s="37"/>
      <c r="EL328" s="37"/>
      <c r="EM328" s="37"/>
      <c r="EN328" s="37"/>
    </row>
    <row r="329" spans="1:144" s="34" customFormat="1">
      <c r="A329" s="46">
        <v>12</v>
      </c>
      <c r="B329" s="68" t="s">
        <v>21</v>
      </c>
      <c r="C329" s="74" t="s">
        <v>4</v>
      </c>
      <c r="D329" s="71">
        <f t="shared" ref="D329:O329" si="137">D296+D261+D226+D193</f>
        <v>21377032.47073679</v>
      </c>
      <c r="E329" s="71">
        <f t="shared" si="137"/>
        <v>21375901.521735512</v>
      </c>
      <c r="F329" s="71">
        <f t="shared" si="137"/>
        <v>21313387.905256495</v>
      </c>
      <c r="G329" s="71">
        <f t="shared" si="137"/>
        <v>21373984.999434624</v>
      </c>
      <c r="H329" s="71">
        <f t="shared" si="137"/>
        <v>21277716.371432025</v>
      </c>
      <c r="I329" s="71">
        <f t="shared" si="137"/>
        <v>21443811.524916027</v>
      </c>
      <c r="J329" s="71">
        <f t="shared" si="137"/>
        <v>21401473.580131497</v>
      </c>
      <c r="K329" s="71">
        <f t="shared" si="137"/>
        <v>21320703.249811195</v>
      </c>
      <c r="L329" s="71">
        <f t="shared" si="137"/>
        <v>21359322.920403488</v>
      </c>
      <c r="M329" s="71">
        <f t="shared" si="137"/>
        <v>21362344.019695435</v>
      </c>
      <c r="N329" s="71">
        <f t="shared" si="137"/>
        <v>21323665.992297061</v>
      </c>
      <c r="O329" s="71">
        <f t="shared" si="137"/>
        <v>21429774.328599997</v>
      </c>
      <c r="P329" s="76">
        <f>SUM(D329:O329)</f>
        <v>256359118.88445011</v>
      </c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  <c r="BB329" s="37"/>
      <c r="BC329" s="37"/>
      <c r="BD329" s="37"/>
      <c r="BE329" s="37"/>
      <c r="BF329" s="37"/>
      <c r="BG329" s="37"/>
      <c r="BH329" s="37"/>
      <c r="BI329" s="37"/>
      <c r="BJ329" s="37"/>
      <c r="BK329" s="37"/>
      <c r="BL329" s="37"/>
      <c r="BM329" s="37"/>
      <c r="BN329" s="37"/>
      <c r="BO329" s="37"/>
      <c r="BP329" s="37"/>
      <c r="BQ329" s="37"/>
      <c r="BR329" s="37"/>
      <c r="BS329" s="37"/>
      <c r="BT329" s="37"/>
      <c r="BU329" s="37"/>
      <c r="BV329" s="37"/>
      <c r="BW329" s="37"/>
      <c r="BX329" s="37"/>
      <c r="BY329" s="37"/>
      <c r="BZ329" s="37"/>
      <c r="CA329" s="37"/>
      <c r="CB329" s="37"/>
      <c r="CC329" s="37"/>
      <c r="CD329" s="37"/>
      <c r="CE329" s="37"/>
      <c r="CF329" s="37"/>
      <c r="CG329" s="37"/>
      <c r="CH329" s="37"/>
      <c r="CI329" s="37"/>
      <c r="CJ329" s="37"/>
      <c r="CK329" s="37"/>
      <c r="CL329" s="37"/>
      <c r="CM329" s="37"/>
      <c r="CN329" s="37"/>
      <c r="CO329" s="37"/>
      <c r="CP329" s="37"/>
      <c r="CQ329" s="37"/>
      <c r="CR329" s="37"/>
      <c r="CS329" s="37"/>
      <c r="CT329" s="37"/>
      <c r="CU329" s="37"/>
      <c r="CV329" s="37"/>
      <c r="CW329" s="37"/>
      <c r="CX329" s="37"/>
      <c r="CY329" s="37"/>
      <c r="CZ329" s="37"/>
      <c r="DA329" s="37"/>
      <c r="DB329" s="37"/>
      <c r="DC329" s="37"/>
      <c r="DD329" s="37"/>
      <c r="DE329" s="37"/>
      <c r="DF329" s="37"/>
      <c r="DG329" s="37"/>
      <c r="DH329" s="37"/>
      <c r="DI329" s="37"/>
      <c r="DJ329" s="37"/>
      <c r="DK329" s="37"/>
      <c r="DL329" s="37"/>
      <c r="DM329" s="37"/>
      <c r="DN329" s="37"/>
      <c r="DO329" s="37"/>
      <c r="DP329" s="37"/>
      <c r="DQ329" s="37"/>
      <c r="DR329" s="37"/>
      <c r="DS329" s="37"/>
      <c r="DT329" s="37"/>
      <c r="DU329" s="37"/>
      <c r="DV329" s="37"/>
      <c r="DW329" s="37"/>
      <c r="DX329" s="37"/>
      <c r="DY329" s="37"/>
      <c r="DZ329" s="37"/>
      <c r="EA329" s="37"/>
      <c r="EB329" s="37"/>
      <c r="EC329" s="37"/>
      <c r="ED329" s="37"/>
      <c r="EE329" s="37"/>
      <c r="EF329" s="37"/>
      <c r="EG329" s="37"/>
      <c r="EH329" s="37"/>
      <c r="EI329" s="37"/>
      <c r="EJ329" s="37"/>
      <c r="EK329" s="37"/>
      <c r="EL329" s="37"/>
      <c r="EM329" s="37"/>
      <c r="EN329" s="37"/>
    </row>
    <row r="330" spans="1:144" s="34" customFormat="1">
      <c r="A330" s="46"/>
      <c r="B330" s="78"/>
      <c r="C330" s="85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71"/>
      <c r="O330" s="71"/>
      <c r="P330" s="76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  <c r="BB330" s="37"/>
      <c r="BC330" s="37"/>
      <c r="BD330" s="37"/>
      <c r="BE330" s="37"/>
      <c r="BF330" s="37"/>
      <c r="BG330" s="37"/>
      <c r="BH330" s="37"/>
      <c r="BI330" s="37"/>
      <c r="BJ330" s="37"/>
      <c r="BK330" s="37"/>
      <c r="BL330" s="37"/>
      <c r="BM330" s="37"/>
      <c r="BN330" s="37"/>
      <c r="BO330" s="37"/>
      <c r="BP330" s="37"/>
      <c r="BQ330" s="37"/>
      <c r="BR330" s="37"/>
      <c r="BS330" s="37"/>
      <c r="BT330" s="37"/>
      <c r="BU330" s="37"/>
      <c r="BV330" s="37"/>
      <c r="BW330" s="37"/>
      <c r="BX330" s="37"/>
      <c r="BY330" s="37"/>
      <c r="BZ330" s="37"/>
      <c r="CA330" s="37"/>
      <c r="CB330" s="37"/>
      <c r="CC330" s="37"/>
      <c r="CD330" s="37"/>
      <c r="CE330" s="37"/>
      <c r="CF330" s="37"/>
      <c r="CG330" s="37"/>
      <c r="CH330" s="37"/>
      <c r="CI330" s="37"/>
      <c r="CJ330" s="37"/>
      <c r="CK330" s="37"/>
      <c r="CL330" s="37"/>
      <c r="CM330" s="37"/>
      <c r="CN330" s="37"/>
      <c r="CO330" s="37"/>
      <c r="CP330" s="37"/>
      <c r="CQ330" s="37"/>
      <c r="CR330" s="37"/>
      <c r="CS330" s="37"/>
      <c r="CT330" s="37"/>
      <c r="CU330" s="37"/>
      <c r="CV330" s="37"/>
      <c r="CW330" s="37"/>
      <c r="CX330" s="37"/>
      <c r="CY330" s="37"/>
      <c r="CZ330" s="37"/>
      <c r="DA330" s="37"/>
      <c r="DB330" s="37"/>
      <c r="DC330" s="37"/>
      <c r="DD330" s="37"/>
      <c r="DE330" s="37"/>
      <c r="DF330" s="37"/>
      <c r="DG330" s="37"/>
      <c r="DH330" s="37"/>
      <c r="DI330" s="37"/>
      <c r="DJ330" s="37"/>
      <c r="DK330" s="37"/>
      <c r="DL330" s="37"/>
      <c r="DM330" s="37"/>
      <c r="DN330" s="37"/>
      <c r="DO330" s="37"/>
      <c r="DP330" s="37"/>
      <c r="DQ330" s="37"/>
      <c r="DR330" s="37"/>
      <c r="DS330" s="37"/>
      <c r="DT330" s="37"/>
      <c r="DU330" s="37"/>
      <c r="DV330" s="37"/>
      <c r="DW330" s="37"/>
      <c r="DX330" s="37"/>
      <c r="DY330" s="37"/>
      <c r="DZ330" s="37"/>
      <c r="EA330" s="37"/>
      <c r="EB330" s="37"/>
      <c r="EC330" s="37"/>
      <c r="ED330" s="37"/>
      <c r="EE330" s="37"/>
      <c r="EF330" s="37"/>
      <c r="EG330" s="37"/>
      <c r="EH330" s="37"/>
      <c r="EI330" s="37"/>
      <c r="EJ330" s="37"/>
      <c r="EK330" s="37"/>
      <c r="EL330" s="37"/>
      <c r="EM330" s="37"/>
      <c r="EN330" s="37"/>
    </row>
    <row r="331" spans="1:144" s="34" customFormat="1">
      <c r="A331" s="46">
        <v>13</v>
      </c>
      <c r="B331" s="114" t="s">
        <v>22</v>
      </c>
      <c r="C331" s="143"/>
      <c r="D331" s="115">
        <f t="shared" ref="D331:P331" si="138">D329+D327+D325+D319+D315+D313</f>
        <v>3260884423.5281086</v>
      </c>
      <c r="E331" s="115">
        <f t="shared" si="138"/>
        <v>3068866896.4241686</v>
      </c>
      <c r="F331" s="115">
        <f t="shared" si="138"/>
        <v>3037036711.5041876</v>
      </c>
      <c r="G331" s="115">
        <f t="shared" si="138"/>
        <v>3247760539.2860527</v>
      </c>
      <c r="H331" s="115">
        <f t="shared" si="138"/>
        <v>3007400723.7551918</v>
      </c>
      <c r="I331" s="115">
        <f t="shared" si="138"/>
        <v>2941850351.7066946</v>
      </c>
      <c r="J331" s="115">
        <f t="shared" si="138"/>
        <v>2926966746.49788</v>
      </c>
      <c r="K331" s="115">
        <f t="shared" si="138"/>
        <v>3189301872.2498469</v>
      </c>
      <c r="L331" s="115">
        <f t="shared" si="138"/>
        <v>3719277939.4291077</v>
      </c>
      <c r="M331" s="115">
        <f t="shared" si="138"/>
        <v>3941279958.1020875</v>
      </c>
      <c r="N331" s="115">
        <f t="shared" si="138"/>
        <v>4031047271.6490607</v>
      </c>
      <c r="O331" s="115">
        <f t="shared" si="138"/>
        <v>4029838788.6669321</v>
      </c>
      <c r="P331" s="115">
        <f t="shared" si="138"/>
        <v>40401512222.799316</v>
      </c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  <c r="BB331" s="37"/>
      <c r="BC331" s="37"/>
      <c r="BD331" s="37"/>
      <c r="BE331" s="37"/>
      <c r="BF331" s="37"/>
      <c r="BG331" s="37"/>
      <c r="BH331" s="37"/>
      <c r="BI331" s="37"/>
      <c r="BJ331" s="37"/>
      <c r="BK331" s="37"/>
      <c r="BL331" s="37"/>
      <c r="BM331" s="37"/>
      <c r="BN331" s="37"/>
      <c r="BO331" s="37"/>
      <c r="BP331" s="37"/>
      <c r="BQ331" s="37"/>
      <c r="BR331" s="37"/>
      <c r="BS331" s="37"/>
      <c r="BT331" s="37"/>
      <c r="BU331" s="37"/>
      <c r="BV331" s="37"/>
      <c r="BW331" s="37"/>
      <c r="BX331" s="37"/>
      <c r="BY331" s="37"/>
      <c r="BZ331" s="37"/>
      <c r="CA331" s="37"/>
      <c r="CB331" s="37"/>
      <c r="CC331" s="37"/>
      <c r="CD331" s="37"/>
      <c r="CE331" s="37"/>
      <c r="CF331" s="37"/>
      <c r="CG331" s="37"/>
      <c r="CH331" s="37"/>
      <c r="CI331" s="37"/>
      <c r="CJ331" s="37"/>
      <c r="CK331" s="37"/>
      <c r="CL331" s="37"/>
      <c r="CM331" s="37"/>
      <c r="CN331" s="37"/>
      <c r="CO331" s="37"/>
      <c r="CP331" s="37"/>
      <c r="CQ331" s="37"/>
      <c r="CR331" s="37"/>
      <c r="CS331" s="37"/>
      <c r="CT331" s="37"/>
      <c r="CU331" s="37"/>
      <c r="CV331" s="37"/>
      <c r="CW331" s="37"/>
      <c r="CX331" s="37"/>
      <c r="CY331" s="37"/>
      <c r="CZ331" s="37"/>
      <c r="DA331" s="37"/>
      <c r="DB331" s="37"/>
      <c r="DC331" s="37"/>
      <c r="DD331" s="37"/>
      <c r="DE331" s="37"/>
      <c r="DF331" s="37"/>
      <c r="DG331" s="37"/>
      <c r="DH331" s="37"/>
      <c r="DI331" s="37"/>
      <c r="DJ331" s="37"/>
      <c r="DK331" s="37"/>
      <c r="DL331" s="37"/>
      <c r="DM331" s="37"/>
      <c r="DN331" s="37"/>
      <c r="DO331" s="37"/>
      <c r="DP331" s="37"/>
      <c r="DQ331" s="37"/>
      <c r="DR331" s="37"/>
      <c r="DS331" s="37"/>
      <c r="DT331" s="37"/>
      <c r="DU331" s="37"/>
      <c r="DV331" s="37"/>
      <c r="DW331" s="37"/>
      <c r="DX331" s="37"/>
      <c r="DY331" s="37"/>
      <c r="DZ331" s="37"/>
      <c r="EA331" s="37"/>
      <c r="EB331" s="37"/>
      <c r="EC331" s="37"/>
      <c r="ED331" s="37"/>
      <c r="EE331" s="37"/>
      <c r="EF331" s="37"/>
      <c r="EG331" s="37"/>
      <c r="EH331" s="37"/>
      <c r="EI331" s="37"/>
      <c r="EJ331" s="37"/>
      <c r="EK331" s="37"/>
      <c r="EL331" s="37"/>
      <c r="EM331" s="37"/>
      <c r="EN331" s="37"/>
    </row>
    <row r="332" spans="1:144" s="34" customFormat="1">
      <c r="B332" s="143"/>
      <c r="C332" s="143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93"/>
      <c r="O332" s="93"/>
      <c r="P332" s="76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  <c r="BB332" s="37"/>
      <c r="BC332" s="37"/>
      <c r="BD332" s="37"/>
      <c r="BE332" s="37"/>
      <c r="BF332" s="37"/>
      <c r="BG332" s="37"/>
      <c r="BH332" s="37"/>
      <c r="BI332" s="37"/>
      <c r="BJ332" s="37"/>
      <c r="BK332" s="37"/>
      <c r="BL332" s="37"/>
      <c r="BM332" s="37"/>
      <c r="BN332" s="37"/>
      <c r="BO332" s="37"/>
      <c r="BP332" s="37"/>
      <c r="BQ332" s="37"/>
      <c r="BR332" s="37"/>
      <c r="BS332" s="37"/>
      <c r="BT332" s="37"/>
      <c r="BU332" s="37"/>
      <c r="BV332" s="37"/>
      <c r="BW332" s="37"/>
      <c r="BX332" s="37"/>
      <c r="BY332" s="37"/>
      <c r="BZ332" s="37"/>
      <c r="CA332" s="37"/>
      <c r="CB332" s="37"/>
      <c r="CC332" s="37"/>
      <c r="CD332" s="37"/>
      <c r="CE332" s="37"/>
      <c r="CF332" s="37"/>
      <c r="CG332" s="37"/>
      <c r="CH332" s="37"/>
      <c r="CI332" s="37"/>
      <c r="CJ332" s="37"/>
      <c r="CK332" s="37"/>
      <c r="CL332" s="37"/>
      <c r="CM332" s="37"/>
      <c r="CN332" s="37"/>
      <c r="CO332" s="37"/>
      <c r="CP332" s="37"/>
      <c r="CQ332" s="37"/>
      <c r="CR332" s="37"/>
      <c r="CS332" s="37"/>
      <c r="CT332" s="37"/>
      <c r="CU332" s="37"/>
      <c r="CV332" s="37"/>
      <c r="CW332" s="37"/>
      <c r="CX332" s="37"/>
      <c r="CY332" s="37"/>
      <c r="CZ332" s="37"/>
      <c r="DA332" s="37"/>
      <c r="DB332" s="37"/>
      <c r="DC332" s="37"/>
      <c r="DD332" s="37"/>
      <c r="DE332" s="37"/>
      <c r="DF332" s="37"/>
      <c r="DG332" s="37"/>
      <c r="DH332" s="37"/>
      <c r="DI332" s="37"/>
      <c r="DJ332" s="37"/>
      <c r="DK332" s="37"/>
      <c r="DL332" s="37"/>
      <c r="DM332" s="37"/>
      <c r="DN332" s="37"/>
      <c r="DO332" s="37"/>
      <c r="DP332" s="37"/>
      <c r="DQ332" s="37"/>
      <c r="DR332" s="37"/>
      <c r="DS332" s="37"/>
      <c r="DT332" s="37"/>
      <c r="DU332" s="37"/>
      <c r="DV332" s="37"/>
      <c r="DW332" s="37"/>
      <c r="DX332" s="37"/>
      <c r="DY332" s="37"/>
      <c r="DZ332" s="37"/>
      <c r="EA332" s="37"/>
      <c r="EB332" s="37"/>
      <c r="EC332" s="37"/>
      <c r="ED332" s="37"/>
      <c r="EE332" s="37"/>
      <c r="EF332" s="37"/>
      <c r="EG332" s="37"/>
      <c r="EH332" s="37"/>
      <c r="EI332" s="37"/>
      <c r="EJ332" s="37"/>
      <c r="EK332" s="37"/>
      <c r="EL332" s="37"/>
      <c r="EM332" s="37"/>
      <c r="EN332" s="37"/>
    </row>
    <row r="333" spans="1:144" s="34" customFormat="1">
      <c r="A333" s="46">
        <v>14</v>
      </c>
      <c r="B333" s="89" t="s">
        <v>69</v>
      </c>
      <c r="C333" s="74" t="s">
        <v>5</v>
      </c>
      <c r="D333" s="71">
        <f t="shared" ref="D333:O333" si="139">D300+D265+D230+D197</f>
        <v>0</v>
      </c>
      <c r="E333" s="71">
        <f t="shared" si="139"/>
        <v>0</v>
      </c>
      <c r="F333" s="71">
        <f t="shared" si="139"/>
        <v>0</v>
      </c>
      <c r="G333" s="71">
        <f t="shared" si="139"/>
        <v>0</v>
      </c>
      <c r="H333" s="71">
        <f t="shared" si="139"/>
        <v>0</v>
      </c>
      <c r="I333" s="71">
        <f t="shared" si="139"/>
        <v>0</v>
      </c>
      <c r="J333" s="71">
        <f t="shared" si="139"/>
        <v>0</v>
      </c>
      <c r="K333" s="71">
        <f t="shared" si="139"/>
        <v>0</v>
      </c>
      <c r="L333" s="71">
        <f t="shared" si="139"/>
        <v>0</v>
      </c>
      <c r="M333" s="71">
        <f t="shared" si="139"/>
        <v>0</v>
      </c>
      <c r="N333" s="71">
        <f t="shared" si="139"/>
        <v>0</v>
      </c>
      <c r="O333" s="71">
        <f t="shared" si="139"/>
        <v>0</v>
      </c>
      <c r="P333" s="76">
        <f>SUM(D333:O333)</f>
        <v>0</v>
      </c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7"/>
      <c r="BI333" s="37"/>
      <c r="BJ333" s="37"/>
      <c r="BK333" s="37"/>
      <c r="BL333" s="37"/>
      <c r="BM333" s="37"/>
      <c r="BN333" s="37"/>
      <c r="BO333" s="37"/>
      <c r="BP333" s="37"/>
      <c r="BQ333" s="37"/>
      <c r="BR333" s="37"/>
      <c r="BS333" s="37"/>
      <c r="BT333" s="37"/>
      <c r="BU333" s="37"/>
      <c r="BV333" s="37"/>
      <c r="BW333" s="37"/>
      <c r="BX333" s="37"/>
      <c r="BY333" s="37"/>
      <c r="BZ333" s="37"/>
      <c r="CA333" s="37"/>
      <c r="CB333" s="37"/>
      <c r="CC333" s="37"/>
      <c r="CD333" s="37"/>
      <c r="CE333" s="37"/>
      <c r="CF333" s="37"/>
      <c r="CG333" s="37"/>
      <c r="CH333" s="37"/>
      <c r="CI333" s="37"/>
      <c r="CJ333" s="37"/>
      <c r="CK333" s="37"/>
      <c r="CL333" s="37"/>
      <c r="CM333" s="37"/>
      <c r="CN333" s="37"/>
      <c r="CO333" s="37"/>
      <c r="CP333" s="37"/>
      <c r="CQ333" s="37"/>
      <c r="CR333" s="37"/>
      <c r="CS333" s="37"/>
      <c r="CT333" s="37"/>
      <c r="CU333" s="37"/>
      <c r="CV333" s="37"/>
      <c r="CW333" s="37"/>
      <c r="CX333" s="37"/>
      <c r="CY333" s="37"/>
      <c r="CZ333" s="37"/>
      <c r="DA333" s="37"/>
      <c r="DB333" s="37"/>
      <c r="DC333" s="37"/>
      <c r="DD333" s="37"/>
      <c r="DE333" s="37"/>
      <c r="DF333" s="37"/>
      <c r="DG333" s="37"/>
      <c r="DH333" s="37"/>
      <c r="DI333" s="37"/>
      <c r="DJ333" s="37"/>
      <c r="DK333" s="37"/>
      <c r="DL333" s="37"/>
      <c r="DM333" s="37"/>
      <c r="DN333" s="37"/>
      <c r="DO333" s="37"/>
      <c r="DP333" s="37"/>
      <c r="DQ333" s="37"/>
      <c r="DR333" s="37"/>
      <c r="DS333" s="37"/>
      <c r="DT333" s="37"/>
      <c r="DU333" s="37"/>
      <c r="DV333" s="37"/>
      <c r="DW333" s="37"/>
      <c r="DX333" s="37"/>
      <c r="DY333" s="37"/>
      <c r="DZ333" s="37"/>
      <c r="EA333" s="37"/>
      <c r="EB333" s="37"/>
      <c r="EC333" s="37"/>
      <c r="ED333" s="37"/>
      <c r="EE333" s="37"/>
      <c r="EF333" s="37"/>
      <c r="EG333" s="37"/>
      <c r="EH333" s="37"/>
      <c r="EI333" s="37"/>
      <c r="EJ333" s="37"/>
      <c r="EK333" s="37"/>
      <c r="EL333" s="37"/>
      <c r="EM333" s="37"/>
      <c r="EN333" s="37"/>
    </row>
    <row r="334" spans="1:144" s="34" customFormat="1">
      <c r="A334" s="46">
        <v>15</v>
      </c>
      <c r="B334" s="89" t="s">
        <v>70</v>
      </c>
      <c r="C334" s="74" t="s">
        <v>6</v>
      </c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98">
        <f>SUM(D334:O334)</f>
        <v>0</v>
      </c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  <c r="BB334" s="37"/>
      <c r="BC334" s="37"/>
      <c r="BD334" s="37"/>
      <c r="BE334" s="37"/>
      <c r="BF334" s="37"/>
      <c r="BG334" s="37"/>
      <c r="BH334" s="37"/>
      <c r="BI334" s="37"/>
      <c r="BJ334" s="37"/>
      <c r="BK334" s="37"/>
      <c r="BL334" s="37"/>
      <c r="BM334" s="37"/>
      <c r="BN334" s="37"/>
      <c r="BO334" s="37"/>
      <c r="BP334" s="37"/>
      <c r="BQ334" s="37"/>
      <c r="BR334" s="37"/>
      <c r="BS334" s="37"/>
      <c r="BT334" s="37"/>
      <c r="BU334" s="37"/>
      <c r="BV334" s="37"/>
      <c r="BW334" s="37"/>
      <c r="BX334" s="37"/>
      <c r="BY334" s="37"/>
      <c r="BZ334" s="37"/>
      <c r="CA334" s="37"/>
      <c r="CB334" s="37"/>
      <c r="CC334" s="37"/>
      <c r="CD334" s="37"/>
      <c r="CE334" s="37"/>
      <c r="CF334" s="37"/>
      <c r="CG334" s="37"/>
      <c r="CH334" s="37"/>
      <c r="CI334" s="37"/>
      <c r="CJ334" s="37"/>
      <c r="CK334" s="37"/>
      <c r="CL334" s="37"/>
      <c r="CM334" s="37"/>
      <c r="CN334" s="37"/>
      <c r="CO334" s="37"/>
      <c r="CP334" s="37"/>
      <c r="CQ334" s="37"/>
      <c r="CR334" s="37"/>
      <c r="CS334" s="37"/>
      <c r="CT334" s="37"/>
      <c r="CU334" s="37"/>
      <c r="CV334" s="37"/>
      <c r="CW334" s="37"/>
      <c r="CX334" s="37"/>
      <c r="CY334" s="37"/>
      <c r="CZ334" s="37"/>
      <c r="DA334" s="37"/>
      <c r="DB334" s="37"/>
      <c r="DC334" s="37"/>
      <c r="DD334" s="37"/>
      <c r="DE334" s="37"/>
      <c r="DF334" s="37"/>
      <c r="DG334" s="37"/>
      <c r="DH334" s="37"/>
      <c r="DI334" s="37"/>
      <c r="DJ334" s="37"/>
      <c r="DK334" s="37"/>
      <c r="DL334" s="37"/>
      <c r="DM334" s="37"/>
      <c r="DN334" s="37"/>
      <c r="DO334" s="37"/>
      <c r="DP334" s="37"/>
      <c r="DQ334" s="37"/>
      <c r="DR334" s="37"/>
      <c r="DS334" s="37"/>
      <c r="DT334" s="37"/>
      <c r="DU334" s="37"/>
      <c r="DV334" s="37"/>
      <c r="DW334" s="37"/>
      <c r="DX334" s="37"/>
      <c r="DY334" s="37"/>
      <c r="DZ334" s="37"/>
      <c r="EA334" s="37"/>
      <c r="EB334" s="37"/>
      <c r="EC334" s="37"/>
      <c r="ED334" s="37"/>
      <c r="EE334" s="37"/>
      <c r="EF334" s="37"/>
      <c r="EG334" s="37"/>
      <c r="EH334" s="37"/>
      <c r="EI334" s="37"/>
      <c r="EJ334" s="37"/>
      <c r="EK334" s="37"/>
      <c r="EL334" s="37"/>
      <c r="EM334" s="37"/>
      <c r="EN334" s="37"/>
    </row>
    <row r="335" spans="1:144" s="34" customFormat="1">
      <c r="A335" s="46">
        <v>16</v>
      </c>
      <c r="B335" s="114" t="s">
        <v>23</v>
      </c>
      <c r="C335" s="145"/>
      <c r="D335" s="100">
        <f t="shared" ref="D335:P335" si="140">SUM(D333:D334)</f>
        <v>0</v>
      </c>
      <c r="E335" s="100">
        <f t="shared" si="140"/>
        <v>0</v>
      </c>
      <c r="F335" s="100">
        <f t="shared" si="140"/>
        <v>0</v>
      </c>
      <c r="G335" s="100">
        <f t="shared" si="140"/>
        <v>0</v>
      </c>
      <c r="H335" s="100">
        <f t="shared" si="140"/>
        <v>0</v>
      </c>
      <c r="I335" s="100">
        <f t="shared" si="140"/>
        <v>0</v>
      </c>
      <c r="J335" s="100">
        <f t="shared" si="140"/>
        <v>0</v>
      </c>
      <c r="K335" s="100">
        <f t="shared" si="140"/>
        <v>0</v>
      </c>
      <c r="L335" s="100">
        <f t="shared" si="140"/>
        <v>0</v>
      </c>
      <c r="M335" s="100">
        <f t="shared" si="140"/>
        <v>0</v>
      </c>
      <c r="N335" s="100">
        <f t="shared" si="140"/>
        <v>0</v>
      </c>
      <c r="O335" s="100">
        <f t="shared" si="140"/>
        <v>0</v>
      </c>
      <c r="P335" s="93">
        <f t="shared" si="140"/>
        <v>0</v>
      </c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  <c r="BB335" s="37"/>
      <c r="BC335" s="37"/>
      <c r="BD335" s="37"/>
      <c r="BE335" s="37"/>
      <c r="BF335" s="37"/>
      <c r="BG335" s="37"/>
      <c r="BH335" s="37"/>
      <c r="BI335" s="37"/>
      <c r="BJ335" s="37"/>
      <c r="BK335" s="37"/>
      <c r="BL335" s="37"/>
      <c r="BM335" s="37"/>
      <c r="BN335" s="37"/>
      <c r="BO335" s="37"/>
      <c r="BP335" s="37"/>
      <c r="BQ335" s="37"/>
      <c r="BR335" s="37"/>
      <c r="BS335" s="37"/>
      <c r="BT335" s="37"/>
      <c r="BU335" s="37"/>
      <c r="BV335" s="37"/>
      <c r="BW335" s="37"/>
      <c r="BX335" s="37"/>
      <c r="BY335" s="37"/>
      <c r="BZ335" s="37"/>
      <c r="CA335" s="37"/>
      <c r="CB335" s="37"/>
      <c r="CC335" s="37"/>
      <c r="CD335" s="37"/>
      <c r="CE335" s="37"/>
      <c r="CF335" s="37"/>
      <c r="CG335" s="37"/>
      <c r="CH335" s="37"/>
      <c r="CI335" s="37"/>
      <c r="CJ335" s="37"/>
      <c r="CK335" s="37"/>
      <c r="CL335" s="37"/>
      <c r="CM335" s="37"/>
      <c r="CN335" s="37"/>
      <c r="CO335" s="37"/>
      <c r="CP335" s="37"/>
      <c r="CQ335" s="37"/>
      <c r="CR335" s="37"/>
      <c r="CS335" s="37"/>
      <c r="CT335" s="37"/>
      <c r="CU335" s="37"/>
      <c r="CV335" s="37"/>
      <c r="CW335" s="37"/>
      <c r="CX335" s="37"/>
      <c r="CY335" s="37"/>
      <c r="CZ335" s="37"/>
      <c r="DA335" s="37"/>
      <c r="DB335" s="37"/>
      <c r="DC335" s="37"/>
      <c r="DD335" s="37"/>
      <c r="DE335" s="37"/>
      <c r="DF335" s="37"/>
      <c r="DG335" s="37"/>
      <c r="DH335" s="37"/>
      <c r="DI335" s="37"/>
      <c r="DJ335" s="37"/>
      <c r="DK335" s="37"/>
      <c r="DL335" s="37"/>
      <c r="DM335" s="37"/>
      <c r="DN335" s="37"/>
      <c r="DO335" s="37"/>
      <c r="DP335" s="37"/>
      <c r="DQ335" s="37"/>
      <c r="DR335" s="37"/>
      <c r="DS335" s="37"/>
      <c r="DT335" s="37"/>
      <c r="DU335" s="37"/>
      <c r="DV335" s="37"/>
      <c r="DW335" s="37"/>
      <c r="DX335" s="37"/>
      <c r="DY335" s="37"/>
      <c r="DZ335" s="37"/>
      <c r="EA335" s="37"/>
      <c r="EB335" s="37"/>
      <c r="EC335" s="37"/>
      <c r="ED335" s="37"/>
      <c r="EE335" s="37"/>
      <c r="EF335" s="37"/>
      <c r="EG335" s="37"/>
      <c r="EH335" s="37"/>
      <c r="EI335" s="37"/>
      <c r="EJ335" s="37"/>
      <c r="EK335" s="37"/>
      <c r="EL335" s="37"/>
      <c r="EM335" s="37"/>
      <c r="EN335" s="37"/>
    </row>
    <row r="336" spans="1:144" s="34" customFormat="1">
      <c r="A336" s="46"/>
      <c r="B336" s="78"/>
      <c r="C336" s="116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71"/>
      <c r="O336" s="71"/>
      <c r="P336" s="76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37"/>
      <c r="BE336" s="37"/>
      <c r="BF336" s="37"/>
      <c r="BG336" s="37"/>
      <c r="BH336" s="37"/>
      <c r="BI336" s="37"/>
      <c r="BJ336" s="37"/>
      <c r="BK336" s="37"/>
      <c r="BL336" s="37"/>
      <c r="BM336" s="37"/>
      <c r="BN336" s="37"/>
      <c r="BO336" s="37"/>
      <c r="BP336" s="37"/>
      <c r="BQ336" s="37"/>
      <c r="BR336" s="37"/>
      <c r="BS336" s="37"/>
      <c r="BT336" s="37"/>
      <c r="BU336" s="37"/>
      <c r="BV336" s="37"/>
      <c r="BW336" s="37"/>
      <c r="BX336" s="37"/>
      <c r="BY336" s="37"/>
      <c r="BZ336" s="37"/>
      <c r="CA336" s="37"/>
      <c r="CB336" s="37"/>
      <c r="CC336" s="37"/>
      <c r="CD336" s="37"/>
      <c r="CE336" s="37"/>
      <c r="CF336" s="37"/>
      <c r="CG336" s="37"/>
      <c r="CH336" s="37"/>
      <c r="CI336" s="37"/>
      <c r="CJ336" s="37"/>
      <c r="CK336" s="37"/>
      <c r="CL336" s="37"/>
      <c r="CM336" s="37"/>
      <c r="CN336" s="37"/>
      <c r="CO336" s="37"/>
      <c r="CP336" s="37"/>
      <c r="CQ336" s="37"/>
      <c r="CR336" s="37"/>
      <c r="CS336" s="37"/>
      <c r="CT336" s="37"/>
      <c r="CU336" s="37"/>
      <c r="CV336" s="37"/>
      <c r="CW336" s="37"/>
      <c r="CX336" s="37"/>
      <c r="CY336" s="37"/>
      <c r="CZ336" s="37"/>
      <c r="DA336" s="37"/>
      <c r="DB336" s="37"/>
      <c r="DC336" s="37"/>
      <c r="DD336" s="37"/>
      <c r="DE336" s="37"/>
      <c r="DF336" s="37"/>
      <c r="DG336" s="37"/>
      <c r="DH336" s="37"/>
      <c r="DI336" s="37"/>
      <c r="DJ336" s="37"/>
      <c r="DK336" s="37"/>
      <c r="DL336" s="37"/>
      <c r="DM336" s="37"/>
      <c r="DN336" s="37"/>
      <c r="DO336" s="37"/>
      <c r="DP336" s="37"/>
      <c r="DQ336" s="37"/>
      <c r="DR336" s="37"/>
      <c r="DS336" s="37"/>
      <c r="DT336" s="37"/>
      <c r="DU336" s="37"/>
      <c r="DV336" s="37"/>
      <c r="DW336" s="37"/>
      <c r="DX336" s="37"/>
      <c r="DY336" s="37"/>
      <c r="DZ336" s="37"/>
      <c r="EA336" s="37"/>
      <c r="EB336" s="37"/>
      <c r="EC336" s="37"/>
      <c r="ED336" s="37"/>
      <c r="EE336" s="37"/>
      <c r="EF336" s="37"/>
      <c r="EG336" s="37"/>
      <c r="EH336" s="37"/>
      <c r="EI336" s="37"/>
      <c r="EJ336" s="37"/>
      <c r="EK336" s="37"/>
      <c r="EL336" s="37"/>
      <c r="EM336" s="37"/>
      <c r="EN336" s="37"/>
    </row>
    <row r="337" spans="1:144" s="34" customFormat="1" ht="13.5" customHeight="1" thickBot="1">
      <c r="A337" s="46">
        <v>17</v>
      </c>
      <c r="B337" s="147" t="s">
        <v>92</v>
      </c>
      <c r="C337" s="145"/>
      <c r="D337" s="148">
        <f t="shared" ref="D337:P337" si="141">+D335+D331</f>
        <v>3260884423.5281086</v>
      </c>
      <c r="E337" s="148">
        <f t="shared" si="141"/>
        <v>3068866896.4241686</v>
      </c>
      <c r="F337" s="148">
        <f t="shared" si="141"/>
        <v>3037036711.5041876</v>
      </c>
      <c r="G337" s="148">
        <f t="shared" si="141"/>
        <v>3247760539.2860527</v>
      </c>
      <c r="H337" s="148">
        <f t="shared" si="141"/>
        <v>3007400723.7551918</v>
      </c>
      <c r="I337" s="148">
        <f t="shared" si="141"/>
        <v>2941850351.7066946</v>
      </c>
      <c r="J337" s="148">
        <f t="shared" si="141"/>
        <v>2926966746.49788</v>
      </c>
      <c r="K337" s="148">
        <f t="shared" si="141"/>
        <v>3189301872.2498469</v>
      </c>
      <c r="L337" s="148">
        <f t="shared" si="141"/>
        <v>3719277939.4291077</v>
      </c>
      <c r="M337" s="148">
        <f t="shared" si="141"/>
        <v>3941279958.1020875</v>
      </c>
      <c r="N337" s="148">
        <f t="shared" si="141"/>
        <v>4031047271.6490607</v>
      </c>
      <c r="O337" s="148">
        <f t="shared" si="141"/>
        <v>4029838788.6669321</v>
      </c>
      <c r="P337" s="148">
        <f t="shared" si="141"/>
        <v>40401512222.799316</v>
      </c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37"/>
      <c r="BE337" s="37"/>
      <c r="BF337" s="37"/>
      <c r="BG337" s="37"/>
      <c r="BH337" s="37"/>
      <c r="BI337" s="37"/>
      <c r="BJ337" s="37"/>
      <c r="BK337" s="37"/>
      <c r="BL337" s="37"/>
      <c r="BM337" s="37"/>
      <c r="BN337" s="37"/>
      <c r="BO337" s="37"/>
      <c r="BP337" s="37"/>
      <c r="BQ337" s="37"/>
      <c r="BR337" s="37"/>
      <c r="BS337" s="37"/>
      <c r="BT337" s="37"/>
      <c r="BU337" s="37"/>
      <c r="BV337" s="37"/>
      <c r="BW337" s="37"/>
      <c r="BX337" s="37"/>
      <c r="BY337" s="37"/>
      <c r="BZ337" s="37"/>
      <c r="CA337" s="37"/>
      <c r="CB337" s="37"/>
      <c r="CC337" s="37"/>
      <c r="CD337" s="37"/>
      <c r="CE337" s="37"/>
      <c r="CF337" s="37"/>
      <c r="CG337" s="37"/>
      <c r="CH337" s="37"/>
      <c r="CI337" s="37"/>
      <c r="CJ337" s="37"/>
      <c r="CK337" s="37"/>
      <c r="CL337" s="37"/>
      <c r="CM337" s="37"/>
      <c r="CN337" s="37"/>
      <c r="CO337" s="37"/>
      <c r="CP337" s="37"/>
      <c r="CQ337" s="37"/>
      <c r="CR337" s="37"/>
      <c r="CS337" s="37"/>
      <c r="CT337" s="37"/>
      <c r="CU337" s="37"/>
      <c r="CV337" s="37"/>
      <c r="CW337" s="37"/>
      <c r="CX337" s="37"/>
      <c r="CY337" s="37"/>
      <c r="CZ337" s="37"/>
      <c r="DA337" s="37"/>
      <c r="DB337" s="37"/>
      <c r="DC337" s="37"/>
      <c r="DD337" s="37"/>
      <c r="DE337" s="37"/>
      <c r="DF337" s="37"/>
      <c r="DG337" s="37"/>
      <c r="DH337" s="37"/>
      <c r="DI337" s="37"/>
      <c r="DJ337" s="37"/>
      <c r="DK337" s="37"/>
      <c r="DL337" s="37"/>
      <c r="DM337" s="37"/>
      <c r="DN337" s="37"/>
      <c r="DO337" s="37"/>
      <c r="DP337" s="37"/>
      <c r="DQ337" s="37"/>
      <c r="DR337" s="37"/>
      <c r="DS337" s="37"/>
      <c r="DT337" s="37"/>
      <c r="DU337" s="37"/>
      <c r="DV337" s="37"/>
      <c r="DW337" s="37"/>
      <c r="DX337" s="37"/>
      <c r="DY337" s="37"/>
      <c r="DZ337" s="37"/>
      <c r="EA337" s="37"/>
      <c r="EB337" s="37"/>
      <c r="EC337" s="37"/>
      <c r="ED337" s="37"/>
      <c r="EE337" s="37"/>
      <c r="EF337" s="37"/>
      <c r="EG337" s="37"/>
      <c r="EH337" s="37"/>
      <c r="EI337" s="37"/>
      <c r="EJ337" s="37"/>
      <c r="EK337" s="37"/>
      <c r="EL337" s="37"/>
      <c r="EM337" s="37"/>
      <c r="EN337" s="37"/>
    </row>
    <row r="338" spans="1:144" customFormat="1" ht="13.5" thickTop="1"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178"/>
    </row>
    <row r="339" spans="1:144" customFormat="1" ht="12.75"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6"/>
    </row>
    <row r="340" spans="1:144" customFormat="1" ht="12.75"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</row>
    <row r="341" spans="1:144" customFormat="1" ht="12.75"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</row>
    <row r="342" spans="1:144" customFormat="1" ht="12.75"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</row>
    <row r="343" spans="1:144" customFormat="1" ht="12.75"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</row>
    <row r="344" spans="1:144" customFormat="1" ht="12.75"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</row>
    <row r="345" spans="1:144" customFormat="1" ht="12.75"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</row>
    <row r="346" spans="1:144" customFormat="1" ht="12.75"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</row>
    <row r="347" spans="1:144" customFormat="1" ht="12.75"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</row>
    <row r="348" spans="1:144" customFormat="1" ht="12.75"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</row>
    <row r="349" spans="1:144" customFormat="1" ht="12.75"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</row>
    <row r="350" spans="1:144" customFormat="1" ht="12.75"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</row>
    <row r="351" spans="1:144" customFormat="1" ht="12.75"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</row>
    <row r="352" spans="1:144" customFormat="1" ht="12.75"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</row>
    <row r="353" spans="2:16" customFormat="1" ht="12.75"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</row>
    <row r="354" spans="2:16" customFormat="1" ht="12.75"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</row>
    <row r="355" spans="2:16" customFormat="1" ht="12.75"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</row>
    <row r="356" spans="2:16" customFormat="1" ht="12.75"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</row>
    <row r="357" spans="2:16" customFormat="1" ht="12.75"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</row>
    <row r="358" spans="2:16" customFormat="1" ht="12.75"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</row>
    <row r="359" spans="2:16" customFormat="1" ht="12.75"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</row>
    <row r="360" spans="2:16" customFormat="1" ht="12.75"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</row>
    <row r="361" spans="2:16" customFormat="1" ht="12.75"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</row>
    <row r="362" spans="2:16" customFormat="1" ht="12.75"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</row>
    <row r="363" spans="2:16" customFormat="1" ht="12.75"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</row>
    <row r="364" spans="2:16" customFormat="1" ht="12.75"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</row>
    <row r="365" spans="2:16" customFormat="1" ht="12.75"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</row>
    <row r="366" spans="2:16" customFormat="1" ht="12.75"/>
    <row r="367" spans="2:16" customFormat="1" ht="12.75"/>
    <row r="368" spans="2:16" customFormat="1" ht="12.75"/>
    <row r="369" customFormat="1" ht="12.75"/>
    <row r="370" customFormat="1" ht="12.75"/>
    <row r="371" customFormat="1" ht="12.75"/>
    <row r="372" customFormat="1" ht="12.75"/>
    <row r="373" customFormat="1" ht="12.75"/>
    <row r="374" customFormat="1" ht="12.75"/>
    <row r="375" customFormat="1" ht="12.75"/>
    <row r="376" customFormat="1" ht="12.75"/>
    <row r="377" customFormat="1" ht="12.75"/>
    <row r="378" customFormat="1" ht="12.75"/>
    <row r="379" customFormat="1" ht="12.75"/>
    <row r="380" customFormat="1" ht="12.75"/>
    <row r="381" customFormat="1" ht="12.75"/>
    <row r="382" customFormat="1" ht="12.75"/>
    <row r="383" customFormat="1" ht="12.75"/>
    <row r="384" customFormat="1" ht="12.75"/>
    <row r="385" customFormat="1" ht="12.75"/>
    <row r="386" customFormat="1" ht="12.75"/>
    <row r="387" customFormat="1" ht="12.75"/>
    <row r="388" customFormat="1" ht="12.75"/>
    <row r="389" customFormat="1" ht="12.75"/>
    <row r="390" customFormat="1" ht="12.75"/>
    <row r="391" customFormat="1" ht="12.75"/>
    <row r="392" customFormat="1" ht="12.75"/>
    <row r="393" customFormat="1" ht="12.75"/>
    <row r="394" customFormat="1" ht="12.75"/>
    <row r="395" customFormat="1" ht="12.75"/>
    <row r="396" customFormat="1" ht="12.75"/>
    <row r="397" customFormat="1" ht="12.75"/>
    <row r="398" customFormat="1" ht="12.75"/>
    <row r="399" customFormat="1" ht="12.75"/>
    <row r="400" customFormat="1" ht="12.75"/>
    <row r="401" customFormat="1" ht="12.75"/>
    <row r="402" customFormat="1" ht="12.75"/>
    <row r="403" customFormat="1" ht="12.75"/>
    <row r="404" customFormat="1" ht="12.75"/>
    <row r="405" customFormat="1" ht="12.75"/>
    <row r="406" customFormat="1" ht="12.75"/>
    <row r="407" customFormat="1" ht="12.75"/>
    <row r="408" customFormat="1" ht="12.75"/>
    <row r="409" customFormat="1" ht="12.75"/>
    <row r="410" customFormat="1" ht="12.75"/>
    <row r="411" customFormat="1" ht="12.75"/>
    <row r="412" customFormat="1" ht="12.75"/>
    <row r="413" customFormat="1" ht="12.75"/>
    <row r="414" customFormat="1" ht="12.75"/>
    <row r="415" customFormat="1" ht="12.75"/>
    <row r="416" customFormat="1" ht="12.75"/>
    <row r="417" customFormat="1" ht="12.75"/>
    <row r="418" customFormat="1" ht="12.75"/>
    <row r="419" customFormat="1" ht="12.75"/>
    <row r="420" customFormat="1" ht="12.75"/>
    <row r="421" customFormat="1" ht="12.75"/>
    <row r="422" customFormat="1" ht="12.75"/>
    <row r="423" customFormat="1" ht="12.75"/>
    <row r="424" customFormat="1" ht="12.75"/>
    <row r="425" customFormat="1" ht="12.75"/>
    <row r="426" customFormat="1" ht="12.75"/>
    <row r="427" customFormat="1" ht="12.75"/>
    <row r="428" customFormat="1" ht="12.75"/>
    <row r="429" customFormat="1" ht="12.75"/>
    <row r="430" customFormat="1" ht="12.75"/>
    <row r="431" customFormat="1" ht="12.75"/>
    <row r="432" customFormat="1" ht="12.75"/>
    <row r="433" customFormat="1" ht="12.75"/>
    <row r="434" customFormat="1" ht="12.75"/>
    <row r="435" customFormat="1" ht="12.75"/>
    <row r="436" customFormat="1" ht="12.75"/>
    <row r="437" customFormat="1" ht="12.75"/>
    <row r="438" customFormat="1" ht="12.75"/>
    <row r="439" customFormat="1" ht="12.75"/>
    <row r="440" customFormat="1" ht="12.75"/>
    <row r="441" customFormat="1" ht="12.75"/>
    <row r="442" customFormat="1" ht="12.75"/>
    <row r="443" customFormat="1" ht="12.75"/>
    <row r="444" customFormat="1" ht="12.75"/>
    <row r="445" customFormat="1" ht="12.75"/>
    <row r="446" customFormat="1" ht="12.75"/>
    <row r="447" customFormat="1" ht="12.75"/>
    <row r="448" customFormat="1" ht="12.75"/>
    <row r="449" customFormat="1" ht="12.75"/>
    <row r="450" customFormat="1" ht="12.75"/>
    <row r="451" customFormat="1" ht="12.75"/>
    <row r="452" customFormat="1" ht="12.75"/>
    <row r="453" customFormat="1" ht="12.75"/>
    <row r="454" customFormat="1" ht="12.75"/>
    <row r="455" customFormat="1" ht="12.75"/>
    <row r="456" customFormat="1" ht="12.75"/>
    <row r="457" customFormat="1" ht="12.75"/>
    <row r="458" customFormat="1" ht="12.75"/>
    <row r="459" customFormat="1" ht="12.75"/>
    <row r="460" customFormat="1" ht="12.75"/>
    <row r="461" customFormat="1" ht="12.75"/>
    <row r="462" customFormat="1" ht="12.75"/>
    <row r="463" customFormat="1" ht="12.75"/>
    <row r="464" customFormat="1" ht="12.75"/>
    <row r="465" customFormat="1" ht="12.75"/>
    <row r="466" customFormat="1" ht="12.75"/>
    <row r="467" customFormat="1" ht="12.75"/>
    <row r="468" customFormat="1" ht="12.75"/>
    <row r="469" customFormat="1" ht="12.75"/>
    <row r="470" customFormat="1" ht="12.75"/>
    <row r="471" customFormat="1" ht="12.75"/>
    <row r="472" customFormat="1" ht="12.75"/>
    <row r="473" customFormat="1" ht="12.75"/>
    <row r="474" customFormat="1" ht="12.75"/>
    <row r="475" customFormat="1" ht="12.75"/>
    <row r="476" customFormat="1" ht="12.75"/>
    <row r="477" customFormat="1" ht="12.75"/>
    <row r="478" customFormat="1" ht="12.75"/>
    <row r="479" customFormat="1" ht="12.75"/>
    <row r="480" customFormat="1" ht="12.75"/>
    <row r="481" customFormat="1" ht="12.75"/>
    <row r="482" customFormat="1" ht="12.75"/>
    <row r="483" customFormat="1" ht="12.75"/>
    <row r="484" customFormat="1" ht="12.75"/>
    <row r="485" customFormat="1" ht="12.75"/>
    <row r="486" customFormat="1" ht="12.75"/>
    <row r="487" customFormat="1" ht="12.75"/>
    <row r="488" customFormat="1" ht="12.75"/>
    <row r="489" customFormat="1" ht="12.75"/>
    <row r="490" customFormat="1" ht="12.75"/>
    <row r="491" customFormat="1" ht="12.75"/>
    <row r="492" customFormat="1" ht="12.75"/>
    <row r="493" customFormat="1" ht="12.75"/>
    <row r="494" customFormat="1" ht="12.75"/>
    <row r="495" customFormat="1" ht="12.75"/>
    <row r="496" customFormat="1" ht="12.75"/>
    <row r="497" customFormat="1" ht="12.75"/>
    <row r="498" customFormat="1" ht="12.75"/>
    <row r="499" customFormat="1" ht="12.75"/>
    <row r="500" customFormat="1" ht="12.75"/>
    <row r="501" customFormat="1" ht="12.75"/>
    <row r="502" customFormat="1" ht="12.75"/>
    <row r="503" customFormat="1" ht="12.75"/>
    <row r="504" customFormat="1" ht="12.75"/>
    <row r="505" customFormat="1" ht="12.75"/>
    <row r="506" customFormat="1" ht="12.75"/>
    <row r="507" customFormat="1" ht="12.75"/>
    <row r="508" customFormat="1" ht="12.75"/>
    <row r="509" customFormat="1" ht="12.75"/>
    <row r="510" customFormat="1" ht="12.75"/>
    <row r="511" customFormat="1" ht="12.75"/>
    <row r="512" customFormat="1" ht="12.75"/>
    <row r="513" customFormat="1" ht="12.75"/>
    <row r="514" customFormat="1" ht="12.75"/>
    <row r="515" customFormat="1" ht="12.75"/>
    <row r="516" customFormat="1" ht="12.75"/>
    <row r="517" customFormat="1" ht="12.75"/>
    <row r="518" customFormat="1" ht="12.75"/>
    <row r="519" customFormat="1" ht="12.75"/>
    <row r="520" customFormat="1" ht="12.75"/>
    <row r="521" customFormat="1" ht="12.75"/>
    <row r="522" customFormat="1" ht="12.75"/>
    <row r="523" customFormat="1" ht="12.75"/>
    <row r="524" customFormat="1" ht="12.75"/>
    <row r="525" customFormat="1" ht="12.75"/>
    <row r="526" customFormat="1" ht="12.75"/>
    <row r="527" customFormat="1" ht="12.75"/>
    <row r="528" customFormat="1" ht="12.75"/>
    <row r="529" customFormat="1" ht="12.75"/>
    <row r="530" customFormat="1" ht="12.75"/>
    <row r="531" customFormat="1" ht="12.75"/>
    <row r="532" customFormat="1" ht="12.75"/>
    <row r="533" customFormat="1" ht="12.75"/>
    <row r="534" customFormat="1" ht="12.75"/>
    <row r="535" customFormat="1" ht="12.75"/>
    <row r="536" customFormat="1" ht="12.75"/>
    <row r="537" customFormat="1" ht="12.75"/>
    <row r="538" customFormat="1" ht="12.75"/>
    <row r="539" customFormat="1" ht="12.75"/>
    <row r="540" customFormat="1" ht="12.75"/>
    <row r="541" customFormat="1" ht="12.75"/>
    <row r="542" customFormat="1" ht="12.75"/>
    <row r="543" customFormat="1" ht="12.75"/>
    <row r="544" customFormat="1" ht="12.75"/>
    <row r="545" customFormat="1" ht="12.75"/>
    <row r="546" customFormat="1" ht="12.75"/>
    <row r="547" customFormat="1" ht="12.75"/>
    <row r="548" customFormat="1" ht="12.75"/>
    <row r="549" customFormat="1" ht="12.75"/>
    <row r="550" customFormat="1" ht="12.75"/>
    <row r="551" customFormat="1" ht="12.75"/>
    <row r="552" customFormat="1" ht="12.75"/>
    <row r="553" customFormat="1" ht="12.75"/>
    <row r="554" customFormat="1" ht="12.75"/>
    <row r="555" customFormat="1" ht="12.75"/>
    <row r="556" customFormat="1" ht="12.75"/>
    <row r="557" customFormat="1" ht="12.75"/>
    <row r="558" customFormat="1" ht="12.75"/>
    <row r="559" customFormat="1" ht="12.75"/>
    <row r="560" customFormat="1" ht="12.75"/>
    <row r="561" customFormat="1" ht="12.75"/>
    <row r="562" customFormat="1" ht="12.75"/>
    <row r="563" customFormat="1" ht="12.75"/>
    <row r="564" customFormat="1" ht="12.75"/>
    <row r="565" customFormat="1" ht="12.75"/>
    <row r="566" customFormat="1" ht="12.75"/>
    <row r="567" customFormat="1" ht="12.75"/>
    <row r="568" customFormat="1" ht="12.75"/>
    <row r="569" customFormat="1" ht="12.75"/>
    <row r="570" customFormat="1" ht="12.75"/>
    <row r="571" customFormat="1" ht="12.75"/>
    <row r="572" customFormat="1" ht="12.75"/>
    <row r="573" customFormat="1" ht="12.75"/>
    <row r="574" customFormat="1" ht="12.75"/>
    <row r="575" customFormat="1" ht="12.75"/>
    <row r="576" customFormat="1" ht="12.75"/>
    <row r="577" customFormat="1" ht="12.75"/>
    <row r="578" customFormat="1" ht="12.75"/>
    <row r="579" customFormat="1" ht="12.75"/>
    <row r="580" customFormat="1" ht="12.75"/>
    <row r="581" customFormat="1" ht="12.75"/>
    <row r="582" customFormat="1" ht="12.75"/>
    <row r="583" customFormat="1" ht="12.75"/>
    <row r="584" customFormat="1" ht="12.75"/>
    <row r="585" customFormat="1" ht="12.75"/>
    <row r="586" customFormat="1" ht="12.75"/>
    <row r="587" customFormat="1" ht="12.75"/>
    <row r="588" customFormat="1" ht="12.75"/>
    <row r="589" customFormat="1" ht="12.75"/>
    <row r="590" customFormat="1" ht="12.75"/>
    <row r="591" customFormat="1" ht="12.75"/>
    <row r="592" customFormat="1" ht="12.75"/>
    <row r="593" customFormat="1" ht="12.75"/>
    <row r="594" customFormat="1" ht="12.75"/>
    <row r="595" customFormat="1" ht="12.75"/>
    <row r="596" customFormat="1" ht="12.75"/>
    <row r="597" customFormat="1" ht="12.75"/>
    <row r="598" customFormat="1" ht="12.75"/>
    <row r="599" customFormat="1" ht="12.75"/>
    <row r="600" customFormat="1" ht="12.75"/>
    <row r="601" customFormat="1" ht="12.75"/>
    <row r="602" customFormat="1" ht="12.75"/>
    <row r="603" customFormat="1" ht="12.75"/>
    <row r="604" customFormat="1" ht="12.75"/>
    <row r="605" customFormat="1" ht="12.75"/>
    <row r="606" customFormat="1" ht="12.75"/>
    <row r="607" customFormat="1" ht="12.75"/>
    <row r="608" customFormat="1" ht="12.75"/>
    <row r="609" customFormat="1" ht="12.75"/>
    <row r="610" customFormat="1" ht="12.75"/>
    <row r="611" customFormat="1" ht="12.75"/>
    <row r="612" customFormat="1" ht="12.75"/>
    <row r="613" customFormat="1" ht="12.75"/>
    <row r="614" customFormat="1" ht="12.75"/>
    <row r="615" customFormat="1" ht="12.75"/>
    <row r="616" customFormat="1" ht="12.75"/>
    <row r="617" customFormat="1" ht="12.75"/>
    <row r="618" customFormat="1" ht="12.75"/>
    <row r="619" customFormat="1" ht="12.75"/>
    <row r="620" customFormat="1" ht="12.75"/>
    <row r="621" customFormat="1" ht="12.75"/>
    <row r="622" customFormat="1" ht="12.75"/>
    <row r="623" customFormat="1" ht="12.75"/>
    <row r="624" customFormat="1" ht="12.75"/>
    <row r="625" customFormat="1" ht="12.75"/>
    <row r="626" customFormat="1" ht="12.75"/>
    <row r="627" customFormat="1" ht="12.75"/>
    <row r="628" customFormat="1" ht="12.75"/>
    <row r="629" customFormat="1" ht="12.75"/>
    <row r="630" customFormat="1" ht="12.75"/>
    <row r="631" customFormat="1" ht="12.75"/>
    <row r="632" customFormat="1" ht="12.75"/>
    <row r="633" customFormat="1" ht="12.75"/>
    <row r="634" customFormat="1" ht="12.75"/>
    <row r="635" customFormat="1" ht="12.75"/>
    <row r="636" customFormat="1" ht="12.75"/>
    <row r="637" customFormat="1" ht="12.75"/>
    <row r="638" customFormat="1" ht="12.75"/>
    <row r="639" customFormat="1" ht="12.75"/>
    <row r="640" customFormat="1" ht="12.75"/>
    <row r="641" customFormat="1" ht="12.75"/>
    <row r="642" customFormat="1" ht="12.75"/>
    <row r="643" customFormat="1" ht="12.75"/>
    <row r="644" customFormat="1" ht="12.75"/>
    <row r="645" customFormat="1" ht="12.75"/>
    <row r="646" customFormat="1" ht="12.75"/>
    <row r="647" customFormat="1" ht="12.75"/>
    <row r="648" customFormat="1" ht="12.75"/>
    <row r="649" customFormat="1" ht="12.75"/>
    <row r="650" customFormat="1" ht="12.75"/>
    <row r="651" customFormat="1" ht="12.75"/>
    <row r="652" customFormat="1" ht="12.75"/>
    <row r="653" customFormat="1" ht="12.75"/>
    <row r="654" customFormat="1" ht="12.75"/>
    <row r="655" customFormat="1" ht="12.75"/>
    <row r="656" customFormat="1" ht="12.75"/>
    <row r="657" customFormat="1" ht="12.75"/>
    <row r="658" customFormat="1" ht="12.75"/>
    <row r="659" customFormat="1" ht="12.75"/>
    <row r="660" customFormat="1" ht="12.75"/>
    <row r="661" customFormat="1" ht="12.75"/>
    <row r="662" customFormat="1" ht="12.75"/>
    <row r="663" customFormat="1" ht="12.75"/>
    <row r="664" customFormat="1" ht="12.75"/>
    <row r="665" customFormat="1" ht="12.75"/>
    <row r="666" customFormat="1" ht="12.75"/>
    <row r="667" customFormat="1" ht="12.75"/>
    <row r="668" customFormat="1" ht="12.75"/>
    <row r="669" customFormat="1" ht="12.75"/>
    <row r="670" customFormat="1" ht="12.75"/>
    <row r="671" customFormat="1" ht="12.75"/>
    <row r="672" customFormat="1" ht="12.75"/>
    <row r="673" customFormat="1" ht="12.75"/>
    <row r="674" customFormat="1" ht="12.75"/>
    <row r="675" customFormat="1" ht="12.75"/>
    <row r="676" customFormat="1" ht="12.75"/>
    <row r="677" customFormat="1" ht="12.75"/>
    <row r="678" customFormat="1" ht="12.75"/>
    <row r="679" customFormat="1" ht="12.75"/>
    <row r="680" customFormat="1" ht="12.75"/>
    <row r="681" customFormat="1" ht="12.75"/>
    <row r="682" customFormat="1" ht="12.75"/>
    <row r="683" customFormat="1" ht="12.75"/>
    <row r="684" customFormat="1" ht="12.75"/>
    <row r="685" customFormat="1" ht="12.75"/>
    <row r="686" customFormat="1" ht="12.75"/>
    <row r="687" customFormat="1" ht="12.75"/>
    <row r="688" customFormat="1" ht="12.75"/>
    <row r="689" customFormat="1" ht="12.75"/>
    <row r="690" customFormat="1" ht="12.75"/>
    <row r="691" customFormat="1" ht="12.75"/>
    <row r="692" customFormat="1" ht="12.75"/>
    <row r="693" customFormat="1" ht="12.75"/>
    <row r="694" customFormat="1" ht="12.75"/>
    <row r="695" customFormat="1" ht="12.75"/>
    <row r="696" customFormat="1" ht="12.75"/>
    <row r="697" customFormat="1" ht="12.75"/>
    <row r="698" customFormat="1" ht="12.75"/>
    <row r="699" customFormat="1" ht="12.75"/>
    <row r="700" customFormat="1" ht="12.75"/>
    <row r="701" customFormat="1" ht="12.75"/>
    <row r="702" customFormat="1" ht="12.75"/>
    <row r="703" customFormat="1" ht="12.75"/>
    <row r="704" customFormat="1" ht="12.75"/>
    <row r="705" customFormat="1" ht="12.75"/>
    <row r="706" customFormat="1" ht="12.75"/>
    <row r="707" customFormat="1" ht="12.75"/>
    <row r="708" customFormat="1" ht="12.75"/>
    <row r="709" customFormat="1" ht="12.75"/>
    <row r="710" customFormat="1" ht="12.75"/>
    <row r="711" customFormat="1" ht="12.75"/>
    <row r="712" customFormat="1" ht="12.75"/>
    <row r="713" customFormat="1" ht="12.75"/>
    <row r="714" customFormat="1" ht="12.75"/>
    <row r="715" customFormat="1" ht="12.75"/>
    <row r="716" customFormat="1" ht="12.75"/>
    <row r="717" customFormat="1" ht="12.75"/>
    <row r="718" customFormat="1" ht="12.75"/>
    <row r="719" customFormat="1" ht="12.75"/>
    <row r="720" customFormat="1" ht="12.75"/>
    <row r="721" customFormat="1" ht="12.75"/>
    <row r="722" customFormat="1" ht="12.75"/>
    <row r="723" customFormat="1" ht="12.75"/>
    <row r="724" customFormat="1" ht="12.75"/>
    <row r="725" customFormat="1" ht="12.75"/>
    <row r="726" customFormat="1" ht="12.75"/>
    <row r="727" customFormat="1" ht="12.75"/>
    <row r="728" customFormat="1" ht="12.75"/>
    <row r="729" customFormat="1" ht="12.75"/>
    <row r="730" customFormat="1" ht="12.75"/>
    <row r="731" customFormat="1" ht="12.75"/>
    <row r="732" customFormat="1" ht="12.75"/>
    <row r="733" customFormat="1" ht="12.75"/>
    <row r="734" customFormat="1" ht="12.75"/>
    <row r="735" customFormat="1" ht="12.75"/>
    <row r="736" customFormat="1" ht="12.75"/>
    <row r="737" customFormat="1" ht="12.75"/>
    <row r="738" customFormat="1" ht="12.75"/>
    <row r="739" customFormat="1" ht="12.75"/>
    <row r="740" customFormat="1" ht="12.75"/>
    <row r="741" customFormat="1" ht="12.75"/>
    <row r="742" customFormat="1" ht="12.75"/>
    <row r="743" customFormat="1" ht="12.75"/>
    <row r="744" customFormat="1" ht="12.75"/>
    <row r="745" customFormat="1" ht="12.75"/>
    <row r="746" customFormat="1" ht="12.75"/>
    <row r="747" customFormat="1" ht="12.75"/>
    <row r="748" customFormat="1" ht="12.75"/>
    <row r="749" customFormat="1" ht="12.75"/>
    <row r="750" customFormat="1" ht="12.75"/>
    <row r="751" customFormat="1" ht="12.75"/>
    <row r="752" customFormat="1" ht="12.75"/>
    <row r="753" customFormat="1" ht="12.75"/>
    <row r="754" customFormat="1" ht="12.75"/>
    <row r="755" customFormat="1" ht="12.75"/>
    <row r="756" customFormat="1" ht="12.75"/>
    <row r="757" customFormat="1" ht="12.75"/>
    <row r="758" customFormat="1" ht="12.75"/>
    <row r="759" customFormat="1" ht="12.75"/>
    <row r="760" customFormat="1" ht="12.75"/>
    <row r="761" customFormat="1" ht="12.75"/>
    <row r="762" customFormat="1" ht="12.75"/>
    <row r="763" customFormat="1" ht="12.75"/>
    <row r="764" customFormat="1" ht="12.75"/>
    <row r="765" customFormat="1" ht="12.75"/>
    <row r="766" customFormat="1" ht="12.75"/>
    <row r="767" customFormat="1" ht="12.75"/>
    <row r="768" customFormat="1" ht="12.75"/>
    <row r="769" customFormat="1" ht="12.75"/>
    <row r="770" customFormat="1" ht="12.75"/>
    <row r="771" customFormat="1" ht="12.75"/>
    <row r="772" customFormat="1" ht="12.75"/>
    <row r="773" customFormat="1" ht="12.75"/>
    <row r="774" customFormat="1" ht="12.75"/>
    <row r="775" customFormat="1" ht="12.75"/>
    <row r="776" customFormat="1" ht="12.75"/>
    <row r="777" customFormat="1" ht="12.75"/>
    <row r="778" customFormat="1" ht="12.75"/>
    <row r="779" customFormat="1" ht="12.75"/>
    <row r="780" customFormat="1" ht="12.75"/>
    <row r="781" customFormat="1" ht="12.75"/>
    <row r="782" customFormat="1" ht="12.75"/>
    <row r="783" customFormat="1" ht="12.75"/>
    <row r="784" customFormat="1" ht="12.75"/>
    <row r="785" customFormat="1" ht="12.75"/>
    <row r="786" customFormat="1" ht="12.75"/>
    <row r="787" customFormat="1" ht="12.75"/>
    <row r="788" customFormat="1" ht="12.75"/>
    <row r="789" customFormat="1" ht="12.75"/>
    <row r="790" customFormat="1" ht="12.75"/>
    <row r="791" customFormat="1" ht="12.75"/>
    <row r="792" customFormat="1" ht="12.75"/>
    <row r="793" customFormat="1" ht="12.75"/>
    <row r="794" customFormat="1" ht="12.75"/>
    <row r="795" customFormat="1" ht="12.75"/>
    <row r="796" customFormat="1" ht="12.75"/>
    <row r="797" customFormat="1" ht="12.75"/>
    <row r="798" customFormat="1" ht="12.75"/>
    <row r="799" customFormat="1" ht="12.75"/>
    <row r="800" customFormat="1" ht="12.75"/>
    <row r="801" customFormat="1" ht="12.75"/>
    <row r="802" customFormat="1" ht="12.75"/>
    <row r="803" customFormat="1" ht="12.75"/>
    <row r="804" customFormat="1" ht="12.75"/>
    <row r="805" customFormat="1" ht="12.75"/>
    <row r="806" customFormat="1" ht="12.75"/>
    <row r="807" customFormat="1" ht="12.75"/>
    <row r="808" customFormat="1" ht="12.75"/>
    <row r="809" customFormat="1" ht="12.75"/>
    <row r="810" customFormat="1" ht="12.75"/>
    <row r="811" customFormat="1" ht="12.75"/>
    <row r="812" customFormat="1" ht="12.75"/>
    <row r="813" customFormat="1" ht="12.75"/>
    <row r="814" customFormat="1" ht="12.75"/>
    <row r="815" customFormat="1" ht="12.75"/>
    <row r="816" customFormat="1" ht="12.75"/>
    <row r="817" customFormat="1" ht="12.75"/>
    <row r="818" customFormat="1" ht="12.75"/>
    <row r="819" customFormat="1" ht="12.75"/>
    <row r="820" customFormat="1" ht="12.75"/>
    <row r="821" customFormat="1" ht="12.75"/>
    <row r="822" customFormat="1" ht="12.75"/>
    <row r="823" customFormat="1" ht="12.75"/>
    <row r="824" customFormat="1" ht="12.75"/>
    <row r="825" customFormat="1" ht="12.75"/>
    <row r="826" customFormat="1" ht="12.75"/>
    <row r="827" customFormat="1" ht="12.75"/>
    <row r="828" customFormat="1" ht="12.75"/>
    <row r="829" customFormat="1" ht="12.75"/>
    <row r="830" customFormat="1" ht="12.75"/>
    <row r="831" customFormat="1" ht="12.75"/>
    <row r="832" customFormat="1" ht="12.75"/>
    <row r="833" customFormat="1" ht="12.75"/>
    <row r="834" customFormat="1" ht="12.75"/>
    <row r="835" customFormat="1" ht="12.75"/>
    <row r="836" customFormat="1" ht="12.75"/>
    <row r="837" customFormat="1" ht="12.75"/>
    <row r="838" customFormat="1" ht="12.75"/>
    <row r="839" customFormat="1" ht="12.75"/>
    <row r="840" customFormat="1" ht="12.75"/>
    <row r="841" customFormat="1" ht="12.75"/>
    <row r="842" customFormat="1" ht="12.75"/>
    <row r="843" customFormat="1" ht="12.75"/>
    <row r="844" customFormat="1" ht="12.75"/>
    <row r="845" customFormat="1" ht="12.75"/>
    <row r="846" customFormat="1" ht="12.75"/>
    <row r="847" customFormat="1" ht="12.75"/>
    <row r="848" customFormat="1" ht="12.75"/>
    <row r="849" customFormat="1" ht="12.75"/>
    <row r="850" customFormat="1" ht="12.75"/>
    <row r="851" customFormat="1" ht="12.75"/>
    <row r="852" customFormat="1" ht="12.75"/>
    <row r="853" customFormat="1" ht="12.75"/>
    <row r="854" customFormat="1" ht="12.75"/>
    <row r="855" customFormat="1" ht="12.75"/>
    <row r="856" customFormat="1" ht="12.75"/>
    <row r="857" customFormat="1" ht="12.75"/>
    <row r="858" customFormat="1" ht="12.75"/>
    <row r="859" customFormat="1" ht="12.75"/>
    <row r="860" customFormat="1" ht="12.75"/>
    <row r="861" customFormat="1" ht="12.75"/>
    <row r="862" customFormat="1" ht="12.75"/>
    <row r="863" customFormat="1" ht="12.75"/>
    <row r="864" customFormat="1" ht="12.75"/>
    <row r="865" customFormat="1" ht="12.75"/>
    <row r="866" customFormat="1" ht="12.75"/>
    <row r="867" customFormat="1" ht="12.75"/>
    <row r="868" customFormat="1" ht="12.75"/>
    <row r="869" customFormat="1" ht="12.75"/>
    <row r="870" customFormat="1" ht="12.75"/>
    <row r="871" customFormat="1" ht="12.75"/>
    <row r="872" customFormat="1" ht="12.75"/>
    <row r="873" customFormat="1" ht="12.75"/>
    <row r="874" customFormat="1" ht="12.75"/>
    <row r="875" customFormat="1" ht="12.75"/>
    <row r="876" customFormat="1" ht="12.75"/>
    <row r="877" customFormat="1" ht="12.75"/>
    <row r="878" customFormat="1" ht="12.75"/>
    <row r="879" customFormat="1" ht="12.75"/>
    <row r="880" customFormat="1" ht="12.75"/>
    <row r="881" customFormat="1" ht="12.75"/>
    <row r="882" customFormat="1" ht="12.75"/>
    <row r="883" customFormat="1" ht="12.75"/>
    <row r="884" customFormat="1" ht="12.75"/>
    <row r="885" customFormat="1" ht="12.75"/>
    <row r="886" customFormat="1" ht="12.75"/>
    <row r="887" customFormat="1" ht="12.75"/>
    <row r="888" customFormat="1" ht="12.75"/>
    <row r="889" customFormat="1" ht="12.75"/>
    <row r="890" customFormat="1" ht="12.75"/>
    <row r="891" customFormat="1" ht="12.75"/>
    <row r="892" customFormat="1" ht="12.75"/>
    <row r="893" customFormat="1" ht="12.75"/>
    <row r="894" customFormat="1" ht="12.75"/>
    <row r="895" customFormat="1" ht="12.75"/>
    <row r="896" customFormat="1" ht="12.75"/>
    <row r="897" customFormat="1" ht="12.75"/>
    <row r="898" customFormat="1" ht="12.75"/>
    <row r="899" customFormat="1" ht="12.75"/>
    <row r="900" customFormat="1" ht="12.75"/>
    <row r="901" customFormat="1" ht="12.75"/>
    <row r="902" customFormat="1" ht="12.75"/>
    <row r="903" customFormat="1" ht="12.75"/>
    <row r="904" customFormat="1" ht="12.75"/>
    <row r="905" customFormat="1" ht="12.75"/>
    <row r="906" customFormat="1" ht="12.75"/>
    <row r="907" customFormat="1" ht="12.75"/>
    <row r="908" customFormat="1" ht="12.75"/>
    <row r="909" customFormat="1" ht="12.75"/>
    <row r="910" customFormat="1" ht="12.75"/>
    <row r="911" customFormat="1" ht="12.75"/>
    <row r="912" customFormat="1" ht="12.75"/>
    <row r="913" customFormat="1" ht="12.75"/>
    <row r="914" customFormat="1" ht="12.75"/>
    <row r="915" customFormat="1" ht="12.75"/>
    <row r="916" customFormat="1" ht="12.75"/>
    <row r="917" customFormat="1" ht="12.75"/>
    <row r="918" customFormat="1" ht="12.75"/>
    <row r="919" customFormat="1" ht="12.75"/>
    <row r="920" customFormat="1" ht="12.75"/>
    <row r="921" customFormat="1" ht="12.75"/>
    <row r="922" customFormat="1" ht="12.75"/>
    <row r="923" customFormat="1" ht="12.75"/>
    <row r="924" customFormat="1" ht="12.75"/>
    <row r="925" customFormat="1" ht="12.75"/>
    <row r="926" customFormat="1" ht="12.75"/>
    <row r="927" customFormat="1" ht="12.75"/>
    <row r="928" customFormat="1" ht="12.75"/>
    <row r="929" customFormat="1" ht="12.75"/>
    <row r="930" customFormat="1" ht="12.75"/>
    <row r="931" customFormat="1" ht="12.75"/>
    <row r="932" customFormat="1" ht="12.75"/>
    <row r="933" customFormat="1" ht="12.75"/>
    <row r="934" customFormat="1" ht="12.75"/>
    <row r="935" customFormat="1" ht="12.75"/>
    <row r="936" customFormat="1" ht="12.75"/>
    <row r="937" customFormat="1" ht="12.75"/>
    <row r="938" customFormat="1" ht="12.75"/>
    <row r="939" customFormat="1" ht="12.75"/>
    <row r="940" customFormat="1" ht="12.75"/>
    <row r="941" customFormat="1" ht="12.75"/>
    <row r="942" customFormat="1" ht="12.75"/>
    <row r="943" customFormat="1" ht="12.75"/>
    <row r="944" customFormat="1" ht="12.75"/>
    <row r="945" customFormat="1" ht="12.75"/>
    <row r="946" customFormat="1" ht="12.75"/>
    <row r="947" customFormat="1" ht="12.75"/>
    <row r="948" customFormat="1" ht="12.75"/>
    <row r="949" customFormat="1" ht="12.75"/>
    <row r="950" customFormat="1" ht="12.75"/>
    <row r="951" customFormat="1" ht="12.75"/>
    <row r="952" customFormat="1" ht="12.75"/>
    <row r="953" customFormat="1" ht="12.75"/>
    <row r="954" customFormat="1" ht="12.75"/>
    <row r="955" customFormat="1" ht="12.75"/>
    <row r="956" customFormat="1" ht="12.75"/>
    <row r="957" customFormat="1" ht="12.75"/>
    <row r="958" customFormat="1" ht="12.75"/>
    <row r="959" customFormat="1" ht="12.75"/>
    <row r="960" customFormat="1" ht="12.75"/>
    <row r="961" customFormat="1" ht="12.75"/>
    <row r="962" customFormat="1" ht="12.75"/>
    <row r="963" customFormat="1" ht="12.75"/>
    <row r="964" customFormat="1" ht="12.75"/>
    <row r="965" customFormat="1" ht="12.75"/>
    <row r="966" customFormat="1" ht="12.75"/>
    <row r="967" customFormat="1" ht="12.75"/>
    <row r="968" customFormat="1" ht="12.75"/>
    <row r="969" customFormat="1" ht="12.75"/>
    <row r="970" customFormat="1" ht="12.75"/>
    <row r="971" customFormat="1" ht="12.75"/>
    <row r="972" customFormat="1" ht="12.75"/>
    <row r="973" customFormat="1" ht="12.75"/>
    <row r="974" customFormat="1" ht="12.75"/>
    <row r="975" customFormat="1" ht="12.75"/>
    <row r="976" customFormat="1" ht="12.75"/>
    <row r="977" customFormat="1" ht="12.75"/>
    <row r="978" customFormat="1" ht="12.75"/>
    <row r="979" customFormat="1" ht="12.75"/>
    <row r="980" customFormat="1" ht="12.75"/>
    <row r="981" customFormat="1" ht="12.75"/>
    <row r="982" customFormat="1" ht="12.75"/>
    <row r="983" customFormat="1" ht="12.75"/>
    <row r="984" customFormat="1" ht="12.75"/>
    <row r="985" customFormat="1" ht="12.75"/>
    <row r="986" customFormat="1" ht="12.75"/>
    <row r="987" customFormat="1" ht="12.75"/>
    <row r="988" customFormat="1" ht="12.75"/>
    <row r="989" customFormat="1" ht="12.75"/>
    <row r="990" customFormat="1" ht="12.75"/>
    <row r="991" customFormat="1" ht="12.75"/>
    <row r="992" customFormat="1" ht="12.75"/>
    <row r="993" customFormat="1" ht="12.75"/>
    <row r="994" customFormat="1" ht="12.75"/>
    <row r="995" customFormat="1" ht="12.75"/>
    <row r="996" customFormat="1" ht="12.75"/>
    <row r="997" customFormat="1" ht="12.75"/>
    <row r="998" customFormat="1" ht="12.75"/>
    <row r="999" customFormat="1" ht="12.75"/>
    <row r="1000" customFormat="1" ht="12.75"/>
    <row r="1001" customFormat="1" ht="12.75"/>
    <row r="1002" customFormat="1" ht="12.75"/>
    <row r="1003" customFormat="1" ht="12.75"/>
    <row r="1004" customFormat="1" ht="12.75"/>
    <row r="1005" customFormat="1" ht="12.75"/>
    <row r="1006" customFormat="1" ht="12.75"/>
    <row r="1007" customFormat="1" ht="12.75"/>
    <row r="1008" customFormat="1" ht="12.75"/>
    <row r="1009" customFormat="1" ht="12.75"/>
    <row r="1010" customFormat="1" ht="12.75"/>
    <row r="1011" customFormat="1" ht="12.75"/>
    <row r="1012" customFormat="1" ht="12.75"/>
    <row r="1013" customFormat="1" ht="12.75"/>
    <row r="1014" customFormat="1" ht="12.75"/>
    <row r="1015" customFormat="1" ht="12.75"/>
    <row r="1016" customFormat="1" ht="12.75"/>
    <row r="1017" customFormat="1" ht="12.75"/>
    <row r="1018" customFormat="1" ht="12.75"/>
    <row r="1019" customFormat="1" ht="12.75"/>
    <row r="1020" customFormat="1" ht="12.75"/>
    <row r="1021" customFormat="1" ht="12.75"/>
    <row r="1022" customFormat="1" ht="12.75"/>
    <row r="1023" customFormat="1" ht="12.75"/>
    <row r="1024" customFormat="1" ht="12.75"/>
    <row r="1025" customFormat="1" ht="12.75"/>
    <row r="1026" customFormat="1" ht="12.75"/>
    <row r="1027" customFormat="1" ht="12.75"/>
    <row r="1028" customFormat="1" ht="12.75"/>
    <row r="1029" customFormat="1" ht="12.75"/>
    <row r="1030" customFormat="1" ht="12.75"/>
    <row r="1031" customFormat="1" ht="12.75"/>
    <row r="1032" customFormat="1" ht="12.75"/>
    <row r="1033" customFormat="1" ht="12.75"/>
    <row r="1034" customFormat="1" ht="12.75"/>
    <row r="1035" customFormat="1" ht="12.75"/>
    <row r="1036" customFormat="1" ht="12.75"/>
    <row r="1037" customFormat="1" ht="12.75"/>
    <row r="1038" customFormat="1" ht="12.75"/>
    <row r="1039" customFormat="1" ht="12.75"/>
    <row r="1040" customFormat="1" ht="12.75"/>
    <row r="1041" customFormat="1" ht="12.75"/>
    <row r="1042" customFormat="1" ht="12.75"/>
    <row r="1043" customFormat="1" ht="12.75"/>
    <row r="1044" customFormat="1" ht="12.75"/>
    <row r="1045" customFormat="1" ht="12.75"/>
    <row r="1046" customFormat="1" ht="12.75"/>
    <row r="1047" customFormat="1" ht="12.75"/>
    <row r="1048" customFormat="1" ht="12.75"/>
    <row r="1049" customFormat="1" ht="12.75"/>
    <row r="1050" customFormat="1" ht="12.75"/>
    <row r="1051" customFormat="1" ht="12.75"/>
    <row r="1052" customFormat="1" ht="12.75"/>
    <row r="1053" customFormat="1" ht="12.75"/>
    <row r="1054" customFormat="1" ht="12.75"/>
    <row r="1055" customFormat="1" ht="12.75"/>
    <row r="1056" customFormat="1" ht="12.75"/>
    <row r="1057" customFormat="1" ht="12.75"/>
    <row r="1058" customFormat="1" ht="12.75"/>
    <row r="1059" customFormat="1" ht="12.75"/>
    <row r="1060" customFormat="1" ht="12.75"/>
    <row r="1061" customFormat="1" ht="12.75"/>
    <row r="1062" customFormat="1" ht="12.75"/>
    <row r="1063" customFormat="1" ht="12.75"/>
    <row r="1064" customFormat="1" ht="12.75"/>
    <row r="1065" customFormat="1" ht="12.75"/>
    <row r="1066" customFormat="1" ht="12.75"/>
    <row r="1067" customFormat="1" ht="12.75"/>
    <row r="1068" customFormat="1" ht="12.75"/>
    <row r="1069" customFormat="1" ht="12.75"/>
    <row r="1070" customFormat="1" ht="12.75"/>
    <row r="1071" customFormat="1" ht="12.75"/>
    <row r="1072" customFormat="1" ht="12.75"/>
    <row r="1073" customFormat="1" ht="12.75"/>
    <row r="1074" customFormat="1" ht="12.75"/>
    <row r="1075" customFormat="1" ht="12.75"/>
    <row r="1076" customFormat="1" ht="12.75"/>
    <row r="1077" customFormat="1" ht="12.75"/>
    <row r="1078" customFormat="1" ht="12.75"/>
    <row r="1079" customFormat="1" ht="12.75"/>
    <row r="1080" customFormat="1" ht="12.75"/>
    <row r="1081" customFormat="1" ht="12.75"/>
    <row r="1082" customFormat="1" ht="12.75"/>
    <row r="1083" customFormat="1" ht="12.75"/>
    <row r="1084" customFormat="1" ht="12.75"/>
    <row r="1085" customFormat="1" ht="12.75"/>
    <row r="1086" customFormat="1" ht="12.75"/>
    <row r="1087" customFormat="1" ht="12.75"/>
    <row r="1088" customFormat="1" ht="12.75"/>
    <row r="1089" customFormat="1" ht="12.75"/>
    <row r="1090" customFormat="1" ht="12.75"/>
    <row r="1091" customFormat="1" ht="12.75"/>
    <row r="1092" customFormat="1" ht="12.75"/>
    <row r="1093" customFormat="1" ht="12.75"/>
    <row r="1094" customFormat="1" ht="12.75"/>
    <row r="1095" customFormat="1" ht="12.75"/>
    <row r="1096" customFormat="1" ht="12.75"/>
    <row r="1097" customFormat="1" ht="12.75"/>
    <row r="1098" customFormat="1" ht="12.75"/>
    <row r="1099" customFormat="1" ht="12.75"/>
    <row r="1100" customFormat="1" ht="12.75"/>
    <row r="1101" customFormat="1" ht="12.75"/>
    <row r="1102" customFormat="1" ht="12.75"/>
    <row r="1103" customFormat="1" ht="12.75"/>
    <row r="1104" customFormat="1" ht="12.75"/>
    <row r="1105" customFormat="1" ht="12.75"/>
    <row r="1106" customFormat="1" ht="12.75"/>
    <row r="1107" customFormat="1" ht="12.75"/>
    <row r="1108" customFormat="1" ht="12.75"/>
    <row r="1109" customFormat="1" ht="12.75"/>
    <row r="1110" customFormat="1" ht="12.75"/>
    <row r="1111" customFormat="1" ht="12.75"/>
    <row r="1112" customFormat="1" ht="12.75"/>
    <row r="1113" customFormat="1" ht="12.75"/>
    <row r="1114" customFormat="1" ht="12.75"/>
    <row r="1115" customFormat="1" ht="12.75"/>
    <row r="1116" customFormat="1" ht="12.75"/>
    <row r="1117" customFormat="1" ht="12.75"/>
    <row r="1118" customFormat="1" ht="12.75"/>
    <row r="1119" customFormat="1" ht="12.75"/>
    <row r="1120" customFormat="1" ht="12.75"/>
    <row r="1121" customFormat="1" ht="12.75"/>
    <row r="1122" customFormat="1" ht="12.75"/>
    <row r="1123" customFormat="1" ht="12.75"/>
    <row r="1124" customFormat="1" ht="12.75"/>
    <row r="1125" customFormat="1" ht="12.75"/>
    <row r="1126" customFormat="1" ht="12.75"/>
    <row r="1127" customFormat="1" ht="12.75"/>
    <row r="1128" customFormat="1" ht="12.75"/>
    <row r="1129" customFormat="1" ht="12.75"/>
    <row r="1130" customFormat="1" ht="12.75"/>
    <row r="1131" customFormat="1" ht="12.75"/>
    <row r="1132" customFormat="1" ht="12.75"/>
    <row r="1133" customFormat="1" ht="12.75"/>
    <row r="1134" customFormat="1" ht="12.75"/>
    <row r="1135" customFormat="1" ht="12.75"/>
    <row r="1136" customFormat="1" ht="12.75"/>
    <row r="1137" customFormat="1" ht="12.75"/>
    <row r="1138" customFormat="1" ht="12.75"/>
    <row r="1139" customFormat="1" ht="12.75"/>
    <row r="1140" customFormat="1" ht="12.75"/>
    <row r="1141" customFormat="1" ht="12.75"/>
    <row r="1142" customFormat="1" ht="12.75"/>
    <row r="1143" customFormat="1" ht="12.75"/>
    <row r="1144" customFormat="1" ht="12.75"/>
    <row r="1145" customFormat="1" ht="12.75"/>
    <row r="1146" customFormat="1" ht="12.75"/>
    <row r="1147" customFormat="1" ht="12.75"/>
    <row r="1148" customFormat="1" ht="12.75"/>
    <row r="1149" customFormat="1" ht="12.75"/>
    <row r="1150" customFormat="1" ht="12.75"/>
    <row r="1151" customFormat="1" ht="12.75"/>
    <row r="1152" customFormat="1" ht="12.75"/>
    <row r="1153" customFormat="1" ht="12.75"/>
    <row r="1154" customFormat="1" ht="12.75"/>
    <row r="1155" customFormat="1" ht="12.75"/>
    <row r="1156" customFormat="1" ht="12.75"/>
    <row r="1157" customFormat="1" ht="12.75"/>
    <row r="1158" customFormat="1" ht="12.75"/>
    <row r="1159" customFormat="1" ht="12.75"/>
    <row r="1160" customFormat="1" ht="12.75"/>
    <row r="1161" customFormat="1" ht="12.75"/>
    <row r="1162" customFormat="1" ht="12.75"/>
    <row r="1163" customFormat="1" ht="12.75"/>
    <row r="1164" customFormat="1" ht="12.75"/>
    <row r="1165" customFormat="1" ht="12.75"/>
    <row r="1166" customFormat="1" ht="12.75"/>
    <row r="1167" customFormat="1" ht="12.75"/>
    <row r="1168" customFormat="1" ht="12.75"/>
    <row r="1169" customFormat="1" ht="12.75"/>
    <row r="1170" customFormat="1" ht="12.75"/>
    <row r="1171" customFormat="1" ht="12.75"/>
    <row r="1172" customFormat="1" ht="12.75"/>
    <row r="1173" customFormat="1" ht="12.75"/>
    <row r="1174" customFormat="1" ht="12.75"/>
    <row r="1175" customFormat="1" ht="12.75"/>
    <row r="1176" customFormat="1" ht="12.75"/>
    <row r="1177" customFormat="1" ht="12.75"/>
    <row r="1178" customFormat="1" ht="12.75"/>
    <row r="1179" customFormat="1" ht="12.75"/>
    <row r="1180" customFormat="1" ht="12.75"/>
    <row r="1181" customFormat="1" ht="12.75"/>
    <row r="1182" customFormat="1" ht="12.75"/>
    <row r="1183" customFormat="1" ht="12.75"/>
    <row r="1184" customFormat="1" ht="12.75"/>
    <row r="1185" customFormat="1" ht="12.75"/>
    <row r="1186" customFormat="1" ht="12.75"/>
    <row r="1187" customFormat="1" ht="12.75"/>
    <row r="1188" customFormat="1" ht="12.75"/>
    <row r="1189" customFormat="1" ht="12.75"/>
    <row r="1190" customFormat="1" ht="12.75"/>
    <row r="1191" customFormat="1" ht="12.75"/>
    <row r="1192" customFormat="1" ht="12.75"/>
    <row r="1193" customFormat="1" ht="12.75"/>
    <row r="1194" customFormat="1" ht="12.75"/>
    <row r="1195" customFormat="1" ht="12.75"/>
    <row r="1196" customFormat="1" ht="12.75"/>
    <row r="1197" customFormat="1" ht="12.75"/>
    <row r="1198" customFormat="1" ht="12.75"/>
    <row r="1199" customFormat="1" ht="12.75"/>
    <row r="1200" customFormat="1" ht="12.75"/>
    <row r="1201" customFormat="1" ht="12.75"/>
    <row r="1202" customFormat="1" ht="12.75"/>
    <row r="1203" customFormat="1" ht="12.75"/>
    <row r="1204" customFormat="1" ht="12.75"/>
    <row r="1205" customFormat="1" ht="12.75"/>
    <row r="1206" customFormat="1" ht="12.75"/>
    <row r="1207" customFormat="1" ht="12.75"/>
    <row r="1208" customFormat="1" ht="12.75"/>
    <row r="1209" customFormat="1" ht="12.75"/>
    <row r="1210" customFormat="1" ht="12.75"/>
    <row r="1211" customFormat="1" ht="12.75"/>
    <row r="1212" customFormat="1" ht="12.75"/>
    <row r="1213" customFormat="1" ht="12.75"/>
    <row r="1214" customFormat="1" ht="12.75"/>
    <row r="1215" customFormat="1" ht="12.75"/>
    <row r="1216" customFormat="1" ht="12.75"/>
    <row r="1217" customFormat="1" ht="12.75"/>
    <row r="1218" customFormat="1" ht="12.75"/>
    <row r="1219" customFormat="1" ht="12.75"/>
    <row r="1220" customFormat="1" ht="12.75"/>
    <row r="1221" customFormat="1" ht="12.75"/>
    <row r="1222" customFormat="1" ht="12.75"/>
    <row r="1223" customFormat="1" ht="12.75"/>
    <row r="1224" customFormat="1" ht="12.75"/>
    <row r="1225" customFormat="1" ht="12.75"/>
    <row r="1226" customFormat="1" ht="12.75"/>
    <row r="1227" customFormat="1" ht="12.75"/>
    <row r="1228" customFormat="1" ht="12.75"/>
    <row r="1229" customFormat="1" ht="12.75"/>
    <row r="1230" customFormat="1" ht="12.75"/>
    <row r="1231" customFormat="1" ht="12.75"/>
    <row r="1232" customFormat="1" ht="12.75"/>
    <row r="1233" customFormat="1" ht="12.75"/>
    <row r="1234" customFormat="1" ht="12.75"/>
    <row r="1235" customFormat="1" ht="12.75"/>
    <row r="1236" customFormat="1" ht="12.75"/>
    <row r="1237" customFormat="1" ht="12.75"/>
    <row r="1238" customFormat="1" ht="12.75"/>
    <row r="1239" customFormat="1" ht="12.75"/>
    <row r="1240" customFormat="1" ht="12.75"/>
    <row r="1241" customFormat="1" ht="12.75"/>
    <row r="1242" customFormat="1" ht="12.75"/>
    <row r="1243" customFormat="1" ht="12.75"/>
    <row r="1244" customFormat="1" ht="12.75"/>
    <row r="1245" customFormat="1" ht="12.75"/>
    <row r="1246" customFormat="1" ht="12.75"/>
    <row r="1247" customFormat="1" ht="12.75"/>
    <row r="1248" customFormat="1" ht="12.75"/>
    <row r="1249" customFormat="1" ht="12.75"/>
    <row r="1250" customFormat="1" ht="12.75"/>
    <row r="1251" customFormat="1" ht="12.75"/>
    <row r="1252" customFormat="1" ht="12.75"/>
    <row r="1253" customFormat="1" ht="12.75"/>
    <row r="1254" customFormat="1" ht="12.75"/>
    <row r="1255" customFormat="1" ht="12.75"/>
    <row r="1256" customFormat="1" ht="12.75"/>
    <row r="1257" customFormat="1" ht="12.75"/>
    <row r="1258" customFormat="1" ht="12.75"/>
    <row r="1259" customFormat="1" ht="12.75"/>
    <row r="1260" customFormat="1" ht="12.75"/>
    <row r="1261" customFormat="1" ht="12.75"/>
    <row r="1262" customFormat="1" ht="12.75"/>
    <row r="1263" customFormat="1" ht="12.75"/>
    <row r="1264" customFormat="1" ht="12.75"/>
    <row r="1265" customFormat="1" ht="12.75"/>
    <row r="1266" customFormat="1" ht="12.75"/>
    <row r="1267" customFormat="1" ht="12.75"/>
    <row r="1268" customFormat="1" ht="12.75"/>
    <row r="1269" customFormat="1" ht="12.75"/>
    <row r="1270" customFormat="1" ht="12.75"/>
    <row r="1271" customFormat="1" ht="12.75"/>
    <row r="1272" customFormat="1" ht="12.75"/>
    <row r="1273" customFormat="1" ht="12.75"/>
    <row r="1274" customFormat="1" ht="12.75"/>
    <row r="1275" customFormat="1" ht="12.75"/>
    <row r="1276" customFormat="1" ht="12.75"/>
    <row r="1277" customFormat="1" ht="12.75"/>
    <row r="1278" customFormat="1" ht="12.75"/>
    <row r="1279" customFormat="1" ht="12.75"/>
    <row r="1280" customFormat="1" ht="12.75"/>
    <row r="1281" customFormat="1" ht="12.75"/>
    <row r="1282" customFormat="1" ht="12.75"/>
    <row r="1283" customFormat="1" ht="12.75"/>
    <row r="1284" customFormat="1" ht="12.75"/>
    <row r="1285" customFormat="1" ht="12.75"/>
    <row r="1286" customFormat="1" ht="12.75"/>
    <row r="1287" customFormat="1" ht="12.75"/>
    <row r="1288" customFormat="1" ht="12.75"/>
    <row r="1289" customFormat="1" ht="12.75"/>
    <row r="1290" customFormat="1" ht="12.75"/>
    <row r="1291" customFormat="1" ht="12.75"/>
    <row r="1292" customFormat="1" ht="12.75"/>
    <row r="1293" customFormat="1" ht="12.75"/>
    <row r="1294" customFormat="1" ht="12.75"/>
    <row r="1295" customFormat="1" ht="12.75"/>
    <row r="1296" customFormat="1" ht="12.75"/>
    <row r="1297" customFormat="1" ht="12.75"/>
    <row r="1298" customFormat="1" ht="12.75"/>
    <row r="1299" customFormat="1" ht="12.75"/>
    <row r="1300" customFormat="1" ht="12.75"/>
    <row r="1301" customFormat="1" ht="12.75"/>
    <row r="1302" customFormat="1" ht="12.75"/>
    <row r="1303" customFormat="1" ht="12.75"/>
    <row r="1304" customFormat="1" ht="12.75"/>
    <row r="1305" customFormat="1" ht="12.75"/>
    <row r="1306" customFormat="1" ht="12.75"/>
    <row r="1307" customFormat="1" ht="12.75"/>
    <row r="1308" customFormat="1" ht="12.75"/>
    <row r="1309" customFormat="1" ht="12.75"/>
  </sheetData>
  <mergeCells count="29">
    <mergeCell ref="B172:O172"/>
    <mergeCell ref="B71:O71"/>
    <mergeCell ref="B7:O7"/>
    <mergeCell ref="B8:O8"/>
    <mergeCell ref="B39:O39"/>
    <mergeCell ref="B40:O40"/>
    <mergeCell ref="B41:O41"/>
    <mergeCell ref="B240:O240"/>
    <mergeCell ref="B238:O238"/>
    <mergeCell ref="B239:O239"/>
    <mergeCell ref="B72:O72"/>
    <mergeCell ref="B73:O73"/>
    <mergeCell ref="B105:P105"/>
    <mergeCell ref="B107:P107"/>
    <mergeCell ref="B137:P137"/>
    <mergeCell ref="B138:P138"/>
    <mergeCell ref="B139:P139"/>
    <mergeCell ref="B106:P106"/>
    <mergeCell ref="B203:O203"/>
    <mergeCell ref="B204:O204"/>
    <mergeCell ref="B205:O205"/>
    <mergeCell ref="B170:O170"/>
    <mergeCell ref="B171:O171"/>
    <mergeCell ref="B307:O307"/>
    <mergeCell ref="B308:O308"/>
    <mergeCell ref="B273:O273"/>
    <mergeCell ref="B274:O274"/>
    <mergeCell ref="B275:O275"/>
    <mergeCell ref="B306:O306"/>
  </mergeCells>
  <phoneticPr fontId="4" type="noConversion"/>
  <pageMargins left="0.7" right="0.7" top="1.07" bottom="0.75" header="0.3" footer="0.3"/>
  <pageSetup scale="61" fitToHeight="0" orientation="landscape" r:id="rId1"/>
  <headerFooter>
    <oddHeader>&amp;RDocket No 56165
Schedule &amp;A
Page &amp;P of &amp;N</oddHeader>
    <oddFooter>&amp;LSponsored by: Earlyne Reynolds</oddFooter>
  </headerFooter>
  <rowBreaks count="9" manualBreakCount="9">
    <brk id="38" max="16383" man="1"/>
    <brk id="70" max="16383" man="1"/>
    <brk id="104" max="16383" man="1"/>
    <brk id="136" max="16383" man="1"/>
    <brk id="169" max="16383" man="1"/>
    <brk id="202" max="16383" man="1"/>
    <brk id="236" max="16383" man="1"/>
    <brk id="271" max="16383" man="1"/>
    <brk id="305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9"/>
  <sheetViews>
    <sheetView zoomScaleNormal="100" workbookViewId="0">
      <selection activeCell="D14" sqref="D14"/>
    </sheetView>
  </sheetViews>
  <sheetFormatPr defaultColWidth="9.140625" defaultRowHeight="11.25"/>
  <cols>
    <col min="1" max="1" width="5.5703125" style="4" customWidth="1"/>
    <col min="2" max="2" width="34.85546875" style="4" customWidth="1"/>
    <col min="3" max="3" width="6.7109375" style="30" customWidth="1"/>
    <col min="4" max="4" width="13.85546875" style="30" customWidth="1"/>
    <col min="5" max="5" width="11.85546875" style="30" customWidth="1"/>
    <col min="6" max="6" width="13.85546875" style="4" customWidth="1"/>
    <col min="7" max="7" width="11.7109375" style="4" customWidth="1"/>
    <col min="8" max="16384" width="9.140625" style="4"/>
  </cols>
  <sheetData>
    <row r="1" spans="1:7" ht="12" thickBot="1"/>
    <row r="2" spans="1:7">
      <c r="B2" s="203" t="s">
        <v>100</v>
      </c>
    </row>
    <row r="3" spans="1:7">
      <c r="B3" s="204" t="s">
        <v>101</v>
      </c>
    </row>
    <row r="4" spans="1:7">
      <c r="B4" s="205" t="s">
        <v>136</v>
      </c>
    </row>
    <row r="5" spans="1:7">
      <c r="B5" s="205" t="str">
        <f>'II-H-1.2'!B5</f>
        <v>TEST YEAR ENDING 9/30/2023</v>
      </c>
    </row>
    <row r="6" spans="1:7" ht="12" thickBot="1">
      <c r="B6" s="206" t="str">
        <f>+'II-H-1'!B6</f>
        <v>DOCKET 56165</v>
      </c>
    </row>
    <row r="7" spans="1:7" ht="12.75" customHeight="1">
      <c r="A7" s="369" t="s">
        <v>91</v>
      </c>
      <c r="B7" s="370"/>
      <c r="C7" s="370"/>
      <c r="D7" s="370"/>
      <c r="E7" s="370"/>
      <c r="F7" s="370"/>
      <c r="G7" s="370"/>
    </row>
    <row r="8" spans="1:7" ht="12.75" customHeight="1">
      <c r="A8" s="370" t="s">
        <v>96</v>
      </c>
      <c r="B8" s="370"/>
      <c r="C8" s="370"/>
      <c r="D8" s="370"/>
      <c r="E8" s="370"/>
      <c r="F8" s="370"/>
      <c r="G8" s="370"/>
    </row>
    <row r="9" spans="1:7" ht="12.75" customHeight="1">
      <c r="A9" s="369" t="s">
        <v>147</v>
      </c>
      <c r="B9" s="370"/>
      <c r="C9" s="370"/>
      <c r="D9" s="370"/>
      <c r="E9" s="370"/>
      <c r="F9" s="370"/>
      <c r="G9" s="370"/>
    </row>
    <row r="10" spans="1:7">
      <c r="B10" s="18"/>
      <c r="C10" s="29"/>
      <c r="D10" s="29"/>
      <c r="E10" s="29"/>
    </row>
    <row r="11" spans="1:7">
      <c r="B11" s="13"/>
    </row>
    <row r="12" spans="1:7" s="34" customFormat="1">
      <c r="A12" s="18" t="s">
        <v>8</v>
      </c>
      <c r="B12" s="8" t="s">
        <v>0</v>
      </c>
      <c r="C12" s="8" t="s">
        <v>7</v>
      </c>
      <c r="D12" s="197" t="s">
        <v>98</v>
      </c>
      <c r="E12" s="197" t="s">
        <v>99</v>
      </c>
      <c r="F12" s="197" t="s">
        <v>97</v>
      </c>
      <c r="G12" s="197" t="s">
        <v>99</v>
      </c>
    </row>
    <row r="13" spans="1:7" s="34" customFormat="1">
      <c r="A13" s="4"/>
      <c r="B13" s="8"/>
      <c r="C13" s="8"/>
      <c r="D13" s="195"/>
      <c r="E13" s="195"/>
    </row>
    <row r="14" spans="1:7" s="34" customFormat="1">
      <c r="A14" s="46" t="s">
        <v>9</v>
      </c>
      <c r="B14" s="34" t="s">
        <v>17</v>
      </c>
      <c r="C14" s="36" t="s">
        <v>4</v>
      </c>
      <c r="D14" s="198">
        <f>+'II-H-1.2'!P177</f>
        <v>13761948261.482199</v>
      </c>
      <c r="E14" s="65">
        <f>+D14/$D$38</f>
        <v>0.33608277122523256</v>
      </c>
      <c r="F14" s="33">
        <f>'II-H-1.2'!P14</f>
        <v>12797050643</v>
      </c>
      <c r="G14" s="65">
        <f>F14/$F$38</f>
        <v>0.32994550914680687</v>
      </c>
    </row>
    <row r="15" spans="1:7" s="34" customFormat="1">
      <c r="C15" s="36"/>
      <c r="D15" s="36"/>
      <c r="E15" s="65"/>
      <c r="F15" s="33"/>
      <c r="G15" s="65"/>
    </row>
    <row r="16" spans="1:7" s="34" customFormat="1">
      <c r="A16" s="46">
        <v>2</v>
      </c>
      <c r="B16" s="34" t="s">
        <v>150</v>
      </c>
      <c r="C16" s="36" t="s">
        <v>4</v>
      </c>
      <c r="D16" s="198">
        <f>+'II-H-1.2'!P179</f>
        <v>729937067.26559997</v>
      </c>
      <c r="E16" s="65">
        <f>+D16/$D$38</f>
        <v>1.7825911544316491E-2</v>
      </c>
      <c r="F16" s="33">
        <f>'II-H-1.2'!P16</f>
        <v>678758664</v>
      </c>
      <c r="G16" s="65">
        <f>F16/$F$38</f>
        <v>1.7500389677975459E-2</v>
      </c>
    </row>
    <row r="17" spans="1:7" s="34" customFormat="1">
      <c r="A17" s="46"/>
      <c r="C17" s="36"/>
      <c r="D17" s="36"/>
      <c r="E17" s="65"/>
      <c r="F17" s="33"/>
      <c r="G17" s="65"/>
    </row>
    <row r="18" spans="1:7" s="34" customFormat="1">
      <c r="A18" s="46">
        <v>3</v>
      </c>
      <c r="B18" s="4" t="s">
        <v>81</v>
      </c>
      <c r="C18" s="38" t="s">
        <v>4</v>
      </c>
      <c r="D18" s="199">
        <f>+'II-H-1.2'!P181</f>
        <v>8556269976.3107996</v>
      </c>
      <c r="E18" s="65">
        <f t="shared" ref="E18:E19" si="0">+D18/$D$38</f>
        <v>0.20895405725643071</v>
      </c>
      <c r="F18" s="33">
        <f>'II-H-1.2'!P18</f>
        <v>7956360402</v>
      </c>
      <c r="G18" s="65">
        <f>F18/$F$38</f>
        <v>0.20513831327450058</v>
      </c>
    </row>
    <row r="19" spans="1:7" s="34" customFormat="1">
      <c r="A19" s="46">
        <v>4</v>
      </c>
      <c r="B19" s="4" t="s">
        <v>85</v>
      </c>
      <c r="C19" s="38" t="s">
        <v>4</v>
      </c>
      <c r="D19" s="200">
        <f>+'II-H-1.2'!P182</f>
        <v>1406080124.0753999</v>
      </c>
      <c r="E19" s="66">
        <f t="shared" si="0"/>
        <v>3.4338110831778644E-2</v>
      </c>
      <c r="F19" s="63">
        <f>'II-H-1.2'!P19</f>
        <v>1307495001</v>
      </c>
      <c r="G19" s="66">
        <f>F19/$F$38</f>
        <v>3.3711057012017619E-2</v>
      </c>
    </row>
    <row r="20" spans="1:7" s="34" customFormat="1">
      <c r="A20" s="46">
        <v>5</v>
      </c>
      <c r="B20" s="49" t="s">
        <v>18</v>
      </c>
      <c r="C20" s="36"/>
      <c r="D20" s="198">
        <f>SUM(D18:D19)</f>
        <v>9962350100.3862</v>
      </c>
      <c r="E20" s="202">
        <f>SUM(E18:E19)</f>
        <v>0.24329216808820936</v>
      </c>
      <c r="F20" s="33">
        <f>'II-H-1.2'!P20</f>
        <v>9263855403</v>
      </c>
      <c r="G20" s="65">
        <f>F20/$F$38</f>
        <v>0.2388493702865182</v>
      </c>
    </row>
    <row r="21" spans="1:7" s="34" customFormat="1">
      <c r="B21" s="25"/>
      <c r="C21" s="36"/>
      <c r="D21" s="36"/>
      <c r="E21" s="65"/>
      <c r="F21" s="33"/>
      <c r="G21" s="65"/>
    </row>
    <row r="22" spans="1:7" s="34" customFormat="1">
      <c r="A22" s="46">
        <v>6</v>
      </c>
      <c r="B22" s="4" t="s">
        <v>82</v>
      </c>
      <c r="C22" s="38" t="s">
        <v>5</v>
      </c>
      <c r="D22" s="199">
        <f>+'II-H-1.2'!P185</f>
        <v>275569914.33747</v>
      </c>
      <c r="E22" s="65">
        <f>+D22/$D$38</f>
        <v>6.7297375863598873E-3</v>
      </c>
      <c r="F22" s="33">
        <f>'II-H-1.2'!P22</f>
        <v>263796669</v>
      </c>
      <c r="G22" s="65">
        <f>F22/$F$38</f>
        <v>6.8014520448933949E-3</v>
      </c>
    </row>
    <row r="23" spans="1:7" s="34" customFormat="1">
      <c r="A23" s="46">
        <v>7</v>
      </c>
      <c r="B23" s="4" t="s">
        <v>83</v>
      </c>
      <c r="C23" s="38" t="s">
        <v>5</v>
      </c>
      <c r="D23" s="199">
        <f>+'II-H-1.2'!P186</f>
        <v>3998967095.4180298</v>
      </c>
      <c r="E23" s="95">
        <f t="shared" ref="E23:E25" si="1">+D23/$D$38</f>
        <v>9.7659424227617295E-2</v>
      </c>
      <c r="F23" s="42">
        <f>'II-H-1.2'!P23</f>
        <v>3828118181</v>
      </c>
      <c r="G23" s="95">
        <f>F23/$F$38</f>
        <v>9.8700117514584823E-2</v>
      </c>
    </row>
    <row r="24" spans="1:7" s="34" customFormat="1">
      <c r="A24" s="46">
        <v>8</v>
      </c>
      <c r="B24" s="4" t="s">
        <v>148</v>
      </c>
      <c r="C24" s="38" t="s">
        <v>5</v>
      </c>
      <c r="D24" s="199">
        <f>+'II-H-1.2'!P187</f>
        <v>6143051.1779999994</v>
      </c>
      <c r="E24" s="95">
        <f t="shared" si="1"/>
        <v>1.5002044946347653E-4</v>
      </c>
      <c r="F24" s="42">
        <f>'II-H-1.2'!P24</f>
        <v>5880600</v>
      </c>
      <c r="G24" s="95">
        <f t="shared" ref="G24:G25" si="2">F24/$F$38</f>
        <v>1.516191203126985E-4</v>
      </c>
    </row>
    <row r="25" spans="1:7" s="34" customFormat="1">
      <c r="A25" s="46">
        <v>9</v>
      </c>
      <c r="B25" s="4" t="s">
        <v>149</v>
      </c>
      <c r="C25" s="38" t="s">
        <v>5</v>
      </c>
      <c r="D25" s="199">
        <f>+'II-H-1.2'!P188</f>
        <v>522230781.92939997</v>
      </c>
      <c r="E25" s="95">
        <f t="shared" si="1"/>
        <v>1.2753482651957714E-2</v>
      </c>
      <c r="F25" s="42">
        <f>'II-H-1.2'!P25</f>
        <v>499919380</v>
      </c>
      <c r="G25" s="95">
        <f t="shared" si="2"/>
        <v>1.2889388263590387E-2</v>
      </c>
    </row>
    <row r="26" spans="1:7" s="34" customFormat="1">
      <c r="A26" s="46">
        <v>10</v>
      </c>
      <c r="B26" s="34" t="s">
        <v>19</v>
      </c>
      <c r="C26" s="38"/>
      <c r="D26" s="220">
        <f>SUM(D22:D25)</f>
        <v>4802910842.8628998</v>
      </c>
      <c r="E26" s="221">
        <f>SUM(E22:E23)</f>
        <v>0.10438916181397719</v>
      </c>
      <c r="F26" s="220">
        <f>SUM(F22:F25)</f>
        <v>4597714830</v>
      </c>
      <c r="G26" s="222">
        <f>F26/$F$38</f>
        <v>0.1185425769433813</v>
      </c>
    </row>
    <row r="27" spans="1:7" s="34" customFormat="1">
      <c r="A27" s="46"/>
      <c r="C27" s="38"/>
      <c r="D27" s="38"/>
      <c r="E27" s="65"/>
      <c r="F27" s="33"/>
      <c r="G27" s="65"/>
    </row>
    <row r="28" spans="1:7" s="34" customFormat="1">
      <c r="A28" s="46">
        <v>11</v>
      </c>
      <c r="B28" s="49" t="s">
        <v>86</v>
      </c>
      <c r="C28" s="38" t="s">
        <v>6</v>
      </c>
      <c r="D28" s="199">
        <f>+'II-H-1.2'!P191</f>
        <v>11431842867.770939</v>
      </c>
      <c r="E28" s="65">
        <f>+D28/$D$38</f>
        <v>0.27917888937028079</v>
      </c>
      <c r="F28" s="33">
        <f>'II-H-1.2'!P28</f>
        <v>11207029849</v>
      </c>
      <c r="G28" s="65">
        <f>F28/$F$38</f>
        <v>0.28895010832628204</v>
      </c>
    </row>
    <row r="29" spans="1:7" s="34" customFormat="1">
      <c r="C29" s="36"/>
      <c r="D29" s="36"/>
      <c r="E29" s="65"/>
      <c r="F29" s="33"/>
      <c r="G29" s="65"/>
    </row>
    <row r="30" spans="1:7" s="34" customFormat="1">
      <c r="A30" s="46">
        <v>12</v>
      </c>
      <c r="B30" s="37" t="s">
        <v>21</v>
      </c>
      <c r="C30" s="38" t="s">
        <v>4</v>
      </c>
      <c r="D30" s="199">
        <f>+'II-H-1.2'!P193</f>
        <v>259102936.80979994</v>
      </c>
      <c r="E30" s="65">
        <f>+D30/$D$38</f>
        <v>6.3275948565624908E-3</v>
      </c>
      <c r="F30" s="33">
        <f>'II-H-1.2'!P30</f>
        <v>240936337</v>
      </c>
      <c r="G30" s="65">
        <f>F30/$F$38</f>
        <v>6.2120456190361299E-3</v>
      </c>
    </row>
    <row r="31" spans="1:7" s="34" customFormat="1">
      <c r="A31" s="46"/>
      <c r="C31" s="36"/>
      <c r="D31" s="201"/>
      <c r="E31" s="66"/>
      <c r="F31" s="63"/>
      <c r="G31" s="66"/>
    </row>
    <row r="32" spans="1:7" s="34" customFormat="1">
      <c r="A32" s="46">
        <v>13</v>
      </c>
      <c r="B32" s="61" t="s">
        <v>22</v>
      </c>
      <c r="C32" s="39"/>
      <c r="D32" s="42">
        <f>+D14+D16+D20+D26+D28+D30</f>
        <v>40948092076.577637</v>
      </c>
      <c r="E32" s="202">
        <f>+E14+E16+E20+E26+E28+E30</f>
        <v>0.98709649689857892</v>
      </c>
      <c r="F32" s="42">
        <f>+F14+F16+F20+F26+F28+F30</f>
        <v>38785345726</v>
      </c>
      <c r="G32" s="65">
        <f>F32/$F$38</f>
        <v>1</v>
      </c>
    </row>
    <row r="33" spans="1:7" s="34" customFormat="1">
      <c r="B33" s="39"/>
      <c r="C33" s="39"/>
      <c r="D33" s="39"/>
      <c r="E33" s="39"/>
      <c r="F33" s="33"/>
      <c r="G33" s="65"/>
    </row>
    <row r="34" spans="1:7" s="34" customFormat="1">
      <c r="A34" s="46">
        <v>14</v>
      </c>
      <c r="B34" s="7" t="s">
        <v>69</v>
      </c>
      <c r="C34" s="38" t="s">
        <v>5</v>
      </c>
      <c r="D34" s="38">
        <v>0</v>
      </c>
      <c r="E34" s="38"/>
      <c r="F34" s="33">
        <f>'II-H-1.2'!P34</f>
        <v>0</v>
      </c>
      <c r="G34" s="65">
        <f>F34/$F$38</f>
        <v>0</v>
      </c>
    </row>
    <row r="35" spans="1:7" s="34" customFormat="1">
      <c r="A35" s="46">
        <v>15</v>
      </c>
      <c r="B35" s="7" t="s">
        <v>70</v>
      </c>
      <c r="C35" s="38" t="s">
        <v>6</v>
      </c>
      <c r="D35" s="201">
        <v>0</v>
      </c>
      <c r="E35" s="201"/>
      <c r="F35" s="63">
        <f>'II-H-1.2'!P35</f>
        <v>0</v>
      </c>
      <c r="G35" s="66">
        <f>F35/$F$38</f>
        <v>0</v>
      </c>
    </row>
    <row r="36" spans="1:7" s="34" customFormat="1">
      <c r="A36" s="46">
        <v>16</v>
      </c>
      <c r="B36" s="61" t="s">
        <v>23</v>
      </c>
      <c r="C36" s="18"/>
      <c r="D36" s="196">
        <f>SUM(D34:D35)</f>
        <v>0</v>
      </c>
      <c r="E36" s="196"/>
      <c r="F36" s="42">
        <f>'II-H-1.2'!P36</f>
        <v>0</v>
      </c>
      <c r="G36" s="95">
        <f>F36/$F$38</f>
        <v>0</v>
      </c>
    </row>
    <row r="37" spans="1:7" s="34" customFormat="1">
      <c r="A37" s="46"/>
      <c r="C37" s="43"/>
      <c r="D37" s="43"/>
      <c r="E37" s="43"/>
      <c r="F37" s="33"/>
      <c r="G37" s="65"/>
    </row>
    <row r="38" spans="1:7" s="34" customFormat="1" ht="12" thickBot="1">
      <c r="A38" s="46">
        <v>17</v>
      </c>
      <c r="B38" s="14" t="s">
        <v>92</v>
      </c>
      <c r="C38" s="18"/>
      <c r="D38" s="64">
        <f>+D32+D36</f>
        <v>40948092076.577637</v>
      </c>
      <c r="E38" s="67">
        <f>+E32+E36</f>
        <v>0.98709649689857892</v>
      </c>
      <c r="F38" s="64">
        <f>+F32+F36</f>
        <v>38785345726</v>
      </c>
      <c r="G38" s="67">
        <f>+G32+G36</f>
        <v>1</v>
      </c>
    </row>
    <row r="39" spans="1:7" ht="12" thickTop="1"/>
  </sheetData>
  <mergeCells count="3">
    <mergeCell ref="A7:G7"/>
    <mergeCell ref="A8:G8"/>
    <mergeCell ref="A9:G9"/>
  </mergeCells>
  <phoneticPr fontId="4" type="noConversion"/>
  <pageMargins left="0.7" right="0.7" top="1.07" bottom="0.75" header="0.3" footer="0.3"/>
  <pageSetup orientation="landscape" r:id="rId1"/>
  <headerFooter>
    <oddHeader>&amp;RDocket No 56165
Schedule &amp;A
Page &amp;P of &amp;N</oddHeader>
    <oddFooter>&amp;LSponsored by: Earlyne Reynolds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29"/>
  <sheetViews>
    <sheetView zoomScale="120" zoomScaleNormal="120" workbookViewId="0">
      <selection activeCell="U32" sqref="U32"/>
    </sheetView>
  </sheetViews>
  <sheetFormatPr defaultColWidth="9.140625" defaultRowHeight="11.25"/>
  <cols>
    <col min="1" max="1" width="4.7109375" style="207" bestFit="1" customWidth="1"/>
    <col min="2" max="2" width="104" style="207" customWidth="1"/>
    <col min="3" max="16384" width="9.140625" style="207"/>
  </cols>
  <sheetData>
    <row r="1" spans="1:2" ht="12" thickBot="1"/>
    <row r="2" spans="1:2">
      <c r="B2" s="203" t="s">
        <v>100</v>
      </c>
    </row>
    <row r="3" spans="1:2">
      <c r="B3" s="204" t="s">
        <v>101</v>
      </c>
    </row>
    <row r="4" spans="1:2">
      <c r="B4" s="205" t="s">
        <v>102</v>
      </c>
    </row>
    <row r="5" spans="1:2">
      <c r="B5" s="205" t="str">
        <f>'II-H-1'!B5</f>
        <v>TEST YEAR ENDING 9/30/2023</v>
      </c>
    </row>
    <row r="6" spans="1:2" ht="12" thickBot="1">
      <c r="B6" s="206" t="str">
        <f>+'II-H-1'!B6</f>
        <v>DOCKET 56165</v>
      </c>
    </row>
    <row r="9" spans="1:2">
      <c r="A9" s="208" t="s">
        <v>32</v>
      </c>
      <c r="B9" s="208" t="s">
        <v>104</v>
      </c>
    </row>
    <row r="10" spans="1:2">
      <c r="A10" s="209">
        <v>1</v>
      </c>
      <c r="B10" s="207" t="s">
        <v>105</v>
      </c>
    </row>
    <row r="11" spans="1:2">
      <c r="A11" s="209"/>
      <c r="B11" s="207" t="s">
        <v>106</v>
      </c>
    </row>
    <row r="12" spans="1:2">
      <c r="A12" s="209"/>
    </row>
    <row r="13" spans="1:2">
      <c r="A13" s="209">
        <v>2</v>
      </c>
      <c r="B13" s="207" t="s">
        <v>107</v>
      </c>
    </row>
    <row r="14" spans="1:2">
      <c r="A14" s="209"/>
      <c r="B14" s="207" t="s">
        <v>108</v>
      </c>
    </row>
    <row r="15" spans="1:2">
      <c r="A15" s="209"/>
    </row>
    <row r="16" spans="1:2">
      <c r="A16" s="209">
        <v>3</v>
      </c>
      <c r="B16" s="207" t="s">
        <v>137</v>
      </c>
    </row>
    <row r="17" spans="1:2">
      <c r="A17" s="209"/>
      <c r="B17" s="207" t="s">
        <v>108</v>
      </c>
    </row>
    <row r="18" spans="1:2">
      <c r="A18" s="209"/>
    </row>
    <row r="19" spans="1:2">
      <c r="A19" s="209">
        <v>4</v>
      </c>
      <c r="B19" s="207" t="s">
        <v>138</v>
      </c>
    </row>
    <row r="20" spans="1:2">
      <c r="A20" s="209"/>
      <c r="B20" s="207" t="s">
        <v>108</v>
      </c>
    </row>
    <row r="21" spans="1:2">
      <c r="A21" s="209"/>
    </row>
    <row r="22" spans="1:2">
      <c r="A22" s="209">
        <v>5</v>
      </c>
      <c r="B22" s="207" t="s">
        <v>495</v>
      </c>
    </row>
    <row r="23" spans="1:2">
      <c r="A23" s="209"/>
      <c r="B23" s="207" t="s">
        <v>109</v>
      </c>
    </row>
    <row r="24" spans="1:2">
      <c r="A24" s="209"/>
    </row>
    <row r="25" spans="1:2">
      <c r="A25" s="209">
        <v>6</v>
      </c>
      <c r="B25" s="207" t="s">
        <v>110</v>
      </c>
    </row>
    <row r="26" spans="1:2">
      <c r="A26" s="209"/>
    </row>
    <row r="27" spans="1:2">
      <c r="A27" s="209">
        <v>7</v>
      </c>
      <c r="B27" s="207" t="s">
        <v>111</v>
      </c>
    </row>
    <row r="29" spans="1:2">
      <c r="B29" s="356"/>
    </row>
  </sheetData>
  <pageMargins left="0.7" right="0.7" top="1.07" bottom="0.75" header="0.3" footer="0.3"/>
  <pageSetup scale="85" fitToHeight="0" orientation="portrait" r:id="rId1"/>
  <headerFooter>
    <oddHeader>&amp;RDocket No 56165
Schedule &amp;A
Page &amp;P of &amp;N</oddHeader>
    <oddFooter xml:space="preserve">&amp;LSponsored by: Tiffany Day
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N181"/>
  <sheetViews>
    <sheetView tabSelected="1" zoomScale="110" zoomScaleNormal="110" workbookViewId="0">
      <pane xSplit="3" ySplit="12" topLeftCell="D13" activePane="bottomRight" state="frozen"/>
      <selection activeCell="U32" sqref="U32"/>
      <selection pane="topRight" activeCell="U32" sqref="U32"/>
      <selection pane="bottomLeft" activeCell="U32" sqref="U32"/>
      <selection pane="bottomRight"/>
    </sheetView>
  </sheetViews>
  <sheetFormatPr defaultColWidth="7.5703125" defaultRowHeight="12.75"/>
  <cols>
    <col min="1" max="1" width="7" style="373" bestFit="1" customWidth="1"/>
    <col min="2" max="2" width="37.85546875" style="4" customWidth="1"/>
    <col min="3" max="3" width="7.42578125" style="4" bestFit="1" customWidth="1"/>
    <col min="4" max="4" width="11.42578125" style="45" bestFit="1" customWidth="1"/>
    <col min="5" max="5" width="11.28515625" style="45" customWidth="1"/>
    <col min="6" max="6" width="11" style="45" customWidth="1"/>
    <col min="7" max="7" width="9.85546875" style="45" customWidth="1"/>
    <col min="8" max="8" width="10.5703125" style="45" customWidth="1"/>
    <col min="9" max="10" width="10.7109375" style="45" customWidth="1"/>
    <col min="11" max="11" width="10.140625" style="45" customWidth="1"/>
    <col min="12" max="12" width="10.28515625" style="45" customWidth="1"/>
    <col min="13" max="15" width="9.85546875" style="45" customWidth="1"/>
    <col min="16" max="16" width="12.5703125" style="45" customWidth="1"/>
    <col min="17" max="17" width="11" style="374" bestFit="1" customWidth="1"/>
    <col min="18" max="18" width="11" style="373" bestFit="1" customWidth="1"/>
    <col min="19" max="19" width="8.140625" style="373" bestFit="1" customWidth="1"/>
    <col min="20" max="20" width="8.7109375" style="373" bestFit="1" customWidth="1"/>
    <col min="21" max="21" width="9.85546875" style="373" bestFit="1" customWidth="1"/>
    <col min="22" max="22" width="8.140625" style="373" bestFit="1" customWidth="1"/>
    <col min="23" max="24" width="7.5703125" style="373"/>
    <col min="25" max="25" width="8.7109375" style="373" bestFit="1" customWidth="1"/>
    <col min="26" max="16384" width="7.5703125" style="373"/>
  </cols>
  <sheetData>
    <row r="1" spans="1:144" ht="13.5" thickBot="1"/>
    <row r="2" spans="1:144">
      <c r="B2" s="203" t="s">
        <v>100</v>
      </c>
    </row>
    <row r="3" spans="1:144">
      <c r="B3" s="204" t="s">
        <v>101</v>
      </c>
      <c r="P3" s="375"/>
    </row>
    <row r="4" spans="1:144">
      <c r="B4" s="205" t="s">
        <v>139</v>
      </c>
    </row>
    <row r="5" spans="1:144">
      <c r="B5" s="205" t="str">
        <f>'II-H-1'!B5</f>
        <v>TEST YEAR ENDING 9/30/2023</v>
      </c>
    </row>
    <row r="6" spans="1:144" ht="13.5" thickBot="1">
      <c r="B6" s="206" t="str">
        <f>+'II-H-1'!B6</f>
        <v>DOCKET 56165</v>
      </c>
      <c r="Q6" s="376"/>
    </row>
    <row r="7" spans="1:144" s="1" customFormat="1">
      <c r="B7" s="369" t="str">
        <f>'II-H-1.2'!B7:O7</f>
        <v>AEP TEXAS</v>
      </c>
      <c r="C7" s="369"/>
      <c r="D7" s="369"/>
      <c r="E7" s="369"/>
      <c r="F7" s="369"/>
      <c r="G7" s="369"/>
      <c r="H7" s="369"/>
      <c r="I7" s="369"/>
      <c r="J7" s="369"/>
      <c r="K7" s="369"/>
      <c r="L7" s="369"/>
      <c r="M7" s="369"/>
      <c r="N7" s="369"/>
      <c r="O7" s="369"/>
      <c r="P7" s="369"/>
      <c r="Q7" s="369"/>
    </row>
    <row r="8" spans="1:144">
      <c r="B8" s="369" t="s">
        <v>3</v>
      </c>
      <c r="C8" s="369"/>
      <c r="D8" s="369"/>
      <c r="E8" s="369"/>
      <c r="F8" s="369"/>
      <c r="G8" s="369"/>
      <c r="H8" s="369"/>
      <c r="I8" s="369"/>
      <c r="J8" s="369"/>
      <c r="K8" s="369"/>
      <c r="L8" s="369"/>
      <c r="M8" s="369"/>
      <c r="N8" s="369"/>
      <c r="O8" s="369"/>
      <c r="P8" s="369"/>
      <c r="Q8" s="369"/>
    </row>
    <row r="9" spans="1:144" ht="12.75" customHeight="1">
      <c r="B9" s="369" t="str">
        <f>'II-H-1.1'!D10</f>
        <v>FOR TEST YEAR ENDED SEPTEMBER 30, 2023</v>
      </c>
      <c r="C9" s="369"/>
      <c r="D9" s="369"/>
      <c r="E9" s="369"/>
      <c r="F9" s="369"/>
      <c r="G9" s="369"/>
      <c r="H9" s="369"/>
      <c r="I9" s="369"/>
      <c r="J9" s="369"/>
      <c r="K9" s="369"/>
      <c r="L9" s="369"/>
      <c r="M9" s="369"/>
      <c r="N9" s="369"/>
      <c r="O9" s="369"/>
      <c r="P9" s="369"/>
      <c r="Q9" s="369"/>
    </row>
    <row r="10" spans="1:144" ht="12.75" customHeight="1">
      <c r="B10" s="373"/>
      <c r="C10" s="373"/>
      <c r="D10" s="373"/>
      <c r="E10" s="373"/>
      <c r="F10" s="373"/>
      <c r="G10" s="373"/>
      <c r="H10" s="373"/>
      <c r="I10" s="373"/>
      <c r="J10" s="373"/>
      <c r="K10" s="373"/>
      <c r="L10" s="373"/>
      <c r="M10" s="373"/>
      <c r="N10" s="373"/>
      <c r="O10" s="373"/>
      <c r="P10" s="373"/>
      <c r="Q10" s="373"/>
    </row>
    <row r="11" spans="1:144">
      <c r="B11" s="373"/>
      <c r="C11" s="373"/>
      <c r="D11" s="373"/>
      <c r="E11" s="373"/>
      <c r="F11" s="373"/>
      <c r="G11" s="373"/>
      <c r="H11" s="373"/>
      <c r="I11" s="373"/>
      <c r="J11" s="373"/>
      <c r="K11" s="373"/>
      <c r="L11" s="373"/>
      <c r="M11" s="373"/>
      <c r="N11" s="373"/>
      <c r="O11" s="373"/>
      <c r="P11" s="373"/>
      <c r="Q11" s="373"/>
    </row>
    <row r="12" spans="1:144" s="381" customFormat="1">
      <c r="A12" s="359" t="s">
        <v>8</v>
      </c>
      <c r="B12" s="359" t="s">
        <v>0</v>
      </c>
      <c r="C12" s="359" t="s">
        <v>7</v>
      </c>
      <c r="D12" s="377" t="str">
        <f>'II-H-1.2'!D12</f>
        <v>Oct-22</v>
      </c>
      <c r="E12" s="377" t="str">
        <f>'II-H-1.2'!E12</f>
        <v>Nov-22</v>
      </c>
      <c r="F12" s="377" t="str">
        <f>'II-H-1.2'!F12</f>
        <v>Dec-22</v>
      </c>
      <c r="G12" s="377" t="str">
        <f>'II-H-1.2'!G12</f>
        <v>Jan-23</v>
      </c>
      <c r="H12" s="377" t="str">
        <f>'II-H-1.2'!H12</f>
        <v>Feb-23</v>
      </c>
      <c r="I12" s="377" t="str">
        <f>'II-H-1.2'!I12</f>
        <v>Mar-23</v>
      </c>
      <c r="J12" s="377" t="str">
        <f>'II-H-1.2'!J12</f>
        <v>Apr-23</v>
      </c>
      <c r="K12" s="377" t="str">
        <f>'II-H-1.2'!K12</f>
        <v>May-23</v>
      </c>
      <c r="L12" s="377" t="str">
        <f>'II-H-1.2'!L12</f>
        <v>Jun-23</v>
      </c>
      <c r="M12" s="377" t="str">
        <f>'II-H-1.2'!M12</f>
        <v>Jul-23</v>
      </c>
      <c r="N12" s="377" t="str">
        <f>'II-H-1.2'!N12</f>
        <v>Aug-23</v>
      </c>
      <c r="O12" s="377" t="str">
        <f>'II-H-1.2'!O12</f>
        <v>Sep-23</v>
      </c>
      <c r="P12" s="377" t="s">
        <v>2</v>
      </c>
      <c r="Q12" s="378" t="s">
        <v>16</v>
      </c>
      <c r="R12" s="379"/>
      <c r="S12" s="379"/>
      <c r="T12" s="379"/>
      <c r="U12" s="380"/>
      <c r="V12" s="380"/>
      <c r="W12" s="380"/>
      <c r="X12" s="380"/>
      <c r="Y12" s="380"/>
      <c r="Z12" s="380"/>
      <c r="AA12" s="379"/>
      <c r="AB12" s="379"/>
      <c r="AC12" s="379"/>
      <c r="AD12" s="379"/>
      <c r="AE12" s="379"/>
      <c r="AF12" s="379"/>
      <c r="AG12" s="379"/>
      <c r="AH12" s="379"/>
      <c r="AI12" s="379"/>
      <c r="AJ12" s="379"/>
    </row>
    <row r="13" spans="1:144" s="381" customFormat="1">
      <c r="B13" s="359"/>
      <c r="C13" s="359"/>
      <c r="D13" s="377"/>
      <c r="E13" s="377"/>
      <c r="F13" s="377"/>
      <c r="G13" s="377"/>
      <c r="H13" s="377"/>
      <c r="I13" s="377"/>
      <c r="J13" s="377"/>
      <c r="K13" s="377"/>
      <c r="L13" s="377"/>
      <c r="M13" s="377"/>
      <c r="N13" s="377"/>
      <c r="O13" s="377"/>
      <c r="P13" s="377"/>
      <c r="Q13" s="378"/>
      <c r="R13" s="382" t="s">
        <v>73</v>
      </c>
      <c r="S13" s="383" t="s">
        <v>74</v>
      </c>
      <c r="T13" s="383" t="s">
        <v>309</v>
      </c>
      <c r="U13" s="384"/>
      <c r="V13" s="385"/>
      <c r="W13" s="384"/>
      <c r="X13" s="385"/>
      <c r="Y13" s="385"/>
      <c r="Z13" s="380"/>
      <c r="AA13" s="379"/>
      <c r="AB13" s="379"/>
      <c r="AC13" s="379"/>
      <c r="AD13" s="379"/>
      <c r="AE13" s="379"/>
      <c r="AF13" s="379"/>
      <c r="AG13" s="379"/>
      <c r="AH13" s="379"/>
      <c r="AI13" s="379"/>
      <c r="AJ13" s="379"/>
    </row>
    <row r="14" spans="1:144" s="4" customFormat="1" ht="11.25">
      <c r="A14" s="386" t="s">
        <v>9</v>
      </c>
      <c r="B14" s="87" t="s">
        <v>17</v>
      </c>
      <c r="C14" s="99" t="s">
        <v>4</v>
      </c>
      <c r="D14" s="177" cm="1">
        <f t="array" ref="D14">SUMPRODUCT((H_Rate_Class=$B14)*[5]Customer!D$9:D$118)</f>
        <v>917398</v>
      </c>
      <c r="E14" s="177" cm="1">
        <f t="array" ref="E14">SUMPRODUCT((H_Rate_Class=$B14)*[5]Customer!E$9:E$118)</f>
        <v>918668</v>
      </c>
      <c r="F14" s="177" cm="1">
        <f t="array" ref="F14">SUMPRODUCT((H_Rate_Class=$B14)*[5]Customer!F$9:F$118)</f>
        <v>919604</v>
      </c>
      <c r="G14" s="177" cm="1">
        <f t="array" ref="G14">SUMPRODUCT((H_Rate_Class=$B14)*[5]Customer!G$9:G$118)</f>
        <v>920684</v>
      </c>
      <c r="H14" s="177" cm="1">
        <f t="array" ref="H14">SUMPRODUCT((H_Rate_Class=$B14)*[5]Customer!H$9:H$118)</f>
        <v>921997</v>
      </c>
      <c r="I14" s="177" cm="1">
        <f t="array" ref="I14">SUMPRODUCT((H_Rate_Class=$B14)*[5]Customer!I$9:I$118)</f>
        <v>923215</v>
      </c>
      <c r="J14" s="177" cm="1">
        <f t="array" ref="J14">SUMPRODUCT((H_Rate_Class=$B14)*[5]Customer!J$9:J$118)</f>
        <v>925269</v>
      </c>
      <c r="K14" s="177" cm="1">
        <f t="array" ref="K14">SUMPRODUCT((H_Rate_Class=$B14)*[5]Customer!K$9:K$118)</f>
        <v>929499</v>
      </c>
      <c r="L14" s="177" cm="1">
        <f t="array" ref="L14">SUMPRODUCT((H_Rate_Class=$B14)*[5]Customer!L$9:L$118)</f>
        <v>931984</v>
      </c>
      <c r="M14" s="177" cm="1">
        <f t="array" ref="M14">SUMPRODUCT((H_Rate_Class=$B14)*[5]Customer!M$9:M$118)</f>
        <v>934922</v>
      </c>
      <c r="N14" s="177" cm="1">
        <f t="array" ref="N14">SUMPRODUCT((H_Rate_Class=$B14)*[5]Customer!N$9:N$118)</f>
        <v>935893</v>
      </c>
      <c r="O14" s="177" cm="1">
        <f t="array" ref="O14">SUMPRODUCT((H_Rate_Class=$B14)*[5]Customer!O$9:O$118)</f>
        <v>935238</v>
      </c>
      <c r="P14" s="312">
        <f>SUM(D14:O14)</f>
        <v>11114371</v>
      </c>
      <c r="Q14" s="312">
        <f>P14/12</f>
        <v>926197.58333333337</v>
      </c>
      <c r="R14" s="309">
        <f>+'II-H-4.1 Functions'!D15/'II-H-3.1-3'!P14</f>
        <v>1.3996686163476835</v>
      </c>
      <c r="S14" s="310">
        <f>+'II-H-4.1 Functions'!E15/'II-H-3.1-3'!P14</f>
        <v>3.3891975781561765</v>
      </c>
      <c r="T14" s="311">
        <v>2.1791000000000001E-2</v>
      </c>
      <c r="U14" s="309"/>
      <c r="V14" s="310"/>
      <c r="W14" s="309"/>
      <c r="X14" s="136"/>
      <c r="Y14" s="311"/>
      <c r="Z14" s="89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</row>
    <row r="15" spans="1:144" s="4" customFormat="1" ht="11.25">
      <c r="B15" s="87"/>
      <c r="C15" s="99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312"/>
      <c r="Q15" s="312"/>
      <c r="R15" s="309"/>
      <c r="S15" s="310"/>
      <c r="T15" s="312"/>
      <c r="U15" s="309"/>
      <c r="V15" s="310"/>
      <c r="W15" s="89"/>
      <c r="X15" s="89"/>
      <c r="Y15" s="312"/>
      <c r="Z15" s="89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</row>
    <row r="16" spans="1:144" s="4" customFormat="1" ht="11.25">
      <c r="A16" s="386">
        <v>2</v>
      </c>
      <c r="B16" s="87" t="s">
        <v>20</v>
      </c>
      <c r="C16" s="99" t="s">
        <v>4</v>
      </c>
      <c r="D16" s="177" cm="1">
        <f t="array" ref="D16">SUMPRODUCT((H_Rate_Class=$B16)*[5]Customer!D$9:D$118)</f>
        <v>99093</v>
      </c>
      <c r="E16" s="177" cm="1">
        <f t="array" ref="E16">SUMPRODUCT((H_Rate_Class=$B16)*[5]Customer!E$9:E$118)</f>
        <v>99298</v>
      </c>
      <c r="F16" s="177" cm="1">
        <f t="array" ref="F16">SUMPRODUCT((H_Rate_Class=$B16)*[5]Customer!F$9:F$118)</f>
        <v>99126</v>
      </c>
      <c r="G16" s="177" cm="1">
        <f t="array" ref="G16">SUMPRODUCT((H_Rate_Class=$B16)*[5]Customer!G$9:G$118)</f>
        <v>98051</v>
      </c>
      <c r="H16" s="177" cm="1">
        <f t="array" ref="H16">SUMPRODUCT((H_Rate_Class=$B16)*[5]Customer!H$9:H$118)</f>
        <v>97626</v>
      </c>
      <c r="I16" s="177" cm="1">
        <f t="array" ref="I16">SUMPRODUCT((H_Rate_Class=$B16)*[5]Customer!I$9:I$118)</f>
        <v>97730</v>
      </c>
      <c r="J16" s="177" cm="1">
        <f t="array" ref="J16">SUMPRODUCT((H_Rate_Class=$B16)*[5]Customer!J$9:J$118)</f>
        <v>98315</v>
      </c>
      <c r="K16" s="177" cm="1">
        <f t="array" ref="K16">SUMPRODUCT((H_Rate_Class=$B16)*[5]Customer!K$9:K$118)</f>
        <v>99018</v>
      </c>
      <c r="L16" s="177" cm="1">
        <f t="array" ref="L16">SUMPRODUCT((H_Rate_Class=$B16)*[5]Customer!L$9:L$118)</f>
        <v>99216</v>
      </c>
      <c r="M16" s="177" cm="1">
        <f t="array" ref="M16">SUMPRODUCT((H_Rate_Class=$B16)*[5]Customer!M$9:M$118)</f>
        <v>99255</v>
      </c>
      <c r="N16" s="177" cm="1">
        <f t="array" ref="N16">SUMPRODUCT((H_Rate_Class=$B16)*[5]Customer!N$9:N$118)</f>
        <v>99460</v>
      </c>
      <c r="O16" s="177" cm="1">
        <f t="array" ref="O16">SUMPRODUCT((H_Rate_Class=$B16)*[5]Customer!O$9:O$118)</f>
        <v>99366</v>
      </c>
      <c r="P16" s="312">
        <f t="shared" ref="P16:P19" si="0">SUM(D16:O16)</f>
        <v>1185554</v>
      </c>
      <c r="Q16" s="312">
        <f t="shared" ref="Q16:Q32" si="1">P16/12</f>
        <v>98796.166666666672</v>
      </c>
      <c r="R16" s="309">
        <v>1.4</v>
      </c>
      <c r="S16" s="310">
        <v>4.3899999999999997</v>
      </c>
      <c r="T16" s="311">
        <v>2.1093000000000001E-2</v>
      </c>
      <c r="U16" s="309"/>
      <c r="V16" s="310"/>
      <c r="W16" s="309"/>
      <c r="X16" s="309"/>
      <c r="Y16" s="311"/>
      <c r="Z16" s="89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</row>
    <row r="17" spans="1:144" s="4" customFormat="1" ht="11.25">
      <c r="A17" s="386"/>
      <c r="B17" s="87"/>
      <c r="C17" s="99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312"/>
      <c r="Q17" s="312"/>
      <c r="R17" s="309"/>
      <c r="S17" s="310"/>
      <c r="T17" s="312"/>
      <c r="U17" s="309"/>
      <c r="V17" s="310"/>
      <c r="W17" s="89"/>
      <c r="X17" s="312"/>
      <c r="Y17" s="312"/>
      <c r="Z17" s="89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</row>
    <row r="18" spans="1:144" s="4" customFormat="1" ht="11.25">
      <c r="A18" s="386">
        <v>3</v>
      </c>
      <c r="B18" s="87" t="s">
        <v>81</v>
      </c>
      <c r="C18" s="157" t="s">
        <v>4</v>
      </c>
      <c r="D18" s="177" cm="1">
        <f t="array" ref="D18">SUMPRODUCT((H_Rate_Class=$B18)*[5]Customer!D$9:D$118)</f>
        <v>70606</v>
      </c>
      <c r="E18" s="177" cm="1">
        <f t="array" ref="E18">SUMPRODUCT((H_Rate_Class=$B18)*[5]Customer!E$9:E$118)</f>
        <v>70437</v>
      </c>
      <c r="F18" s="177" cm="1">
        <f t="array" ref="F18">SUMPRODUCT((H_Rate_Class=$B18)*[5]Customer!F$9:F$118)</f>
        <v>70560</v>
      </c>
      <c r="G18" s="177" cm="1">
        <f t="array" ref="G18">SUMPRODUCT((H_Rate_Class=$B18)*[5]Customer!G$9:G$118)</f>
        <v>71618</v>
      </c>
      <c r="H18" s="177" cm="1">
        <f t="array" ref="H18">SUMPRODUCT((H_Rate_Class=$B18)*[5]Customer!H$9:H$118)</f>
        <v>72104</v>
      </c>
      <c r="I18" s="177" cm="1">
        <f t="array" ref="I18">SUMPRODUCT((H_Rate_Class=$B18)*[5]Customer!I$9:I$118)</f>
        <v>72136</v>
      </c>
      <c r="J18" s="177" cm="1">
        <f t="array" ref="J18">SUMPRODUCT((H_Rate_Class=$B18)*[5]Customer!J$9:J$118)</f>
        <v>71584</v>
      </c>
      <c r="K18" s="177" cm="1">
        <f t="array" ref="K18">SUMPRODUCT((H_Rate_Class=$B18)*[5]Customer!K$9:K$118)</f>
        <v>71627</v>
      </c>
      <c r="L18" s="177" cm="1">
        <f t="array" ref="L18">SUMPRODUCT((H_Rate_Class=$B18)*[5]Customer!L$9:L$118)</f>
        <v>71714</v>
      </c>
      <c r="M18" s="177" cm="1">
        <f t="array" ref="M18">SUMPRODUCT((H_Rate_Class=$B18)*[5]Customer!M$9:M$118)</f>
        <v>71776</v>
      </c>
      <c r="N18" s="177" cm="1">
        <f t="array" ref="N18">SUMPRODUCT((H_Rate_Class=$B18)*[5]Customer!N$9:N$118)</f>
        <v>71962</v>
      </c>
      <c r="O18" s="177" cm="1">
        <f t="array" ref="O18">SUMPRODUCT((H_Rate_Class=$B18)*[5]Customer!O$9:O$118)</f>
        <v>71833</v>
      </c>
      <c r="P18" s="312">
        <f t="shared" si="0"/>
        <v>857957</v>
      </c>
      <c r="Q18" s="312">
        <f t="shared" si="1"/>
        <v>71496.416666666672</v>
      </c>
      <c r="R18" s="309">
        <f>+'II-H-4.1 Functions'!D19/'II-H-3.1-3'!P18</f>
        <v>2.0102705481889638</v>
      </c>
      <c r="S18" s="310">
        <v>12.67</v>
      </c>
      <c r="T18" s="387">
        <v>4.8689999999999998</v>
      </c>
      <c r="U18" s="309"/>
      <c r="V18" s="310"/>
      <c r="W18" s="309"/>
      <c r="X18" s="309"/>
      <c r="Y18" s="387"/>
      <c r="Z18" s="89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</row>
    <row r="19" spans="1:144" s="4" customFormat="1" ht="11.25">
      <c r="A19" s="386">
        <v>4</v>
      </c>
      <c r="B19" s="87" t="s">
        <v>85</v>
      </c>
      <c r="C19" s="157" t="s">
        <v>4</v>
      </c>
      <c r="D19" s="388" cm="1">
        <f t="array" ref="D19">SUMPRODUCT((H_Rate_Class=$B19)*[5]Customer!D$9:D$118)</f>
        <v>556</v>
      </c>
      <c r="E19" s="388" cm="1">
        <f t="array" ref="E19">SUMPRODUCT((H_Rate_Class=$B19)*[5]Customer!E$9:E$118)</f>
        <v>564</v>
      </c>
      <c r="F19" s="388" cm="1">
        <f t="array" ref="F19">SUMPRODUCT((H_Rate_Class=$B19)*[5]Customer!F$9:F$118)</f>
        <v>565</v>
      </c>
      <c r="G19" s="388" cm="1">
        <f t="array" ref="G19">SUMPRODUCT((H_Rate_Class=$B19)*[5]Customer!G$9:G$118)</f>
        <v>564</v>
      </c>
      <c r="H19" s="388" cm="1">
        <f t="array" ref="H19">SUMPRODUCT((H_Rate_Class=$B19)*[5]Customer!H$9:H$118)</f>
        <v>568</v>
      </c>
      <c r="I19" s="388" cm="1">
        <f t="array" ref="I19">SUMPRODUCT((H_Rate_Class=$B19)*[5]Customer!I$9:I$118)</f>
        <v>571</v>
      </c>
      <c r="J19" s="388" cm="1">
        <f t="array" ref="J19">SUMPRODUCT((H_Rate_Class=$B19)*[5]Customer!J$9:J$118)</f>
        <v>571</v>
      </c>
      <c r="K19" s="388" cm="1">
        <f t="array" ref="K19">SUMPRODUCT((H_Rate_Class=$B19)*[5]Customer!K$9:K$118)</f>
        <v>574</v>
      </c>
      <c r="L19" s="388" cm="1">
        <f t="array" ref="L19">SUMPRODUCT((H_Rate_Class=$B19)*[5]Customer!L$9:L$118)</f>
        <v>580</v>
      </c>
      <c r="M19" s="388" cm="1">
        <f t="array" ref="M19">SUMPRODUCT((H_Rate_Class=$B19)*[5]Customer!M$9:M$118)</f>
        <v>577</v>
      </c>
      <c r="N19" s="388" cm="1">
        <f t="array" ref="N19">SUMPRODUCT((H_Rate_Class=$B19)*[5]Customer!N$9:N$118)</f>
        <v>582</v>
      </c>
      <c r="O19" s="388" cm="1">
        <f t="array" ref="O19">SUMPRODUCT((H_Rate_Class=$B19)*[5]Customer!O$9:O$118)</f>
        <v>576</v>
      </c>
      <c r="P19" s="389">
        <f t="shared" si="0"/>
        <v>6848</v>
      </c>
      <c r="Q19" s="389">
        <f t="shared" si="1"/>
        <v>570.66666666666663</v>
      </c>
      <c r="R19" s="309">
        <v>2.02</v>
      </c>
      <c r="S19" s="310">
        <v>12.67</v>
      </c>
      <c r="T19" s="387">
        <v>4.8689999999999998</v>
      </c>
      <c r="U19" s="309"/>
      <c r="V19" s="310"/>
      <c r="W19" s="309"/>
      <c r="X19" s="309"/>
      <c r="Y19" s="387"/>
      <c r="Z19" s="89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</row>
    <row r="20" spans="1:144" s="4" customFormat="1" ht="11.25">
      <c r="A20" s="386">
        <v>5</v>
      </c>
      <c r="B20" s="131" t="s">
        <v>18</v>
      </c>
      <c r="C20" s="99"/>
      <c r="D20" s="177">
        <f>SUM(D18:D19)</f>
        <v>71162</v>
      </c>
      <c r="E20" s="177">
        <f t="shared" ref="E20:O20" si="2">SUM(E18:E19)</f>
        <v>71001</v>
      </c>
      <c r="F20" s="177">
        <f t="shared" si="2"/>
        <v>71125</v>
      </c>
      <c r="G20" s="177">
        <f t="shared" si="2"/>
        <v>72182</v>
      </c>
      <c r="H20" s="177">
        <f t="shared" si="2"/>
        <v>72672</v>
      </c>
      <c r="I20" s="177">
        <f t="shared" si="2"/>
        <v>72707</v>
      </c>
      <c r="J20" s="177">
        <f t="shared" si="2"/>
        <v>72155</v>
      </c>
      <c r="K20" s="177">
        <f t="shared" si="2"/>
        <v>72201</v>
      </c>
      <c r="L20" s="177">
        <f t="shared" si="2"/>
        <v>72294</v>
      </c>
      <c r="M20" s="177">
        <f t="shared" si="2"/>
        <v>72353</v>
      </c>
      <c r="N20" s="177">
        <f t="shared" si="2"/>
        <v>72544</v>
      </c>
      <c r="O20" s="177">
        <f t="shared" si="2"/>
        <v>72409</v>
      </c>
      <c r="P20" s="312">
        <f>SUM(D20:O20)</f>
        <v>864805</v>
      </c>
      <c r="Q20" s="312">
        <f t="shared" si="1"/>
        <v>72067.083333333328</v>
      </c>
      <c r="R20" s="309"/>
      <c r="S20" s="310"/>
      <c r="T20" s="312"/>
      <c r="U20" s="309"/>
      <c r="V20" s="310"/>
      <c r="W20" s="309"/>
      <c r="X20" s="309"/>
      <c r="Y20" s="312"/>
      <c r="Z20" s="89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</row>
    <row r="21" spans="1:144" s="4" customFormat="1" ht="11.25">
      <c r="B21" s="147"/>
      <c r="C21" s="99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312"/>
      <c r="Q21" s="312"/>
      <c r="R21" s="309"/>
      <c r="S21" s="310"/>
      <c r="T21" s="387"/>
      <c r="U21" s="309"/>
      <c r="V21" s="310"/>
      <c r="W21" s="309"/>
      <c r="X21" s="309"/>
      <c r="Y21" s="387"/>
      <c r="Z21" s="89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</row>
    <row r="22" spans="1:144" s="4" customFormat="1" ht="11.25">
      <c r="A22" s="386">
        <v>6</v>
      </c>
      <c r="B22" s="87" t="s">
        <v>82</v>
      </c>
      <c r="C22" s="157" t="s">
        <v>5</v>
      </c>
      <c r="D22" s="390" cm="1">
        <f t="array" ref="D22">SUMPRODUCT((H_Rate_Class=$B22)*[5]Customer!D$9:D$118)-D24</f>
        <v>550</v>
      </c>
      <c r="E22" s="390" cm="1">
        <f t="array" ref="E22">SUMPRODUCT((H_Rate_Class=$B22)*[5]Customer!E$9:E$118)-E24</f>
        <v>550</v>
      </c>
      <c r="F22" s="390" cm="1">
        <f t="array" ref="F22">SUMPRODUCT((H_Rate_Class=$B22)*[5]Customer!F$9:F$118)-F24</f>
        <v>550</v>
      </c>
      <c r="G22" s="390" cm="1">
        <f t="array" ref="G22">SUMPRODUCT((H_Rate_Class=$B22)*[5]Customer!G$9:G$118)-G24</f>
        <v>550</v>
      </c>
      <c r="H22" s="390" cm="1">
        <f t="array" ref="H22">SUMPRODUCT((H_Rate_Class=$B22)*[5]Customer!H$9:H$118)-H24</f>
        <v>549</v>
      </c>
      <c r="I22" s="390" cm="1">
        <f t="array" ref="I22">SUMPRODUCT((H_Rate_Class=$B22)*[5]Customer!I$9:I$118)-I24</f>
        <v>548</v>
      </c>
      <c r="J22" s="390" cm="1">
        <f t="array" ref="J22">SUMPRODUCT((H_Rate_Class=$B22)*[5]Customer!J$9:J$118)-J24</f>
        <v>550</v>
      </c>
      <c r="K22" s="390" cm="1">
        <f t="array" ref="K22">SUMPRODUCT((H_Rate_Class=$B22)*[5]Customer!K$9:K$118)-K24</f>
        <v>552</v>
      </c>
      <c r="L22" s="390" cm="1">
        <f t="array" ref="L22">SUMPRODUCT((H_Rate_Class=$B22)*[5]Customer!L$9:L$118)-L24</f>
        <v>553</v>
      </c>
      <c r="M22" s="390" cm="1">
        <f t="array" ref="M22">SUMPRODUCT((H_Rate_Class=$B22)*[5]Customer!M$9:M$118)-M24</f>
        <v>553</v>
      </c>
      <c r="N22" s="390" cm="1">
        <f t="array" ref="N22">SUMPRODUCT((H_Rate_Class=$B22)*[5]Customer!N$9:N$118)-N24</f>
        <v>549</v>
      </c>
      <c r="O22" s="390" cm="1">
        <f t="array" ref="O22">SUMPRODUCT((H_Rate_Class=$B22)*[5]Customer!O$9:O$118)-O24</f>
        <v>550</v>
      </c>
      <c r="P22" s="312">
        <f>SUM(D22:O22)</f>
        <v>6604</v>
      </c>
      <c r="Q22" s="312">
        <f t="shared" si="1"/>
        <v>550.33333333333337</v>
      </c>
      <c r="R22" s="309">
        <f>+'II-H-4.1 Functions'!D23/'II-H-3.1-3'!P22</f>
        <v>7.2940635512035872</v>
      </c>
      <c r="S22" s="310">
        <v>126.87</v>
      </c>
      <c r="T22" s="387">
        <v>3.1120000000000001</v>
      </c>
      <c r="U22" s="309"/>
      <c r="V22" s="310"/>
      <c r="W22" s="309"/>
      <c r="X22" s="309"/>
      <c r="Y22" s="387"/>
      <c r="Z22" s="89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</row>
    <row r="23" spans="1:144" s="4" customFormat="1" ht="11.25">
      <c r="A23" s="386">
        <v>7</v>
      </c>
      <c r="B23" s="87" t="s">
        <v>83</v>
      </c>
      <c r="C23" s="157" t="s">
        <v>5</v>
      </c>
      <c r="D23" s="390" cm="1">
        <f t="array" ref="D23">SUMPRODUCT((H_Rate_Class=$B23)*[5]Customer!D$9:D$118)-D25</f>
        <v>459</v>
      </c>
      <c r="E23" s="390" cm="1">
        <f t="array" ref="E23">SUMPRODUCT((H_Rate_Class=$B23)*[5]Customer!E$9:E$118)-E25</f>
        <v>472</v>
      </c>
      <c r="F23" s="390" cm="1">
        <f t="array" ref="F23">SUMPRODUCT((H_Rate_Class=$B23)*[5]Customer!F$9:F$118)-F25</f>
        <v>477</v>
      </c>
      <c r="G23" s="390" cm="1">
        <f t="array" ref="G23">SUMPRODUCT((H_Rate_Class=$B23)*[5]Customer!G$9:G$118)-G25</f>
        <v>473</v>
      </c>
      <c r="H23" s="390" cm="1">
        <f t="array" ref="H23">SUMPRODUCT((H_Rate_Class=$B23)*[5]Customer!H$9:H$118)-H25</f>
        <v>481</v>
      </c>
      <c r="I23" s="390" cm="1">
        <f t="array" ref="I23">SUMPRODUCT((H_Rate_Class=$B23)*[5]Customer!I$9:I$118)-I25</f>
        <v>475</v>
      </c>
      <c r="J23" s="390" cm="1">
        <f t="array" ref="J23">SUMPRODUCT((H_Rate_Class=$B23)*[5]Customer!J$9:J$118)-J25</f>
        <v>471</v>
      </c>
      <c r="K23" s="390" cm="1">
        <f t="array" ref="K23">SUMPRODUCT((H_Rate_Class=$B23)*[5]Customer!K$9:K$118)-K25</f>
        <v>485</v>
      </c>
      <c r="L23" s="390" cm="1">
        <f t="array" ref="L23">SUMPRODUCT((H_Rate_Class=$B23)*[5]Customer!L$9:L$118)-L25</f>
        <v>481</v>
      </c>
      <c r="M23" s="390" cm="1">
        <f t="array" ref="M23">SUMPRODUCT((H_Rate_Class=$B23)*[5]Customer!M$9:M$118)-M25</f>
        <v>473</v>
      </c>
      <c r="N23" s="390" cm="1">
        <f t="array" ref="N23">SUMPRODUCT((H_Rate_Class=$B23)*[5]Customer!N$9:N$118)-N25</f>
        <v>485</v>
      </c>
      <c r="O23" s="390" cm="1">
        <f t="array" ref="O23">SUMPRODUCT((H_Rate_Class=$B23)*[5]Customer!O$9:O$118)-O25</f>
        <v>469</v>
      </c>
      <c r="P23" s="312">
        <f>SUM(D23:O23)</f>
        <v>5701</v>
      </c>
      <c r="Q23" s="312">
        <f t="shared" si="1"/>
        <v>475.08333333333331</v>
      </c>
      <c r="R23" s="309">
        <f>+'II-H-4.1 Functions'!D24/'II-H-3.1-3'!P23</f>
        <v>7.3410470239678931</v>
      </c>
      <c r="S23" s="310">
        <v>126.87</v>
      </c>
      <c r="T23" s="387">
        <v>3.1120000000000001</v>
      </c>
      <c r="U23" s="309"/>
      <c r="V23" s="310"/>
      <c r="W23" s="309"/>
      <c r="X23" s="309"/>
      <c r="Y23" s="387"/>
      <c r="Z23" s="89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</row>
    <row r="24" spans="1:144" s="4" customFormat="1" ht="11.25">
      <c r="A24" s="386">
        <v>8</v>
      </c>
      <c r="B24" s="87" t="s">
        <v>148</v>
      </c>
      <c r="C24" s="157" t="s">
        <v>5</v>
      </c>
      <c r="D24" s="390">
        <v>9</v>
      </c>
      <c r="E24" s="390">
        <v>9</v>
      </c>
      <c r="F24" s="390">
        <v>9</v>
      </c>
      <c r="G24" s="390">
        <v>9</v>
      </c>
      <c r="H24" s="390">
        <v>9</v>
      </c>
      <c r="I24" s="390">
        <v>9</v>
      </c>
      <c r="J24" s="390">
        <v>9</v>
      </c>
      <c r="K24" s="390">
        <v>9</v>
      </c>
      <c r="L24" s="390">
        <v>9</v>
      </c>
      <c r="M24" s="390">
        <v>9</v>
      </c>
      <c r="N24" s="390">
        <v>9</v>
      </c>
      <c r="O24" s="390">
        <v>9</v>
      </c>
      <c r="P24" s="312">
        <f t="shared" ref="P24:P25" si="3">SUM(D24:O24)</f>
        <v>108</v>
      </c>
      <c r="Q24" s="312">
        <f t="shared" si="1"/>
        <v>9</v>
      </c>
      <c r="R24" s="309">
        <f>+'II-H-4.1 Functions'!D25/'II-H-3.1-3'!P24</f>
        <v>7.3373322202032361</v>
      </c>
      <c r="S24" s="310">
        <v>126.87</v>
      </c>
      <c r="T24" s="387">
        <v>3.1120000000000001</v>
      </c>
      <c r="U24" s="309"/>
      <c r="V24" s="310"/>
      <c r="W24" s="309"/>
      <c r="X24" s="309"/>
      <c r="Y24" s="312"/>
      <c r="Z24" s="89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</row>
    <row r="25" spans="1:144" s="4" customFormat="1" ht="11.25">
      <c r="A25" s="386">
        <v>9</v>
      </c>
      <c r="B25" s="87" t="s">
        <v>149</v>
      </c>
      <c r="C25" s="157" t="s">
        <v>5</v>
      </c>
      <c r="D25" s="390">
        <v>58</v>
      </c>
      <c r="E25" s="390">
        <v>58</v>
      </c>
      <c r="F25" s="390">
        <v>58</v>
      </c>
      <c r="G25" s="390">
        <v>58</v>
      </c>
      <c r="H25" s="390">
        <v>58</v>
      </c>
      <c r="I25" s="390">
        <v>58</v>
      </c>
      <c r="J25" s="390">
        <v>58</v>
      </c>
      <c r="K25" s="390">
        <v>58</v>
      </c>
      <c r="L25" s="390">
        <v>58</v>
      </c>
      <c r="M25" s="390">
        <v>58</v>
      </c>
      <c r="N25" s="390">
        <v>58</v>
      </c>
      <c r="O25" s="390">
        <v>58</v>
      </c>
      <c r="P25" s="312">
        <f t="shared" si="3"/>
        <v>696</v>
      </c>
      <c r="Q25" s="312">
        <f t="shared" si="1"/>
        <v>58</v>
      </c>
      <c r="R25" s="309">
        <v>735</v>
      </c>
      <c r="S25" s="310">
        <v>126.87</v>
      </c>
      <c r="T25" s="387">
        <v>3.1120000000000001</v>
      </c>
      <c r="U25" s="309"/>
      <c r="V25" s="310"/>
      <c r="W25" s="309"/>
      <c r="X25" s="309"/>
      <c r="Y25" s="312"/>
      <c r="Z25" s="89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</row>
    <row r="26" spans="1:144" s="4" customFormat="1" ht="11.25">
      <c r="A26" s="386">
        <v>10</v>
      </c>
      <c r="B26" s="87" t="s">
        <v>19</v>
      </c>
      <c r="C26" s="157"/>
      <c r="D26" s="391">
        <f>SUM(D22:D25)</f>
        <v>1076</v>
      </c>
      <c r="E26" s="391">
        <f t="shared" ref="E26:P26" si="4">SUM(E22:E25)</f>
        <v>1089</v>
      </c>
      <c r="F26" s="391">
        <f t="shared" si="4"/>
        <v>1094</v>
      </c>
      <c r="G26" s="391">
        <f t="shared" si="4"/>
        <v>1090</v>
      </c>
      <c r="H26" s="391">
        <f t="shared" si="4"/>
        <v>1097</v>
      </c>
      <c r="I26" s="391">
        <f t="shared" si="4"/>
        <v>1090</v>
      </c>
      <c r="J26" s="391">
        <f t="shared" si="4"/>
        <v>1088</v>
      </c>
      <c r="K26" s="391">
        <f t="shared" si="4"/>
        <v>1104</v>
      </c>
      <c r="L26" s="391">
        <f t="shared" si="4"/>
        <v>1101</v>
      </c>
      <c r="M26" s="391">
        <f t="shared" si="4"/>
        <v>1093</v>
      </c>
      <c r="N26" s="391">
        <f t="shared" si="4"/>
        <v>1101</v>
      </c>
      <c r="O26" s="391">
        <f t="shared" si="4"/>
        <v>1086</v>
      </c>
      <c r="P26" s="391">
        <f t="shared" si="4"/>
        <v>13109</v>
      </c>
      <c r="Q26" s="392">
        <f t="shared" si="1"/>
        <v>1092.4166666666667</v>
      </c>
      <c r="R26" s="309"/>
      <c r="S26" s="310"/>
      <c r="T26" s="312"/>
      <c r="U26" s="309"/>
      <c r="V26" s="310"/>
      <c r="W26" s="309"/>
      <c r="X26" s="309"/>
      <c r="Y26" s="312"/>
      <c r="Z26" s="89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</row>
    <row r="27" spans="1:144" s="4" customFormat="1" ht="11.25">
      <c r="A27" s="386"/>
      <c r="B27" s="87"/>
      <c r="C27" s="15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01"/>
      <c r="P27" s="312"/>
      <c r="Q27" s="312"/>
      <c r="R27" s="309"/>
      <c r="S27" s="310"/>
      <c r="T27" s="312"/>
      <c r="U27" s="309"/>
      <c r="V27" s="310"/>
      <c r="W27" s="309"/>
      <c r="X27" s="309"/>
      <c r="Y27" s="312"/>
      <c r="Z27" s="89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</row>
    <row r="28" spans="1:144" s="4" customFormat="1" ht="11.25">
      <c r="A28" s="386">
        <v>11</v>
      </c>
      <c r="B28" s="131" t="s">
        <v>86</v>
      </c>
      <c r="C28" s="157" t="s">
        <v>6</v>
      </c>
      <c r="D28" s="177" cm="1">
        <f t="array" ref="D28">SUMPRODUCT((H_Rate_Class=$B28)*[5]Customer!D$9:D$118)</f>
        <v>124</v>
      </c>
      <c r="E28" s="177" cm="1">
        <f t="array" ref="E28">SUMPRODUCT((H_Rate_Class=$B28)*[5]Customer!E$9:E$118)</f>
        <v>121</v>
      </c>
      <c r="F28" s="177" cm="1">
        <f t="array" ref="F28">SUMPRODUCT((H_Rate_Class=$B28)*[5]Customer!F$9:F$118)</f>
        <v>119</v>
      </c>
      <c r="G28" s="177" cm="1">
        <f t="array" ref="G28">SUMPRODUCT((H_Rate_Class=$B28)*[5]Customer!G$9:G$118)</f>
        <v>122</v>
      </c>
      <c r="H28" s="177" cm="1">
        <f t="array" ref="H28">SUMPRODUCT((H_Rate_Class=$B28)*[5]Customer!H$9:H$118)</f>
        <v>122</v>
      </c>
      <c r="I28" s="177" cm="1">
        <f t="array" ref="I28">SUMPRODUCT((H_Rate_Class=$B28)*[5]Customer!I$9:I$118)</f>
        <v>124</v>
      </c>
      <c r="J28" s="177" cm="1">
        <f t="array" ref="J28">SUMPRODUCT((H_Rate_Class=$B28)*[5]Customer!J$9:J$118)</f>
        <v>122</v>
      </c>
      <c r="K28" s="177" cm="1">
        <f t="array" ref="K28">SUMPRODUCT((H_Rate_Class=$B28)*[5]Customer!K$9:K$118)</f>
        <v>127</v>
      </c>
      <c r="L28" s="177" cm="1">
        <f t="array" ref="L28">SUMPRODUCT((H_Rate_Class=$B28)*[5]Customer!L$9:L$118)</f>
        <v>122</v>
      </c>
      <c r="M28" s="177" cm="1">
        <f t="array" ref="M28">SUMPRODUCT((H_Rate_Class=$B28)*[5]Customer!M$9:M$118)</f>
        <v>133</v>
      </c>
      <c r="N28" s="177" cm="1">
        <f t="array" ref="N28">SUMPRODUCT((H_Rate_Class=$B28)*[5]Customer!N$9:N$118)</f>
        <v>131</v>
      </c>
      <c r="O28" s="177" cm="1">
        <f t="array" ref="O28">SUMPRODUCT((H_Rate_Class=$B28)*[5]Customer!O$9:O$118)</f>
        <v>123</v>
      </c>
      <c r="P28" s="312">
        <f>SUM(D28:O28)</f>
        <v>1490</v>
      </c>
      <c r="Q28" s="312">
        <f>P28/12</f>
        <v>124.16666666666667</v>
      </c>
      <c r="R28" s="309">
        <v>7.48</v>
      </c>
      <c r="S28" s="310">
        <v>761.5</v>
      </c>
      <c r="T28" s="387">
        <v>0.249</v>
      </c>
      <c r="U28" s="309"/>
      <c r="V28" s="310"/>
      <c r="W28" s="309"/>
      <c r="X28" s="309"/>
      <c r="Y28" s="387"/>
      <c r="Z28" s="89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</row>
    <row r="29" spans="1:144" s="4" customFormat="1" ht="11.25">
      <c r="B29" s="87"/>
      <c r="C29" s="99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312"/>
      <c r="Q29" s="312"/>
      <c r="R29" s="309"/>
      <c r="S29" s="310"/>
      <c r="T29" s="89"/>
      <c r="U29" s="89"/>
      <c r="V29" s="89"/>
      <c r="W29" s="89"/>
      <c r="X29" s="89"/>
      <c r="Y29" s="89"/>
      <c r="Z29" s="89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</row>
    <row r="30" spans="1:144" s="4" customFormat="1" ht="11.25">
      <c r="A30" s="386">
        <v>12</v>
      </c>
      <c r="B30" s="89" t="s">
        <v>21</v>
      </c>
      <c r="C30" s="157" t="s">
        <v>4</v>
      </c>
      <c r="D30" s="177" cm="1">
        <f t="array" ref="D30">SUMPRODUCT((H_Rate_Class=$B30)*[5]Customer!D$9:D$118)</f>
        <v>221814</v>
      </c>
      <c r="E30" s="177" cm="1">
        <f t="array" ref="E30">SUMPRODUCT((H_Rate_Class=$B30)*[5]Customer!E$9:E$118)</f>
        <v>222695</v>
      </c>
      <c r="F30" s="177" cm="1">
        <f t="array" ref="F30">SUMPRODUCT((H_Rate_Class=$B30)*[5]Customer!F$9:F$118)</f>
        <v>221811</v>
      </c>
      <c r="G30" s="177" cm="1">
        <f t="array" ref="G30">SUMPRODUCT((H_Rate_Class=$B30)*[5]Customer!G$9:G$118)</f>
        <v>220960</v>
      </c>
      <c r="H30" s="177" cm="1">
        <f t="array" ref="H30">SUMPRODUCT((H_Rate_Class=$B30)*[5]Customer!H$9:H$118)</f>
        <v>223166</v>
      </c>
      <c r="I30" s="177" cm="1">
        <f t="array" ref="I30">SUMPRODUCT((H_Rate_Class=$B30)*[5]Customer!I$9:I$118)</f>
        <v>220819</v>
      </c>
      <c r="J30" s="177" cm="1">
        <f t="array" ref="J30">SUMPRODUCT((H_Rate_Class=$B30)*[5]Customer!J$9:J$118)</f>
        <v>221724</v>
      </c>
      <c r="K30" s="177" cm="1">
        <f t="array" ref="K30">SUMPRODUCT((H_Rate_Class=$B30)*[5]Customer!K$9:K$118)</f>
        <v>222243</v>
      </c>
      <c r="L30" s="177" cm="1">
        <f t="array" ref="L30">SUMPRODUCT((H_Rate_Class=$B30)*[5]Customer!L$9:L$118)</f>
        <v>221912</v>
      </c>
      <c r="M30" s="177" cm="1">
        <f t="array" ref="M30">SUMPRODUCT((H_Rate_Class=$B30)*[5]Customer!M$9:M$118)</f>
        <v>222603</v>
      </c>
      <c r="N30" s="177" cm="1">
        <f t="array" ref="N30">SUMPRODUCT((H_Rate_Class=$B30)*[5]Customer!N$9:N$118)</f>
        <v>221814</v>
      </c>
      <c r="O30" s="177" cm="1">
        <f t="array" ref="O30">SUMPRODUCT((H_Rate_Class=$B30)*[5]Customer!O$9:O$118)</f>
        <v>221390</v>
      </c>
      <c r="P30" s="312">
        <f>SUM(D30:O30)</f>
        <v>2662951</v>
      </c>
      <c r="Q30" s="312">
        <f t="shared" si="1"/>
        <v>221912.58333333334</v>
      </c>
      <c r="R30" s="309"/>
      <c r="S30" s="310"/>
      <c r="T30" s="89">
        <v>2.1093000000000001E-2</v>
      </c>
      <c r="U30" s="89"/>
      <c r="V30" s="89"/>
      <c r="W30" s="89"/>
      <c r="X30" s="89"/>
      <c r="Y30" s="89"/>
      <c r="Z30" s="89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</row>
    <row r="31" spans="1:144" s="4" customFormat="1" ht="11.25">
      <c r="A31" s="386"/>
      <c r="B31" s="87"/>
      <c r="C31" s="99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312"/>
      <c r="Q31" s="312"/>
      <c r="R31" s="89"/>
      <c r="S31" s="309"/>
      <c r="U31" s="89"/>
      <c r="V31" s="89"/>
      <c r="W31" s="89"/>
      <c r="X31" s="89"/>
      <c r="Y31" s="89"/>
      <c r="Z31" s="89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</row>
    <row r="32" spans="1:144" s="4" customFormat="1" ht="11.25">
      <c r="A32" s="386">
        <v>13</v>
      </c>
      <c r="B32" s="393" t="s">
        <v>22</v>
      </c>
      <c r="C32" s="362"/>
      <c r="D32" s="394">
        <f t="shared" ref="D32:O32" si="5">D30+D28+D26+D20+D16+D14</f>
        <v>1310667</v>
      </c>
      <c r="E32" s="394">
        <f t="shared" si="5"/>
        <v>1312872</v>
      </c>
      <c r="F32" s="394">
        <f t="shared" si="5"/>
        <v>1312879</v>
      </c>
      <c r="G32" s="394">
        <f t="shared" si="5"/>
        <v>1313089</v>
      </c>
      <c r="H32" s="394">
        <f t="shared" si="5"/>
        <v>1316680</v>
      </c>
      <c r="I32" s="394">
        <f t="shared" si="5"/>
        <v>1315685</v>
      </c>
      <c r="J32" s="394">
        <f t="shared" si="5"/>
        <v>1318673</v>
      </c>
      <c r="K32" s="394">
        <f t="shared" si="5"/>
        <v>1324192</v>
      </c>
      <c r="L32" s="394">
        <f t="shared" si="5"/>
        <v>1326629</v>
      </c>
      <c r="M32" s="394">
        <f t="shared" si="5"/>
        <v>1330359</v>
      </c>
      <c r="N32" s="394">
        <f t="shared" si="5"/>
        <v>1330943</v>
      </c>
      <c r="O32" s="394">
        <f t="shared" si="5"/>
        <v>1329612</v>
      </c>
      <c r="P32" s="395">
        <f>SUM(D32:O32)</f>
        <v>15842280</v>
      </c>
      <c r="Q32" s="395">
        <f t="shared" si="1"/>
        <v>1320190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</row>
    <row r="33" spans="1:144" s="4" customFormat="1" ht="11.25">
      <c r="B33" s="362"/>
      <c r="C33" s="362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312"/>
      <c r="Q33" s="312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</row>
    <row r="34" spans="1:144" s="4" customFormat="1" ht="11.25">
      <c r="A34" s="386">
        <v>14</v>
      </c>
      <c r="B34" s="89" t="s">
        <v>69</v>
      </c>
      <c r="C34" s="157" t="s">
        <v>5</v>
      </c>
      <c r="D34" s="312"/>
      <c r="E34" s="312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312"/>
      <c r="Q34" s="312"/>
      <c r="R34" s="89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</row>
    <row r="35" spans="1:144" s="4" customFormat="1" ht="11.25">
      <c r="A35" s="386">
        <v>15</v>
      </c>
      <c r="B35" s="89" t="s">
        <v>70</v>
      </c>
      <c r="C35" s="157" t="s">
        <v>6</v>
      </c>
      <c r="D35" s="388"/>
      <c r="E35" s="388"/>
      <c r="F35" s="388"/>
      <c r="G35" s="388"/>
      <c r="H35" s="388"/>
      <c r="I35" s="388"/>
      <c r="J35" s="388"/>
      <c r="K35" s="388"/>
      <c r="L35" s="388"/>
      <c r="M35" s="388"/>
      <c r="N35" s="388"/>
      <c r="O35" s="388"/>
      <c r="P35" s="389"/>
      <c r="Q35" s="389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</row>
    <row r="36" spans="1:144" s="4" customFormat="1" ht="11.25">
      <c r="A36" s="386">
        <v>16</v>
      </c>
      <c r="B36" s="393" t="s">
        <v>23</v>
      </c>
      <c r="C36" s="36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312"/>
      <c r="Q36" s="312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</row>
    <row r="37" spans="1:144" s="4" customFormat="1" ht="11.25">
      <c r="A37" s="386"/>
      <c r="B37" s="87"/>
      <c r="C37" s="396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312"/>
      <c r="Q37" s="312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</row>
    <row r="38" spans="1:144" s="4" customFormat="1" ht="12" thickBot="1">
      <c r="A38" s="386">
        <v>17</v>
      </c>
      <c r="B38" s="147" t="s">
        <v>92</v>
      </c>
      <c r="C38" s="361"/>
      <c r="D38" s="397">
        <f>D36+D32</f>
        <v>1310667</v>
      </c>
      <c r="E38" s="397">
        <f t="shared" ref="E38:N38" si="6">+E36+E32</f>
        <v>1312872</v>
      </c>
      <c r="F38" s="397">
        <f t="shared" si="6"/>
        <v>1312879</v>
      </c>
      <c r="G38" s="397">
        <f t="shared" si="6"/>
        <v>1313089</v>
      </c>
      <c r="H38" s="397">
        <f t="shared" si="6"/>
        <v>1316680</v>
      </c>
      <c r="I38" s="397">
        <f t="shared" si="6"/>
        <v>1315685</v>
      </c>
      <c r="J38" s="397">
        <f t="shared" si="6"/>
        <v>1318673</v>
      </c>
      <c r="K38" s="397">
        <f t="shared" si="6"/>
        <v>1324192</v>
      </c>
      <c r="L38" s="397">
        <f t="shared" si="6"/>
        <v>1326629</v>
      </c>
      <c r="M38" s="397">
        <f t="shared" si="6"/>
        <v>1330359</v>
      </c>
      <c r="N38" s="397">
        <f t="shared" si="6"/>
        <v>1330943</v>
      </c>
      <c r="O38" s="397">
        <f>+O36+O32</f>
        <v>1329612</v>
      </c>
      <c r="P38" s="398">
        <f>SUM(D38:O38)</f>
        <v>15842280</v>
      </c>
      <c r="Q38" s="397">
        <f>+Q36+Q32</f>
        <v>1320190</v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</row>
    <row r="39" spans="1:144" ht="15.75" customHeight="1" thickTop="1">
      <c r="A39" s="120"/>
      <c r="B39" s="87" t="s">
        <v>498</v>
      </c>
      <c r="C39" s="161"/>
      <c r="D39" s="70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399"/>
      <c r="Q39" s="400"/>
      <c r="R39" s="401"/>
      <c r="S39" s="401"/>
      <c r="T39" s="401"/>
      <c r="U39" s="401"/>
      <c r="V39" s="401"/>
      <c r="W39" s="401"/>
      <c r="X39" s="401"/>
      <c r="Y39" s="401"/>
      <c r="Z39" s="401"/>
      <c r="AA39" s="401"/>
      <c r="AB39" s="401"/>
      <c r="AC39" s="401"/>
      <c r="AD39" s="401"/>
      <c r="AE39" s="401"/>
      <c r="AF39" s="401"/>
      <c r="AG39" s="401"/>
      <c r="AH39" s="401"/>
      <c r="AI39" s="401"/>
      <c r="AJ39" s="401"/>
      <c r="AK39" s="401"/>
      <c r="AL39" s="401"/>
      <c r="AM39" s="401"/>
      <c r="AN39" s="401"/>
      <c r="AO39" s="401"/>
      <c r="AP39" s="401"/>
      <c r="AQ39" s="401"/>
      <c r="AR39" s="401"/>
      <c r="AS39" s="401"/>
      <c r="AT39" s="401"/>
      <c r="AU39" s="401"/>
      <c r="AV39" s="401"/>
      <c r="AW39" s="401"/>
      <c r="AX39" s="401"/>
      <c r="AY39" s="401"/>
      <c r="AZ39" s="401"/>
      <c r="BA39" s="401"/>
      <c r="BB39" s="401"/>
      <c r="BC39" s="401"/>
      <c r="BD39" s="401"/>
      <c r="BE39" s="401"/>
      <c r="BF39" s="401"/>
      <c r="BG39" s="401"/>
    </row>
    <row r="40" spans="1:144">
      <c r="A40" s="4"/>
      <c r="B40" s="70"/>
      <c r="C40" s="161"/>
      <c r="D40" s="70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399"/>
      <c r="Q40" s="400"/>
      <c r="R40" s="401"/>
      <c r="S40" s="401"/>
      <c r="T40" s="401"/>
      <c r="U40" s="401"/>
      <c r="V40" s="401"/>
      <c r="W40" s="401"/>
      <c r="X40" s="401"/>
      <c r="Y40" s="401"/>
      <c r="Z40" s="401"/>
      <c r="AA40" s="401"/>
      <c r="AB40" s="401"/>
      <c r="AC40" s="401"/>
      <c r="AD40" s="401"/>
      <c r="AE40" s="401"/>
      <c r="AF40" s="401"/>
      <c r="AG40" s="401"/>
      <c r="AH40" s="401"/>
      <c r="AI40" s="401"/>
      <c r="AJ40" s="401"/>
      <c r="AK40" s="401"/>
      <c r="AL40" s="401"/>
      <c r="AM40" s="401"/>
      <c r="AN40" s="401"/>
      <c r="AO40" s="401"/>
      <c r="AP40" s="401"/>
      <c r="AQ40" s="401"/>
      <c r="AR40" s="401"/>
      <c r="AS40" s="401"/>
      <c r="AT40" s="401"/>
      <c r="AU40" s="401"/>
      <c r="AV40" s="401"/>
      <c r="AW40" s="401"/>
      <c r="AX40" s="401"/>
      <c r="AY40" s="401"/>
      <c r="AZ40" s="401"/>
      <c r="BA40" s="401"/>
      <c r="BB40" s="401"/>
      <c r="BC40" s="401"/>
      <c r="BD40" s="401"/>
      <c r="BE40" s="401"/>
      <c r="BF40" s="401"/>
      <c r="BG40" s="401"/>
    </row>
    <row r="41" spans="1:144">
      <c r="B41" s="371" t="str">
        <f>+B7</f>
        <v>AEP TEXAS</v>
      </c>
      <c r="C41" s="371"/>
      <c r="D41" s="371"/>
      <c r="E41" s="371"/>
      <c r="F41" s="371"/>
      <c r="G41" s="371"/>
      <c r="H41" s="371"/>
      <c r="I41" s="371"/>
      <c r="J41" s="371"/>
      <c r="K41" s="371"/>
      <c r="L41" s="371"/>
      <c r="M41" s="371"/>
      <c r="N41" s="371"/>
      <c r="O41" s="371"/>
      <c r="P41" s="371"/>
      <c r="Q41" s="371"/>
    </row>
    <row r="42" spans="1:144">
      <c r="B42" s="371" t="s">
        <v>44</v>
      </c>
      <c r="C42" s="371"/>
      <c r="D42" s="371"/>
      <c r="E42" s="371"/>
      <c r="F42" s="371"/>
      <c r="G42" s="371"/>
      <c r="H42" s="371"/>
      <c r="I42" s="371"/>
      <c r="J42" s="371"/>
      <c r="K42" s="371"/>
      <c r="L42" s="371"/>
      <c r="M42" s="371"/>
      <c r="N42" s="371"/>
      <c r="O42" s="371"/>
      <c r="P42" s="371"/>
      <c r="Q42" s="371"/>
    </row>
    <row r="43" spans="1:144">
      <c r="B43" s="371" t="str">
        <f>B9</f>
        <v>FOR TEST YEAR ENDED SEPTEMBER 30, 2023</v>
      </c>
      <c r="C43" s="371"/>
      <c r="D43" s="371"/>
      <c r="E43" s="371"/>
      <c r="F43" s="371"/>
      <c r="G43" s="371"/>
      <c r="H43" s="371"/>
      <c r="I43" s="371"/>
      <c r="J43" s="371"/>
      <c r="K43" s="371"/>
      <c r="L43" s="371"/>
      <c r="M43" s="371"/>
      <c r="N43" s="371"/>
      <c r="O43" s="371"/>
      <c r="P43" s="371"/>
      <c r="Q43" s="371"/>
    </row>
    <row r="44" spans="1:144">
      <c r="B44" s="80"/>
      <c r="C44" s="80"/>
      <c r="D44" s="402"/>
      <c r="E44" s="402"/>
      <c r="F44" s="402"/>
      <c r="G44" s="402"/>
      <c r="H44" s="402"/>
      <c r="I44" s="402"/>
      <c r="J44" s="402"/>
      <c r="K44" s="402"/>
      <c r="L44" s="402"/>
      <c r="M44" s="402"/>
      <c r="N44" s="402"/>
      <c r="O44" s="402"/>
      <c r="P44" s="402"/>
      <c r="Q44" s="403"/>
    </row>
    <row r="45" spans="1:144">
      <c r="B45" s="147"/>
      <c r="C45" s="87"/>
      <c r="D45" s="404">
        <f>D11</f>
        <v>0</v>
      </c>
      <c r="E45" s="405"/>
      <c r="F45" s="405"/>
      <c r="G45" s="404">
        <f>G11</f>
        <v>0</v>
      </c>
      <c r="H45" s="405"/>
      <c r="I45" s="405"/>
      <c r="J45" s="177"/>
      <c r="K45" s="405"/>
      <c r="L45" s="405"/>
      <c r="M45" s="405"/>
      <c r="N45" s="405"/>
      <c r="O45" s="405"/>
      <c r="P45" s="405"/>
      <c r="Q45" s="403"/>
    </row>
    <row r="46" spans="1:144">
      <c r="A46" s="10" t="s">
        <v>8</v>
      </c>
      <c r="B46" s="361" t="s">
        <v>0</v>
      </c>
      <c r="C46" s="361" t="s">
        <v>7</v>
      </c>
      <c r="D46" s="406" t="str">
        <f t="shared" ref="D46:O46" si="7">+D12</f>
        <v>Oct-22</v>
      </c>
      <c r="E46" s="406" t="str">
        <f t="shared" si="7"/>
        <v>Nov-22</v>
      </c>
      <c r="F46" s="406" t="str">
        <f t="shared" si="7"/>
        <v>Dec-22</v>
      </c>
      <c r="G46" s="406" t="str">
        <f t="shared" si="7"/>
        <v>Jan-23</v>
      </c>
      <c r="H46" s="406" t="str">
        <f t="shared" si="7"/>
        <v>Feb-23</v>
      </c>
      <c r="I46" s="406" t="str">
        <f t="shared" si="7"/>
        <v>Mar-23</v>
      </c>
      <c r="J46" s="406" t="str">
        <f t="shared" si="7"/>
        <v>Apr-23</v>
      </c>
      <c r="K46" s="406" t="str">
        <f t="shared" si="7"/>
        <v>May-23</v>
      </c>
      <c r="L46" s="406" t="str">
        <f t="shared" si="7"/>
        <v>Jun-23</v>
      </c>
      <c r="M46" s="406" t="str">
        <f t="shared" si="7"/>
        <v>Jul-23</v>
      </c>
      <c r="N46" s="406" t="str">
        <f t="shared" si="7"/>
        <v>Aug-23</v>
      </c>
      <c r="O46" s="406" t="str">
        <f t="shared" si="7"/>
        <v>Sep-23</v>
      </c>
      <c r="P46" s="406" t="s">
        <v>2</v>
      </c>
      <c r="Q46" s="407" t="s">
        <v>16</v>
      </c>
    </row>
    <row r="47" spans="1:144">
      <c r="B47" s="361"/>
      <c r="C47" s="361"/>
      <c r="D47" s="406"/>
      <c r="E47" s="406"/>
      <c r="F47" s="406"/>
      <c r="G47" s="406"/>
      <c r="H47" s="406"/>
      <c r="I47" s="406"/>
      <c r="J47" s="406"/>
      <c r="K47" s="406"/>
      <c r="L47" s="406"/>
      <c r="M47" s="406"/>
      <c r="N47" s="406"/>
      <c r="O47" s="406"/>
      <c r="P47" s="406"/>
      <c r="Q47" s="407"/>
    </row>
    <row r="48" spans="1:144" s="87" customFormat="1" ht="11.25">
      <c r="A48" s="386" t="str">
        <f>A14</f>
        <v>1</v>
      </c>
      <c r="B48" s="87" t="str">
        <f>B14</f>
        <v>RESIDENTIAL SERVICE</v>
      </c>
      <c r="C48" s="99" t="str">
        <f>C14</f>
        <v>SEC</v>
      </c>
      <c r="D48" s="177" cm="1">
        <f t="array" ref="D48">SUMPRODUCT((H_Rate_Class=$B48)*[5]Customer!D$129:D$238)</f>
        <v>17839.999999999975</v>
      </c>
      <c r="E48" s="177" cm="1">
        <f t="array" ref="E48">SUMPRODUCT((H_Rate_Class=$B48)*[5]Customer!E$129:E$238)</f>
        <v>16569.999999999945</v>
      </c>
      <c r="F48" s="177" cm="1">
        <f t="array" ref="F48">SUMPRODUCT((H_Rate_Class=$B48)*[5]Customer!F$129:F$238)</f>
        <v>15633.999999999962</v>
      </c>
      <c r="G48" s="177" cm="1">
        <f t="array" ref="G48">SUMPRODUCT((H_Rate_Class=$B48)*[5]Customer!G$129:G$238)</f>
        <v>14554.000000000045</v>
      </c>
      <c r="H48" s="177" cm="1">
        <f t="array" ref="H48">SUMPRODUCT((H_Rate_Class=$B48)*[5]Customer!H$129:H$238)</f>
        <v>13240.999999999953</v>
      </c>
      <c r="I48" s="177" cm="1">
        <f t="array" ref="I48">SUMPRODUCT((H_Rate_Class=$B48)*[5]Customer!I$129:I$238)</f>
        <v>12022.999999999909</v>
      </c>
      <c r="J48" s="177" cm="1">
        <f t="array" ref="J48">SUMPRODUCT((H_Rate_Class=$B48)*[5]Customer!J$129:J$238)</f>
        <v>9968.9999999998981</v>
      </c>
      <c r="K48" s="177" cm="1">
        <f t="array" ref="K48">SUMPRODUCT((H_Rate_Class=$B48)*[5]Customer!K$129:K$238)</f>
        <v>5738.9999999999245</v>
      </c>
      <c r="L48" s="177" cm="1">
        <f t="array" ref="L48">SUMPRODUCT((H_Rate_Class=$B48)*[5]Customer!L$129:L$238)</f>
        <v>3254.0000000000978</v>
      </c>
      <c r="M48" s="177" cm="1">
        <f t="array" ref="M48">SUMPRODUCT((H_Rate_Class=$B48)*[5]Customer!M$129:M$238)</f>
        <v>316.00000000001967</v>
      </c>
      <c r="N48" s="177" cm="1">
        <f t="array" ref="N48">SUMPRODUCT((H_Rate_Class=$B48)*[5]Customer!N$129:N$238)</f>
        <v>-655.00000000000398</v>
      </c>
      <c r="O48" s="177" cm="1">
        <f t="array" ref="O48">SUMPRODUCT((H_Rate_Class=$B48)*[5]Customer!O$129:O$238)</f>
        <v>0</v>
      </c>
      <c r="P48" s="312">
        <f>SUM(D48:O48)</f>
        <v>108484.99999999974</v>
      </c>
      <c r="Q48" s="312">
        <f>P48/12</f>
        <v>9040.4166666666442</v>
      </c>
      <c r="R48" s="177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89"/>
      <c r="BK48" s="89"/>
      <c r="BL48" s="89"/>
      <c r="BM48" s="89"/>
      <c r="BN48" s="89"/>
      <c r="BO48" s="89"/>
      <c r="BP48" s="89"/>
      <c r="BQ48" s="89"/>
      <c r="BR48" s="89"/>
      <c r="BS48" s="89"/>
      <c r="BT48" s="89"/>
      <c r="BU48" s="89"/>
      <c r="BV48" s="89"/>
      <c r="BW48" s="89"/>
      <c r="BX48" s="89"/>
      <c r="BY48" s="89"/>
      <c r="BZ48" s="89"/>
      <c r="CA48" s="89"/>
      <c r="CB48" s="89"/>
      <c r="CC48" s="89"/>
      <c r="CD48" s="89"/>
      <c r="CE48" s="89"/>
      <c r="CF48" s="89"/>
      <c r="CG48" s="89"/>
      <c r="CH48" s="89"/>
      <c r="CI48" s="89"/>
      <c r="CJ48" s="89"/>
      <c r="CK48" s="89"/>
      <c r="CL48" s="89"/>
      <c r="CM48" s="89"/>
      <c r="CN48" s="89"/>
      <c r="CO48" s="89"/>
      <c r="CP48" s="89"/>
      <c r="CQ48" s="89"/>
      <c r="CR48" s="89"/>
      <c r="CS48" s="89"/>
      <c r="CT48" s="89"/>
      <c r="CU48" s="89"/>
      <c r="CV48" s="89"/>
      <c r="CW48" s="89"/>
      <c r="CX48" s="89"/>
      <c r="CY48" s="89"/>
      <c r="CZ48" s="89"/>
      <c r="DA48" s="89"/>
      <c r="DB48" s="89"/>
      <c r="DC48" s="89"/>
      <c r="DD48" s="89"/>
      <c r="DE48" s="89"/>
      <c r="DF48" s="89"/>
      <c r="DG48" s="89"/>
      <c r="DH48" s="89"/>
      <c r="DI48" s="89"/>
      <c r="DJ48" s="89"/>
      <c r="DK48" s="89"/>
      <c r="DL48" s="89"/>
      <c r="DM48" s="89"/>
      <c r="DN48" s="89"/>
      <c r="DO48" s="89"/>
      <c r="DP48" s="89"/>
      <c r="DQ48" s="89"/>
      <c r="DR48" s="89"/>
      <c r="DS48" s="89"/>
      <c r="DT48" s="89"/>
      <c r="DU48" s="89"/>
      <c r="DV48" s="89"/>
      <c r="DW48" s="89"/>
      <c r="DX48" s="89"/>
      <c r="DY48" s="89"/>
      <c r="DZ48" s="89"/>
      <c r="EA48" s="89"/>
      <c r="EB48" s="89"/>
      <c r="EC48" s="89"/>
      <c r="ED48" s="89"/>
      <c r="EE48" s="89"/>
      <c r="EF48" s="89"/>
      <c r="EG48" s="89"/>
      <c r="EH48" s="89"/>
      <c r="EI48" s="89"/>
      <c r="EJ48" s="89"/>
      <c r="EK48" s="89"/>
      <c r="EL48" s="89"/>
      <c r="EM48" s="89"/>
      <c r="EN48" s="89"/>
    </row>
    <row r="49" spans="1:144" s="4" customFormat="1" ht="11.25">
      <c r="B49" s="87"/>
      <c r="C49" s="99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312"/>
      <c r="Q49" s="312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</row>
    <row r="50" spans="1:144" s="4" customFormat="1" ht="11.25">
      <c r="A50" s="386">
        <f t="shared" ref="A50:C50" si="8">A16</f>
        <v>2</v>
      </c>
      <c r="B50" s="87" t="str">
        <f t="shared" si="8"/>
        <v>SECONDARY &lt; 10 kW</v>
      </c>
      <c r="C50" s="99" t="str">
        <f t="shared" si="8"/>
        <v>SEC</v>
      </c>
      <c r="D50" s="177" cm="1">
        <f t="array" ref="D50">SUMPRODUCT((H_Rate_Class=$B50)*[5]Customer!D$129:D$238)</f>
        <v>273.00000000000318</v>
      </c>
      <c r="E50" s="177" cm="1">
        <f t="array" ref="E50">SUMPRODUCT((H_Rate_Class=$B50)*[5]Customer!E$129:E$238)</f>
        <v>68.00000000000216</v>
      </c>
      <c r="F50" s="177" cm="1">
        <f t="array" ref="F50">SUMPRODUCT((H_Rate_Class=$B50)*[5]Customer!F$129:F$238)</f>
        <v>240.00000000000344</v>
      </c>
      <c r="G50" s="177" cm="1">
        <f t="array" ref="G50">SUMPRODUCT((H_Rate_Class=$B50)*[5]Customer!G$129:G$238)</f>
        <v>1315.0000000000061</v>
      </c>
      <c r="H50" s="177" cm="1">
        <f t="array" ref="H50">SUMPRODUCT((H_Rate_Class=$B50)*[5]Customer!H$129:H$238)</f>
        <v>1739.9999999999927</v>
      </c>
      <c r="I50" s="177" cm="1">
        <f t="array" ref="I50">SUMPRODUCT((H_Rate_Class=$B50)*[5]Customer!I$129:I$238)</f>
        <v>1635.9999999999993</v>
      </c>
      <c r="J50" s="177" cm="1">
        <f t="array" ref="J50">SUMPRODUCT((H_Rate_Class=$B50)*[5]Customer!J$129:J$238)</f>
        <v>1051.0000000000043</v>
      </c>
      <c r="K50" s="177" cm="1">
        <f t="array" ref="K50">SUMPRODUCT((H_Rate_Class=$B50)*[5]Customer!K$129:K$238)</f>
        <v>347.99999999999392</v>
      </c>
      <c r="L50" s="177" cm="1">
        <f t="array" ref="L50">SUMPRODUCT((H_Rate_Class=$B50)*[5]Customer!L$129:L$238)</f>
        <v>149.99999999999343</v>
      </c>
      <c r="M50" s="177" cm="1">
        <f t="array" ref="M50">SUMPRODUCT((H_Rate_Class=$B50)*[5]Customer!M$129:M$238)</f>
        <v>110.99999999999706</v>
      </c>
      <c r="N50" s="177" cm="1">
        <f t="array" ref="N50">SUMPRODUCT((H_Rate_Class=$B50)*[5]Customer!N$129:N$238)</f>
        <v>-93.999999999995524</v>
      </c>
      <c r="O50" s="177" cm="1">
        <f t="array" ref="O50">SUMPRODUCT((H_Rate_Class=$B50)*[5]Customer!O$129:O$238)</f>
        <v>0</v>
      </c>
      <c r="P50" s="312">
        <f t="shared" ref="P50:P72" si="9">SUM(D50:O50)</f>
        <v>6838.0000000000009</v>
      </c>
      <c r="Q50" s="312">
        <f>P50/12</f>
        <v>569.83333333333337</v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</row>
    <row r="51" spans="1:144" s="4" customFormat="1" ht="11.25">
      <c r="A51" s="386"/>
      <c r="B51" s="87"/>
      <c r="C51" s="99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312"/>
      <c r="Q51" s="312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</row>
    <row r="52" spans="1:144" s="4" customFormat="1" ht="11.25">
      <c r="A52" s="386">
        <f t="shared" ref="A52:C52" si="10">A18</f>
        <v>3</v>
      </c>
      <c r="B52" s="87" t="str">
        <f t="shared" si="10"/>
        <v>SECONDARY &gt; 10 kW NCP</v>
      </c>
      <c r="C52" s="157" t="str">
        <f t="shared" si="10"/>
        <v>SEC</v>
      </c>
      <c r="D52" s="177" cm="1">
        <f t="array" ref="D52">SUMPRODUCT((H_Rate_Class=$B52)*[5]Customer!D$129:D$238)</f>
        <v>1226.9999999999991</v>
      </c>
      <c r="E52" s="177" cm="1">
        <f t="array" ref="E52">SUMPRODUCT((H_Rate_Class=$B52)*[5]Customer!E$129:E$238)</f>
        <v>1395.9999999999977</v>
      </c>
      <c r="F52" s="177" cm="1">
        <f t="array" ref="F52">SUMPRODUCT((H_Rate_Class=$B52)*[5]Customer!F$129:F$238)</f>
        <v>1273.0000000000005</v>
      </c>
      <c r="G52" s="177" cm="1">
        <f t="array" ref="G52">SUMPRODUCT((H_Rate_Class=$B52)*[5]Customer!G$129:G$238)</f>
        <v>214.99999999999903</v>
      </c>
      <c r="H52" s="177" cm="1">
        <f t="array" ref="H52">SUMPRODUCT((H_Rate_Class=$B52)*[5]Customer!H$129:H$238)</f>
        <v>-271.00000000000091</v>
      </c>
      <c r="I52" s="177" cm="1">
        <f t="array" ref="I52">SUMPRODUCT((H_Rate_Class=$B52)*[5]Customer!I$129:I$238)</f>
        <v>-302.99999999999784</v>
      </c>
      <c r="J52" s="177" cm="1">
        <f t="array" ref="J52">SUMPRODUCT((H_Rate_Class=$B52)*[5]Customer!J$129:J$238)</f>
        <v>249.00000000000074</v>
      </c>
      <c r="K52" s="177" cm="1">
        <f t="array" ref="K52">SUMPRODUCT((H_Rate_Class=$B52)*[5]Customer!K$129:K$238)</f>
        <v>206.00000000000421</v>
      </c>
      <c r="L52" s="177" cm="1">
        <f t="array" ref="L52">SUMPRODUCT((H_Rate_Class=$B52)*[5]Customer!L$129:L$238)</f>
        <v>118.99999999999991</v>
      </c>
      <c r="M52" s="177" cm="1">
        <f t="array" ref="M52">SUMPRODUCT((H_Rate_Class=$B52)*[5]Customer!M$129:M$238)</f>
        <v>56.99999999999617</v>
      </c>
      <c r="N52" s="177" cm="1">
        <f t="array" ref="N52">SUMPRODUCT((H_Rate_Class=$B52)*[5]Customer!N$129:N$238)</f>
        <v>-129.00000000000352</v>
      </c>
      <c r="O52" s="177" cm="1">
        <f t="array" ref="O52">SUMPRODUCT((H_Rate_Class=$B52)*[5]Customer!O$129:O$238)</f>
        <v>0</v>
      </c>
      <c r="P52" s="312">
        <f t="shared" si="9"/>
        <v>4038.9999999999955</v>
      </c>
      <c r="Q52" s="312">
        <f>P52/12</f>
        <v>336.58333333333297</v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</row>
    <row r="53" spans="1:144" s="4" customFormat="1" ht="11.25">
      <c r="A53" s="386">
        <f t="shared" ref="A53:C53" si="11">A19</f>
        <v>4</v>
      </c>
      <c r="B53" s="87" t="str">
        <f t="shared" si="11"/>
        <v>SECONDARY &gt; 10 kW 4CP</v>
      </c>
      <c r="C53" s="157" t="str">
        <f t="shared" si="11"/>
        <v>SEC</v>
      </c>
      <c r="D53" s="388" cm="1">
        <f t="array" ref="D53">SUMPRODUCT((H_Rate_Class=$B53)*[5]Customer!D$129:D$238)</f>
        <v>20.000000000000007</v>
      </c>
      <c r="E53" s="388" cm="1">
        <f t="array" ref="E53">SUMPRODUCT((H_Rate_Class=$B53)*[5]Customer!E$129:E$238)</f>
        <v>11.999999999999979</v>
      </c>
      <c r="F53" s="388" cm="1">
        <f t="array" ref="F53">SUMPRODUCT((H_Rate_Class=$B53)*[5]Customer!F$129:F$238)</f>
        <v>11</v>
      </c>
      <c r="G53" s="388" cm="1">
        <f t="array" ref="G53">SUMPRODUCT((H_Rate_Class=$B53)*[5]Customer!G$129:G$238)</f>
        <v>11.999999999999979</v>
      </c>
      <c r="H53" s="388" cm="1">
        <f t="array" ref="H53">SUMPRODUCT((H_Rate_Class=$B53)*[5]Customer!H$129:H$238)</f>
        <v>8.0000000000000284</v>
      </c>
      <c r="I53" s="388" cm="1">
        <f t="array" ref="I53">SUMPRODUCT((H_Rate_Class=$B53)*[5]Customer!I$129:I$238)</f>
        <v>5.0000000000000302</v>
      </c>
      <c r="J53" s="388" cm="1">
        <f t="array" ref="J53">SUMPRODUCT((H_Rate_Class=$B53)*[5]Customer!J$129:J$238)</f>
        <v>5.0000000000000009</v>
      </c>
      <c r="K53" s="388" cm="1">
        <f t="array" ref="K53">SUMPRODUCT((H_Rate_Class=$B53)*[5]Customer!K$129:K$238)</f>
        <v>2.000000000000024</v>
      </c>
      <c r="L53" s="388" cm="1">
        <f t="array" ref="L53">SUMPRODUCT((H_Rate_Class=$B53)*[5]Customer!L$129:L$238)</f>
        <v>-4.0000000000000142</v>
      </c>
      <c r="M53" s="388" cm="1">
        <f t="array" ref="M53">SUMPRODUCT((H_Rate_Class=$B53)*[5]Customer!M$129:M$238)</f>
        <v>-1.0000000000000138</v>
      </c>
      <c r="N53" s="388" cm="1">
        <f t="array" ref="N53">SUMPRODUCT((H_Rate_Class=$B53)*[5]Customer!N$129:N$238)</f>
        <v>-6.0000000000000266</v>
      </c>
      <c r="O53" s="388" cm="1">
        <f t="array" ref="O53">SUMPRODUCT((H_Rate_Class=$B53)*[5]Customer!O$129:O$238)</f>
        <v>0</v>
      </c>
      <c r="P53" s="389">
        <f t="shared" si="9"/>
        <v>64</v>
      </c>
      <c r="Q53" s="389">
        <f>P53/12</f>
        <v>5.333333333333333</v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</row>
    <row r="54" spans="1:144" s="4" customFormat="1" ht="11.25">
      <c r="A54" s="386">
        <f t="shared" ref="A54:B54" si="12">A20</f>
        <v>5</v>
      </c>
      <c r="B54" s="131" t="str">
        <f t="shared" si="12"/>
        <v>TOTAL SECONDARY &gt; 10 kW</v>
      </c>
      <c r="C54" s="99"/>
      <c r="D54" s="312">
        <f>SUM(D52:D53)</f>
        <v>1246.9999999999991</v>
      </c>
      <c r="E54" s="312">
        <f t="shared" ref="E54:O54" si="13">SUM(E52:E53)</f>
        <v>1407.9999999999977</v>
      </c>
      <c r="F54" s="312">
        <f t="shared" si="13"/>
        <v>1284.0000000000005</v>
      </c>
      <c r="G54" s="312">
        <f t="shared" si="13"/>
        <v>226.99999999999901</v>
      </c>
      <c r="H54" s="312">
        <f t="shared" si="13"/>
        <v>-263.00000000000091</v>
      </c>
      <c r="I54" s="312">
        <f t="shared" si="13"/>
        <v>-297.99999999999778</v>
      </c>
      <c r="J54" s="312">
        <f t="shared" si="13"/>
        <v>254.00000000000074</v>
      </c>
      <c r="K54" s="312">
        <f t="shared" si="13"/>
        <v>208.00000000000423</v>
      </c>
      <c r="L54" s="312">
        <f t="shared" si="13"/>
        <v>114.9999999999999</v>
      </c>
      <c r="M54" s="312">
        <f t="shared" si="13"/>
        <v>55.999999999996156</v>
      </c>
      <c r="N54" s="312">
        <f t="shared" si="13"/>
        <v>-135.00000000000355</v>
      </c>
      <c r="O54" s="312">
        <f t="shared" si="13"/>
        <v>0</v>
      </c>
      <c r="P54" s="312">
        <f t="shared" si="9"/>
        <v>4102.9999999999955</v>
      </c>
      <c r="Q54" s="312">
        <f>SUM(Q52:Q53)</f>
        <v>341.91666666666629</v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</row>
    <row r="55" spans="1:144" s="4" customFormat="1" ht="11.25">
      <c r="B55" s="147"/>
      <c r="C55" s="99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312"/>
      <c r="Q55" s="312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</row>
    <row r="56" spans="1:144" s="4" customFormat="1" ht="11.25">
      <c r="A56" s="386">
        <f t="shared" ref="A56:C56" si="14">A22</f>
        <v>6</v>
      </c>
      <c r="B56" s="87" t="str">
        <f t="shared" si="14"/>
        <v>PRIMARY NCP</v>
      </c>
      <c r="C56" s="157" t="str">
        <f t="shared" si="14"/>
        <v>PRI</v>
      </c>
      <c r="D56" s="177" cm="1">
        <f t="array" ref="D56">SUMPRODUCT((H_Rate_Class=$B56)*[5]Customer!D$129:D$238)</f>
        <v>-3.0642155479654321E-14</v>
      </c>
      <c r="E56" s="177" cm="1">
        <f t="array" ref="E56">SUMPRODUCT((H_Rate_Class=$B56)*[5]Customer!E$129:E$238)</f>
        <v>-3.0642155479654321E-14</v>
      </c>
      <c r="F56" s="177" cm="1">
        <f t="array" ref="F56">SUMPRODUCT((H_Rate_Class=$B56)*[5]Customer!F$129:F$238)</f>
        <v>-3.0642155479654321E-14</v>
      </c>
      <c r="G56" s="177" cm="1">
        <f t="array" ref="G56">SUMPRODUCT((H_Rate_Class=$B56)*[5]Customer!G$129:G$238)</f>
        <v>-3.0642155479654321E-14</v>
      </c>
      <c r="H56" s="177" cm="1">
        <f t="array" ref="H56">SUMPRODUCT((H_Rate_Class=$B56)*[5]Customer!H$129:H$238)</f>
        <v>0.99999999999999245</v>
      </c>
      <c r="I56" s="177" cm="1">
        <f t="array" ref="I56">SUMPRODUCT((H_Rate_Class=$B56)*[5]Customer!I$129:I$238)</f>
        <v>1.9999999999999929</v>
      </c>
      <c r="J56" s="177" cm="1">
        <f t="array" ref="J56">SUMPRODUCT((H_Rate_Class=$B56)*[5]Customer!J$129:J$238)</f>
        <v>0</v>
      </c>
      <c r="K56" s="177" cm="1">
        <f t="array" ref="K56">SUMPRODUCT((H_Rate_Class=$B56)*[5]Customer!K$129:K$238)</f>
        <v>-2.000000000000028</v>
      </c>
      <c r="L56" s="177" cm="1">
        <f t="array" ref="L56">SUMPRODUCT((H_Rate_Class=$B56)*[5]Customer!L$129:L$238)</f>
        <v>-3.0000000000000036</v>
      </c>
      <c r="M56" s="177" cm="1">
        <f t="array" ref="M56">SUMPRODUCT((H_Rate_Class=$B56)*[5]Customer!M$129:M$238)</f>
        <v>-3.0000000000000036</v>
      </c>
      <c r="N56" s="177" cm="1">
        <f t="array" ref="N56">SUMPRODUCT((H_Rate_Class=$B56)*[5]Customer!N$129:N$238)</f>
        <v>0.9999999999999698</v>
      </c>
      <c r="O56" s="177" cm="1">
        <f t="array" ref="O56">SUMPRODUCT((H_Rate_Class=$B56)*[5]Customer!O$129:O$238)</f>
        <v>0</v>
      </c>
      <c r="P56" s="312">
        <f t="shared" si="9"/>
        <v>-4.0000000000002025</v>
      </c>
      <c r="Q56" s="312">
        <f>P56/12</f>
        <v>-0.33333333333335019</v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</row>
    <row r="57" spans="1:144" s="87" customFormat="1" ht="11.25">
      <c r="A57" s="386">
        <f t="shared" ref="A57:C57" si="15">A23</f>
        <v>7</v>
      </c>
      <c r="B57" s="87" t="str">
        <f t="shared" si="15"/>
        <v>PRIMARY 4CP</v>
      </c>
      <c r="C57" s="157" t="str">
        <f t="shared" si="15"/>
        <v>PRI</v>
      </c>
      <c r="D57" s="390" cm="1">
        <f t="array" ref="D57">SUMPRODUCT((H_Rate_Class=$B57)*[5]Customer!D$129:D$238)</f>
        <v>9.9999999999999645</v>
      </c>
      <c r="E57" s="390" cm="1">
        <f t="array" ref="E57">SUMPRODUCT((H_Rate_Class=$B57)*[5]Customer!E$129:E$238)</f>
        <v>-3.0000000000000382</v>
      </c>
      <c r="F57" s="390" cm="1">
        <f t="array" ref="F57">SUMPRODUCT((H_Rate_Class=$B57)*[5]Customer!F$129:F$238)</f>
        <v>-8.0000000000000195</v>
      </c>
      <c r="G57" s="390" cm="1">
        <f t="array" ref="G57">SUMPRODUCT((H_Rate_Class=$B57)*[5]Customer!G$129:G$238)</f>
        <v>-4.0000000000000178</v>
      </c>
      <c r="H57" s="390" cm="1">
        <f t="array" ref="H57">SUMPRODUCT((H_Rate_Class=$B57)*[5]Customer!H$129:H$238)</f>
        <v>-11.999999999999991</v>
      </c>
      <c r="I57" s="390" cm="1">
        <f t="array" ref="I57">SUMPRODUCT((H_Rate_Class=$B57)*[5]Customer!I$129:I$238)</f>
        <v>-5.9999999999999964</v>
      </c>
      <c r="J57" s="390" cm="1">
        <f t="array" ref="J57">SUMPRODUCT((H_Rate_Class=$B57)*[5]Customer!J$129:J$238)</f>
        <v>-1.9999999999999996</v>
      </c>
      <c r="K57" s="390" cm="1">
        <f t="array" ref="K57">SUMPRODUCT((H_Rate_Class=$B57)*[5]Customer!K$129:K$238)</f>
        <v>-15.999999999999975</v>
      </c>
      <c r="L57" s="390" cm="1">
        <f t="array" ref="L57">SUMPRODUCT((H_Rate_Class=$B57)*[5]Customer!L$129:L$238)</f>
        <v>-11.999999999999973</v>
      </c>
      <c r="M57" s="390" cm="1">
        <f t="array" ref="M57">SUMPRODUCT((H_Rate_Class=$B57)*[5]Customer!M$129:M$238)</f>
        <v>-3.9999999999999964</v>
      </c>
      <c r="N57" s="390" cm="1">
        <f t="array" ref="N57">SUMPRODUCT((H_Rate_Class=$B57)*[5]Customer!N$129:N$238)</f>
        <v>-16.000000000000028</v>
      </c>
      <c r="O57" s="390" cm="1">
        <f t="array" ref="O57">SUMPRODUCT((H_Rate_Class=$B57)*[5]Customer!O$129:O$238)</f>
        <v>0</v>
      </c>
      <c r="P57" s="312">
        <f t="shared" si="9"/>
        <v>-73.000000000000071</v>
      </c>
      <c r="Q57" s="312">
        <f>P57/12</f>
        <v>-6.0833333333333393</v>
      </c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  <c r="BE57" s="89"/>
      <c r="BF57" s="89"/>
      <c r="BG57" s="89"/>
      <c r="BH57" s="89"/>
      <c r="BI57" s="89"/>
      <c r="BJ57" s="89"/>
      <c r="BK57" s="89"/>
      <c r="BL57" s="89"/>
      <c r="BM57" s="89"/>
      <c r="BN57" s="89"/>
      <c r="BO57" s="89"/>
      <c r="BP57" s="89"/>
      <c r="BQ57" s="89"/>
      <c r="BR57" s="89"/>
      <c r="BS57" s="89"/>
      <c r="BT57" s="89"/>
      <c r="BU57" s="89"/>
      <c r="BV57" s="89"/>
      <c r="BW57" s="89"/>
      <c r="BX57" s="89"/>
      <c r="BY57" s="89"/>
      <c r="BZ57" s="89"/>
      <c r="CA57" s="89"/>
      <c r="CB57" s="89"/>
      <c r="CC57" s="89"/>
      <c r="CD57" s="89"/>
      <c r="CE57" s="89"/>
      <c r="CF57" s="89"/>
      <c r="CG57" s="89"/>
      <c r="CH57" s="89"/>
      <c r="CI57" s="89"/>
      <c r="CJ57" s="89"/>
      <c r="CK57" s="89"/>
      <c r="CL57" s="89"/>
      <c r="CM57" s="89"/>
      <c r="CN57" s="89"/>
      <c r="CO57" s="89"/>
      <c r="CP57" s="89"/>
      <c r="CQ57" s="89"/>
      <c r="CR57" s="89"/>
      <c r="CS57" s="89"/>
      <c r="CT57" s="89"/>
      <c r="CU57" s="89"/>
      <c r="CV57" s="89"/>
      <c r="CW57" s="89"/>
      <c r="CX57" s="89"/>
      <c r="CY57" s="89"/>
      <c r="CZ57" s="89"/>
      <c r="DA57" s="89"/>
      <c r="DB57" s="89"/>
      <c r="DC57" s="89"/>
      <c r="DD57" s="89"/>
      <c r="DE57" s="89"/>
      <c r="DF57" s="89"/>
      <c r="DG57" s="89"/>
      <c r="DH57" s="89"/>
      <c r="DI57" s="89"/>
      <c r="DJ57" s="89"/>
      <c r="DK57" s="89"/>
      <c r="DL57" s="89"/>
      <c r="DM57" s="89"/>
      <c r="DN57" s="89"/>
      <c r="DO57" s="89"/>
      <c r="DP57" s="89"/>
      <c r="DQ57" s="89"/>
      <c r="DR57" s="89"/>
      <c r="DS57" s="89"/>
      <c r="DT57" s="89"/>
      <c r="DU57" s="89"/>
      <c r="DV57" s="89"/>
      <c r="DW57" s="89"/>
      <c r="DX57" s="89"/>
      <c r="DY57" s="89"/>
      <c r="DZ57" s="89"/>
      <c r="EA57" s="89"/>
      <c r="EB57" s="89"/>
      <c r="EC57" s="89"/>
      <c r="ED57" s="89"/>
      <c r="EE57" s="89"/>
      <c r="EF57" s="89"/>
      <c r="EG57" s="89"/>
      <c r="EH57" s="89"/>
      <c r="EI57" s="89"/>
      <c r="EJ57" s="89"/>
      <c r="EK57" s="89"/>
      <c r="EL57" s="89"/>
      <c r="EM57" s="89"/>
      <c r="EN57" s="89"/>
    </row>
    <row r="58" spans="1:144" s="87" customFormat="1" ht="11.25">
      <c r="A58" s="386">
        <f t="shared" ref="A58:C58" si="16">A24</f>
        <v>8</v>
      </c>
      <c r="B58" s="87" t="str">
        <f t="shared" si="16"/>
        <v>PRIMARY SUB NCP</v>
      </c>
      <c r="C58" s="157" t="str">
        <f t="shared" si="16"/>
        <v>PRI</v>
      </c>
      <c r="D58" s="390" cm="1">
        <f t="array" ref="D58">SUMPRODUCT((H_Rate_Class=$B58)*[5]Customer!D$129:D$238)</f>
        <v>0</v>
      </c>
      <c r="E58" s="390" cm="1">
        <f t="array" ref="E58">SUMPRODUCT((H_Rate_Class=$B58)*[5]Customer!E$129:E$238)</f>
        <v>0</v>
      </c>
      <c r="F58" s="390" cm="1">
        <f t="array" ref="F58">SUMPRODUCT((H_Rate_Class=$B58)*[5]Customer!F$129:F$238)</f>
        <v>0</v>
      </c>
      <c r="G58" s="390" cm="1">
        <f t="array" ref="G58">SUMPRODUCT((H_Rate_Class=$B58)*[5]Customer!G$129:G$238)</f>
        <v>0</v>
      </c>
      <c r="H58" s="390" cm="1">
        <f t="array" ref="H58">SUMPRODUCT((H_Rate_Class=$B58)*[5]Customer!H$129:H$238)</f>
        <v>0</v>
      </c>
      <c r="I58" s="390" cm="1">
        <f t="array" ref="I58">SUMPRODUCT((H_Rate_Class=$B58)*[5]Customer!I$129:I$238)</f>
        <v>0</v>
      </c>
      <c r="J58" s="390" cm="1">
        <f t="array" ref="J58">SUMPRODUCT((H_Rate_Class=$B58)*[5]Customer!J$129:J$238)</f>
        <v>0</v>
      </c>
      <c r="K58" s="390" cm="1">
        <f t="array" ref="K58">SUMPRODUCT((H_Rate_Class=$B58)*[5]Customer!K$129:K$238)</f>
        <v>0</v>
      </c>
      <c r="L58" s="390" cm="1">
        <f t="array" ref="L58">SUMPRODUCT((H_Rate_Class=$B58)*[5]Customer!L$129:L$238)</f>
        <v>0</v>
      </c>
      <c r="M58" s="390" cm="1">
        <f t="array" ref="M58">SUMPRODUCT((H_Rate_Class=$B58)*[5]Customer!M$129:M$238)</f>
        <v>0</v>
      </c>
      <c r="N58" s="390" cm="1">
        <f t="array" ref="N58">SUMPRODUCT((H_Rate_Class=$B58)*[5]Customer!N$129:N$238)</f>
        <v>0</v>
      </c>
      <c r="O58" s="390" cm="1">
        <f t="array" ref="O58">SUMPRODUCT((H_Rate_Class=$B58)*[5]Customer!O$129:O$238)</f>
        <v>0</v>
      </c>
      <c r="P58" s="312">
        <f t="shared" si="9"/>
        <v>0</v>
      </c>
      <c r="Q58" s="312">
        <f t="shared" ref="Q58:Q59" si="17">P58/12</f>
        <v>0</v>
      </c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89"/>
      <c r="BH58" s="89"/>
      <c r="BI58" s="89"/>
      <c r="BJ58" s="89"/>
      <c r="BK58" s="89"/>
      <c r="BL58" s="89"/>
      <c r="BM58" s="89"/>
      <c r="BN58" s="89"/>
      <c r="BO58" s="89"/>
      <c r="BP58" s="89"/>
      <c r="BQ58" s="89"/>
      <c r="BR58" s="89"/>
      <c r="BS58" s="89"/>
      <c r="BT58" s="89"/>
      <c r="BU58" s="89"/>
      <c r="BV58" s="89"/>
      <c r="BW58" s="89"/>
      <c r="BX58" s="89"/>
      <c r="BY58" s="89"/>
      <c r="BZ58" s="89"/>
      <c r="CA58" s="89"/>
      <c r="CB58" s="89"/>
      <c r="CC58" s="89"/>
      <c r="CD58" s="89"/>
      <c r="CE58" s="89"/>
      <c r="CF58" s="89"/>
      <c r="CG58" s="89"/>
      <c r="CH58" s="89"/>
      <c r="CI58" s="89"/>
      <c r="CJ58" s="89"/>
      <c r="CK58" s="89"/>
      <c r="CL58" s="89"/>
      <c r="CM58" s="89"/>
      <c r="CN58" s="89"/>
      <c r="CO58" s="89"/>
      <c r="CP58" s="89"/>
      <c r="CQ58" s="89"/>
      <c r="CR58" s="89"/>
      <c r="CS58" s="89"/>
      <c r="CT58" s="89"/>
      <c r="CU58" s="89"/>
      <c r="CV58" s="89"/>
      <c r="CW58" s="89"/>
      <c r="CX58" s="89"/>
      <c r="CY58" s="89"/>
      <c r="CZ58" s="89"/>
      <c r="DA58" s="89"/>
      <c r="DB58" s="89"/>
      <c r="DC58" s="89"/>
      <c r="DD58" s="89"/>
      <c r="DE58" s="89"/>
      <c r="DF58" s="89"/>
      <c r="DG58" s="89"/>
      <c r="DH58" s="89"/>
      <c r="DI58" s="89"/>
      <c r="DJ58" s="89"/>
      <c r="DK58" s="89"/>
      <c r="DL58" s="89"/>
      <c r="DM58" s="89"/>
      <c r="DN58" s="89"/>
      <c r="DO58" s="89"/>
      <c r="DP58" s="89"/>
      <c r="DQ58" s="89"/>
      <c r="DR58" s="89"/>
      <c r="DS58" s="89"/>
      <c r="DT58" s="89"/>
      <c r="DU58" s="89"/>
      <c r="DV58" s="89"/>
      <c r="DW58" s="89"/>
      <c r="DX58" s="89"/>
      <c r="DY58" s="89"/>
      <c r="DZ58" s="89"/>
      <c r="EA58" s="89"/>
      <c r="EB58" s="89"/>
      <c r="EC58" s="89"/>
      <c r="ED58" s="89"/>
      <c r="EE58" s="89"/>
      <c r="EF58" s="89"/>
      <c r="EG58" s="89"/>
      <c r="EH58" s="89"/>
      <c r="EI58" s="89"/>
      <c r="EJ58" s="89"/>
      <c r="EK58" s="89"/>
      <c r="EL58" s="89"/>
      <c r="EM58" s="89"/>
      <c r="EN58" s="89"/>
    </row>
    <row r="59" spans="1:144" s="87" customFormat="1" ht="11.25">
      <c r="A59" s="386">
        <f t="shared" ref="A59:C59" si="18">A25</f>
        <v>9</v>
      </c>
      <c r="B59" s="87" t="str">
        <f t="shared" si="18"/>
        <v>PRIMARY SUB 4CP</v>
      </c>
      <c r="C59" s="157" t="str">
        <f t="shared" si="18"/>
        <v>PRI</v>
      </c>
      <c r="D59" s="390" cm="1">
        <f t="array" ref="D59">SUMPRODUCT((H_Rate_Class=$B59)*[5]Customer!D$129:D$238)</f>
        <v>0</v>
      </c>
      <c r="E59" s="390" cm="1">
        <f t="array" ref="E59">SUMPRODUCT((H_Rate_Class=$B59)*[5]Customer!E$129:E$238)</f>
        <v>0</v>
      </c>
      <c r="F59" s="390" cm="1">
        <f t="array" ref="F59">SUMPRODUCT((H_Rate_Class=$B59)*[5]Customer!F$129:F$238)</f>
        <v>0</v>
      </c>
      <c r="G59" s="390" cm="1">
        <f t="array" ref="G59">SUMPRODUCT((H_Rate_Class=$B59)*[5]Customer!G$129:G$238)</f>
        <v>0</v>
      </c>
      <c r="H59" s="390" cm="1">
        <f t="array" ref="H59">SUMPRODUCT((H_Rate_Class=$B59)*[5]Customer!H$129:H$238)</f>
        <v>0</v>
      </c>
      <c r="I59" s="390" cm="1">
        <f t="array" ref="I59">SUMPRODUCT((H_Rate_Class=$B59)*[5]Customer!I$129:I$238)</f>
        <v>0</v>
      </c>
      <c r="J59" s="390" cm="1">
        <f t="array" ref="J59">SUMPRODUCT((H_Rate_Class=$B59)*[5]Customer!J$129:J$238)</f>
        <v>0</v>
      </c>
      <c r="K59" s="390" cm="1">
        <f t="array" ref="K59">SUMPRODUCT((H_Rate_Class=$B59)*[5]Customer!K$129:K$238)</f>
        <v>0</v>
      </c>
      <c r="L59" s="390" cm="1">
        <f t="array" ref="L59">SUMPRODUCT((H_Rate_Class=$B59)*[5]Customer!L$129:L$238)</f>
        <v>0</v>
      </c>
      <c r="M59" s="390" cm="1">
        <f t="array" ref="M59">SUMPRODUCT((H_Rate_Class=$B59)*[5]Customer!M$129:M$238)</f>
        <v>0</v>
      </c>
      <c r="N59" s="390" cm="1">
        <f t="array" ref="N59">SUMPRODUCT((H_Rate_Class=$B59)*[5]Customer!N$129:N$238)</f>
        <v>0</v>
      </c>
      <c r="O59" s="390" cm="1">
        <f t="array" ref="O59">SUMPRODUCT((H_Rate_Class=$B59)*[5]Customer!O$129:O$238)</f>
        <v>0</v>
      </c>
      <c r="P59" s="312">
        <f t="shared" si="9"/>
        <v>0</v>
      </c>
      <c r="Q59" s="312">
        <f t="shared" si="17"/>
        <v>0</v>
      </c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  <c r="BE59" s="89"/>
      <c r="BF59" s="89"/>
      <c r="BG59" s="89"/>
      <c r="BH59" s="89"/>
      <c r="BI59" s="89"/>
      <c r="BJ59" s="89"/>
      <c r="BK59" s="89"/>
      <c r="BL59" s="89"/>
      <c r="BM59" s="89"/>
      <c r="BN59" s="89"/>
      <c r="BO59" s="89"/>
      <c r="BP59" s="89"/>
      <c r="BQ59" s="89"/>
      <c r="BR59" s="89"/>
      <c r="BS59" s="89"/>
      <c r="BT59" s="89"/>
      <c r="BU59" s="89"/>
      <c r="BV59" s="89"/>
      <c r="BW59" s="89"/>
      <c r="BX59" s="89"/>
      <c r="BY59" s="89"/>
      <c r="BZ59" s="89"/>
      <c r="CA59" s="89"/>
      <c r="CB59" s="89"/>
      <c r="CC59" s="89"/>
      <c r="CD59" s="89"/>
      <c r="CE59" s="89"/>
      <c r="CF59" s="89"/>
      <c r="CG59" s="89"/>
      <c r="CH59" s="89"/>
      <c r="CI59" s="89"/>
      <c r="CJ59" s="89"/>
      <c r="CK59" s="89"/>
      <c r="CL59" s="89"/>
      <c r="CM59" s="89"/>
      <c r="CN59" s="89"/>
      <c r="CO59" s="89"/>
      <c r="CP59" s="89"/>
      <c r="CQ59" s="89"/>
      <c r="CR59" s="89"/>
      <c r="CS59" s="89"/>
      <c r="CT59" s="89"/>
      <c r="CU59" s="89"/>
      <c r="CV59" s="89"/>
      <c r="CW59" s="89"/>
      <c r="CX59" s="89"/>
      <c r="CY59" s="89"/>
      <c r="CZ59" s="89"/>
      <c r="DA59" s="89"/>
      <c r="DB59" s="89"/>
      <c r="DC59" s="89"/>
      <c r="DD59" s="89"/>
      <c r="DE59" s="89"/>
      <c r="DF59" s="89"/>
      <c r="DG59" s="89"/>
      <c r="DH59" s="89"/>
      <c r="DI59" s="89"/>
      <c r="DJ59" s="89"/>
      <c r="DK59" s="89"/>
      <c r="DL59" s="89"/>
      <c r="DM59" s="89"/>
      <c r="DN59" s="89"/>
      <c r="DO59" s="89"/>
      <c r="DP59" s="89"/>
      <c r="DQ59" s="89"/>
      <c r="DR59" s="89"/>
      <c r="DS59" s="89"/>
      <c r="DT59" s="89"/>
      <c r="DU59" s="89"/>
      <c r="DV59" s="89"/>
      <c r="DW59" s="89"/>
      <c r="DX59" s="89"/>
      <c r="DY59" s="89"/>
      <c r="DZ59" s="89"/>
      <c r="EA59" s="89"/>
      <c r="EB59" s="89"/>
      <c r="EC59" s="89"/>
      <c r="ED59" s="89"/>
      <c r="EE59" s="89"/>
      <c r="EF59" s="89"/>
      <c r="EG59" s="89"/>
      <c r="EH59" s="89"/>
      <c r="EI59" s="89"/>
      <c r="EJ59" s="89"/>
      <c r="EK59" s="89"/>
      <c r="EL59" s="89"/>
      <c r="EM59" s="89"/>
      <c r="EN59" s="89"/>
    </row>
    <row r="60" spans="1:144" s="4" customFormat="1" ht="11.25">
      <c r="A60" s="386">
        <f>A26</f>
        <v>10</v>
      </c>
      <c r="B60" s="87" t="str">
        <f>B26</f>
        <v>TOTAL PRIMARY</v>
      </c>
      <c r="C60" s="157"/>
      <c r="D60" s="391">
        <f>SUM(D56:D59)</f>
        <v>9.9999999999999343</v>
      </c>
      <c r="E60" s="391">
        <f t="shared" ref="E60:O60" si="19">SUM(E56:E59)</f>
        <v>-3.0000000000000688</v>
      </c>
      <c r="F60" s="391">
        <f t="shared" si="19"/>
        <v>-8.0000000000000497</v>
      </c>
      <c r="G60" s="391">
        <f t="shared" si="19"/>
        <v>-4.000000000000048</v>
      </c>
      <c r="H60" s="391">
        <f t="shared" si="19"/>
        <v>-10.999999999999998</v>
      </c>
      <c r="I60" s="391">
        <f t="shared" si="19"/>
        <v>-4.0000000000000036</v>
      </c>
      <c r="J60" s="391">
        <f t="shared" si="19"/>
        <v>-1.9999999999999996</v>
      </c>
      <c r="K60" s="391">
        <f t="shared" si="19"/>
        <v>-18.000000000000004</v>
      </c>
      <c r="L60" s="391">
        <f t="shared" si="19"/>
        <v>-14.999999999999977</v>
      </c>
      <c r="M60" s="391">
        <f t="shared" si="19"/>
        <v>-7</v>
      </c>
      <c r="N60" s="391">
        <f t="shared" si="19"/>
        <v>-15.000000000000059</v>
      </c>
      <c r="O60" s="391">
        <f t="shared" si="19"/>
        <v>0</v>
      </c>
      <c r="P60" s="392">
        <f t="shared" si="9"/>
        <v>-77.000000000000284</v>
      </c>
      <c r="Q60" s="391">
        <f>SUM(Q56:Q59)</f>
        <v>-6.4166666666666892</v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</row>
    <row r="61" spans="1:144" s="4" customFormat="1" ht="11.25">
      <c r="A61" s="386"/>
      <c r="B61" s="87"/>
      <c r="C61" s="15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312"/>
      <c r="Q61" s="312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</row>
    <row r="62" spans="1:144" s="4" customFormat="1" ht="11.25">
      <c r="A62" s="386">
        <f t="shared" ref="A62:C62" si="20">A28</f>
        <v>11</v>
      </c>
      <c r="B62" s="131" t="str">
        <f t="shared" si="20"/>
        <v xml:space="preserve">TRANSMISSION </v>
      </c>
      <c r="C62" s="157" t="str">
        <f t="shared" si="20"/>
        <v>TRA</v>
      </c>
      <c r="D62" s="177" cm="1">
        <f t="array" ref="D62">SUMPRODUCT((H_Rate_Class=$B62)*[5]Customer!D$129:D$238)</f>
        <v>-0.99999999999999933</v>
      </c>
      <c r="E62" s="177" cm="1">
        <f t="array" ref="E62">SUMPRODUCT((H_Rate_Class=$B62)*[5]Customer!E$129:E$238)</f>
        <v>2.0000000000000009</v>
      </c>
      <c r="F62" s="177" cm="1">
        <f t="array" ref="F62">SUMPRODUCT((H_Rate_Class=$B62)*[5]Customer!F$129:F$238)</f>
        <v>4</v>
      </c>
      <c r="G62" s="177" cm="1">
        <f t="array" ref="G62">SUMPRODUCT((H_Rate_Class=$B62)*[5]Customer!G$129:G$238)</f>
        <v>1.0000000000000004</v>
      </c>
      <c r="H62" s="177" cm="1">
        <f t="array" ref="H62">SUMPRODUCT((H_Rate_Class=$B62)*[5]Customer!H$129:H$238)</f>
        <v>0.99999999999999356</v>
      </c>
      <c r="I62" s="177" cm="1">
        <f t="array" ref="I62">SUMPRODUCT((H_Rate_Class=$B62)*[5]Customer!I$129:I$238)</f>
        <v>-0.99999999999999933</v>
      </c>
      <c r="J62" s="177" cm="1">
        <f t="array" ref="J62">SUMPRODUCT((H_Rate_Class=$B62)*[5]Customer!J$129:J$238)</f>
        <v>0.99999999999999356</v>
      </c>
      <c r="K62" s="177" cm="1">
        <f t="array" ref="K62">SUMPRODUCT((H_Rate_Class=$B62)*[5]Customer!K$129:K$238)</f>
        <v>-3.9999999999999964</v>
      </c>
      <c r="L62" s="177" cm="1">
        <f t="array" ref="L62">SUMPRODUCT((H_Rate_Class=$B62)*[5]Customer!L$129:L$238)</f>
        <v>0.99999999999999356</v>
      </c>
      <c r="M62" s="177" cm="1">
        <f t="array" ref="M62">SUMPRODUCT((H_Rate_Class=$B62)*[5]Customer!M$129:M$238)</f>
        <v>-10.000000000000004</v>
      </c>
      <c r="N62" s="177" cm="1">
        <f t="array" ref="N62">SUMPRODUCT((H_Rate_Class=$B62)*[5]Customer!N$129:N$238)</f>
        <v>-8.0000000000000018</v>
      </c>
      <c r="O62" s="177" cm="1">
        <f t="array" ref="O62">SUMPRODUCT((H_Rate_Class=$B62)*[5]Customer!O$129:O$238)</f>
        <v>0</v>
      </c>
      <c r="P62" s="312">
        <f t="shared" si="9"/>
        <v>-14.000000000000018</v>
      </c>
      <c r="Q62" s="312">
        <f>P62/12</f>
        <v>-1.1666666666666681</v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</row>
    <row r="63" spans="1:144" s="4" customFormat="1" ht="11.25">
      <c r="B63" s="87"/>
      <c r="C63" s="99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312"/>
      <c r="Q63" s="312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</row>
    <row r="64" spans="1:144" s="4" customFormat="1" ht="11.25">
      <c r="A64" s="386">
        <f t="shared" ref="A64:C64" si="21">A30</f>
        <v>12</v>
      </c>
      <c r="B64" s="89" t="str">
        <f t="shared" si="21"/>
        <v>LIGHTING</v>
      </c>
      <c r="C64" s="157" t="str">
        <f t="shared" si="21"/>
        <v>SEC</v>
      </c>
      <c r="D64" s="177" cm="1">
        <f t="array" ref="D64">SUMPRODUCT((H_Rate_Class=$B64)*[5]Customer!D$129:D$238)</f>
        <v>-424.00000000000068</v>
      </c>
      <c r="E64" s="177" cm="1">
        <f t="array" ref="E64">SUMPRODUCT((H_Rate_Class=$B64)*[5]Customer!E$129:E$238)</f>
        <v>-1305</v>
      </c>
      <c r="F64" s="177" cm="1">
        <f t="array" ref="F64">SUMPRODUCT((H_Rate_Class=$B64)*[5]Customer!F$129:F$238)</f>
        <v>-421.00000000000011</v>
      </c>
      <c r="G64" s="177" cm="1">
        <f t="array" ref="G64">SUMPRODUCT((H_Rate_Class=$B64)*[5]Customer!G$129:G$238)</f>
        <v>429.99999999999955</v>
      </c>
      <c r="H64" s="177" cm="1">
        <f t="array" ref="H64">SUMPRODUCT((H_Rate_Class=$B64)*[5]Customer!H$129:H$238)</f>
        <v>-1775.9999999999995</v>
      </c>
      <c r="I64" s="177" cm="1">
        <f t="array" ref="I64">SUMPRODUCT((H_Rate_Class=$B64)*[5]Customer!I$129:I$238)</f>
        <v>571.00000000000227</v>
      </c>
      <c r="J64" s="177" cm="1">
        <f t="array" ref="J64">SUMPRODUCT((H_Rate_Class=$B64)*[5]Customer!J$129:J$238)</f>
        <v>-334.00000000000063</v>
      </c>
      <c r="K64" s="177" cm="1">
        <f t="array" ref="K64">SUMPRODUCT((H_Rate_Class=$B64)*[5]Customer!K$129:K$238)</f>
        <v>-852.99999999999591</v>
      </c>
      <c r="L64" s="177" cm="1">
        <f t="array" ref="L64">SUMPRODUCT((H_Rate_Class=$B64)*[5]Customer!L$129:L$238)</f>
        <v>-522.00000000000182</v>
      </c>
      <c r="M64" s="177" cm="1">
        <f t="array" ref="M64">SUMPRODUCT((H_Rate_Class=$B64)*[5]Customer!M$129:M$238)</f>
        <v>-1213</v>
      </c>
      <c r="N64" s="177" cm="1">
        <f t="array" ref="N64">SUMPRODUCT((H_Rate_Class=$B64)*[5]Customer!N$129:N$238)</f>
        <v>-423.99999999999665</v>
      </c>
      <c r="O64" s="177" cm="1">
        <f t="array" ref="O64">SUMPRODUCT((H_Rate_Class=$B64)*[5]Customer!O$129:O$238)</f>
        <v>0</v>
      </c>
      <c r="P64" s="312">
        <f t="shared" si="9"/>
        <v>-6270.9999999999927</v>
      </c>
      <c r="Q64" s="312">
        <f>P64/12</f>
        <v>-522.58333333333269</v>
      </c>
      <c r="R64" s="89"/>
      <c r="S64" s="89"/>
      <c r="T64" s="89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</row>
    <row r="65" spans="1:144" s="4" customFormat="1" ht="11.25">
      <c r="A65" s="386"/>
      <c r="B65" s="87"/>
      <c r="C65" s="99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312"/>
      <c r="Q65" s="312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</row>
    <row r="66" spans="1:144" s="4" customFormat="1" ht="11.25">
      <c r="A66" s="386">
        <f t="shared" ref="A66:B66" si="22">A32</f>
        <v>13</v>
      </c>
      <c r="B66" s="393" t="str">
        <f t="shared" si="22"/>
        <v>TOTAL RETAIL</v>
      </c>
      <c r="C66" s="362"/>
      <c r="D66" s="394">
        <f>D64+D62+D60+D54+D50+D48</f>
        <v>18944.999999999975</v>
      </c>
      <c r="E66" s="394">
        <f t="shared" ref="E66:O66" si="23">E64+E62+E60+E54+E50+E48</f>
        <v>16739.999999999945</v>
      </c>
      <c r="F66" s="394">
        <f t="shared" si="23"/>
        <v>16732.999999999964</v>
      </c>
      <c r="G66" s="394">
        <f t="shared" si="23"/>
        <v>16523.000000000051</v>
      </c>
      <c r="H66" s="394">
        <f t="shared" si="23"/>
        <v>12931.999999999945</v>
      </c>
      <c r="I66" s="394">
        <f t="shared" si="23"/>
        <v>13926.999999999913</v>
      </c>
      <c r="J66" s="394">
        <f t="shared" si="23"/>
        <v>10938.999999999902</v>
      </c>
      <c r="K66" s="394">
        <f t="shared" si="23"/>
        <v>5419.9999999999263</v>
      </c>
      <c r="L66" s="394">
        <f t="shared" si="23"/>
        <v>2983.0000000000891</v>
      </c>
      <c r="M66" s="394">
        <f t="shared" si="23"/>
        <v>-746.99999999998715</v>
      </c>
      <c r="N66" s="394">
        <f>N64+N62+N60+N54+N50+N153+N48</f>
        <v>-1331.0007024959459</v>
      </c>
      <c r="O66" s="394">
        <f t="shared" si="23"/>
        <v>0</v>
      </c>
      <c r="P66" s="395">
        <f t="shared" si="9"/>
        <v>113063.99929750377</v>
      </c>
      <c r="Q66" s="395">
        <f>P66/12</f>
        <v>9421.9999414586473</v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</row>
    <row r="67" spans="1:144" s="4" customFormat="1" ht="11.25">
      <c r="B67" s="362"/>
      <c r="C67" s="362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312"/>
      <c r="Q67" s="312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</row>
    <row r="68" spans="1:144" s="4" customFormat="1" ht="11.25">
      <c r="A68" s="386">
        <f t="shared" ref="A68:C68" si="24">A34</f>
        <v>14</v>
      </c>
      <c r="B68" s="89" t="str">
        <f t="shared" si="24"/>
        <v>WHOLESALE PRI</v>
      </c>
      <c r="C68" s="157" t="str">
        <f t="shared" si="24"/>
        <v>PRI</v>
      </c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312"/>
      <c r="Q68" s="312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</row>
    <row r="69" spans="1:144" s="4" customFormat="1" ht="11.25">
      <c r="A69" s="386">
        <f t="shared" ref="A69:C69" si="25">A35</f>
        <v>15</v>
      </c>
      <c r="B69" s="89" t="str">
        <f t="shared" si="25"/>
        <v>WHOLESALE TRANS</v>
      </c>
      <c r="C69" s="157" t="str">
        <f t="shared" si="25"/>
        <v>TRA</v>
      </c>
      <c r="D69" s="388"/>
      <c r="E69" s="388"/>
      <c r="F69" s="388"/>
      <c r="G69" s="388"/>
      <c r="H69" s="388"/>
      <c r="I69" s="388"/>
      <c r="J69" s="388"/>
      <c r="K69" s="388"/>
      <c r="L69" s="388"/>
      <c r="M69" s="388"/>
      <c r="N69" s="388"/>
      <c r="O69" s="388"/>
      <c r="P69" s="389"/>
      <c r="Q69" s="389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</row>
    <row r="70" spans="1:144" s="4" customFormat="1" ht="11.25">
      <c r="A70" s="386">
        <f t="shared" ref="A70:B70" si="26">A36</f>
        <v>16</v>
      </c>
      <c r="B70" s="393" t="str">
        <f t="shared" si="26"/>
        <v>TOTAL WHOLESALE</v>
      </c>
      <c r="C70" s="361"/>
      <c r="D70" s="101">
        <f t="shared" ref="D70:O70" si="27">SUM(D68:D69)</f>
        <v>0</v>
      </c>
      <c r="E70" s="101">
        <f t="shared" si="27"/>
        <v>0</v>
      </c>
      <c r="F70" s="101">
        <f t="shared" si="27"/>
        <v>0</v>
      </c>
      <c r="G70" s="101">
        <f t="shared" si="27"/>
        <v>0</v>
      </c>
      <c r="H70" s="101">
        <f t="shared" si="27"/>
        <v>0</v>
      </c>
      <c r="I70" s="101">
        <f t="shared" si="27"/>
        <v>0</v>
      </c>
      <c r="J70" s="101">
        <f t="shared" si="27"/>
        <v>0</v>
      </c>
      <c r="K70" s="101">
        <f t="shared" si="27"/>
        <v>0</v>
      </c>
      <c r="L70" s="101">
        <f t="shared" si="27"/>
        <v>0</v>
      </c>
      <c r="M70" s="101">
        <f t="shared" si="27"/>
        <v>0</v>
      </c>
      <c r="N70" s="101">
        <f t="shared" si="27"/>
        <v>0</v>
      </c>
      <c r="O70" s="101">
        <f t="shared" si="27"/>
        <v>0</v>
      </c>
      <c r="P70" s="312">
        <f t="shared" si="9"/>
        <v>0</v>
      </c>
      <c r="Q70" s="312">
        <f>P70/12</f>
        <v>0</v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</row>
    <row r="71" spans="1:144" s="4" customFormat="1" ht="11.25">
      <c r="A71" s="386"/>
      <c r="B71" s="87"/>
      <c r="C71" s="396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312"/>
      <c r="Q71" s="312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</row>
    <row r="72" spans="1:144" s="4" customFormat="1" ht="12" thickBot="1">
      <c r="A72" s="386">
        <f>A38</f>
        <v>17</v>
      </c>
      <c r="B72" s="147" t="str">
        <f>B38</f>
        <v>TOTAL AEP TEXAS</v>
      </c>
      <c r="C72" s="361"/>
      <c r="D72" s="397">
        <f t="shared" ref="D72:O72" si="28">+D70+D66</f>
        <v>18944.999999999975</v>
      </c>
      <c r="E72" s="397">
        <f t="shared" si="28"/>
        <v>16739.999999999945</v>
      </c>
      <c r="F72" s="397">
        <f t="shared" si="28"/>
        <v>16732.999999999964</v>
      </c>
      <c r="G72" s="397">
        <f t="shared" si="28"/>
        <v>16523.000000000051</v>
      </c>
      <c r="H72" s="397">
        <f t="shared" si="28"/>
        <v>12931.999999999945</v>
      </c>
      <c r="I72" s="397">
        <f t="shared" si="28"/>
        <v>13926.999999999913</v>
      </c>
      <c r="J72" s="397">
        <f t="shared" si="28"/>
        <v>10938.999999999902</v>
      </c>
      <c r="K72" s="397">
        <f t="shared" si="28"/>
        <v>5419.9999999999263</v>
      </c>
      <c r="L72" s="397">
        <f t="shared" si="28"/>
        <v>2983.0000000000891</v>
      </c>
      <c r="M72" s="397">
        <f t="shared" si="28"/>
        <v>-746.99999999998715</v>
      </c>
      <c r="N72" s="397">
        <f t="shared" si="28"/>
        <v>-1331.0007024959459</v>
      </c>
      <c r="O72" s="397">
        <f t="shared" si="28"/>
        <v>0</v>
      </c>
      <c r="P72" s="398">
        <f t="shared" si="9"/>
        <v>113063.99929750377</v>
      </c>
      <c r="Q72" s="398">
        <f>P72/12</f>
        <v>9421.9999414586473</v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</row>
    <row r="73" spans="1:144" ht="13.5" thickTop="1">
      <c r="A73" s="120"/>
      <c r="B73" s="87"/>
      <c r="C73" s="99"/>
      <c r="D73" s="408"/>
      <c r="E73" s="408"/>
      <c r="F73" s="408"/>
      <c r="G73" s="408"/>
      <c r="H73" s="408"/>
      <c r="I73" s="408"/>
      <c r="J73" s="408"/>
      <c r="K73" s="408"/>
      <c r="L73" s="408"/>
      <c r="M73" s="408"/>
      <c r="N73" s="408"/>
      <c r="O73" s="408"/>
      <c r="P73" s="408"/>
      <c r="Q73" s="409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</row>
    <row r="74" spans="1:144">
      <c r="A74" s="4"/>
      <c r="B74" s="87" t="str">
        <f>+B39</f>
        <v>Note: Secondary &lt; 10 kW includes Unmetered service; Lighting customers are fixture counts.</v>
      </c>
      <c r="C74" s="105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399"/>
      <c r="Q74" s="400"/>
      <c r="R74" s="401"/>
      <c r="S74" s="401"/>
      <c r="T74" s="401"/>
      <c r="U74" s="401"/>
      <c r="V74" s="401"/>
      <c r="W74" s="401"/>
      <c r="X74" s="401"/>
      <c r="Y74" s="401"/>
      <c r="Z74" s="401"/>
      <c r="AA74" s="401"/>
      <c r="AB74" s="401"/>
      <c r="AC74" s="401"/>
      <c r="AD74" s="401"/>
      <c r="AE74" s="401"/>
      <c r="AF74" s="401"/>
      <c r="AG74" s="401"/>
      <c r="AH74" s="401"/>
      <c r="AI74" s="401"/>
      <c r="AJ74" s="401"/>
      <c r="AK74" s="401"/>
      <c r="AL74" s="401"/>
      <c r="AM74" s="401"/>
      <c r="AN74" s="401"/>
      <c r="AO74" s="401"/>
      <c r="AP74" s="401"/>
      <c r="AQ74" s="401"/>
      <c r="AR74" s="401"/>
      <c r="AS74" s="401"/>
      <c r="AT74" s="401"/>
      <c r="AU74" s="401"/>
      <c r="AV74" s="401"/>
      <c r="AW74" s="401"/>
      <c r="AX74" s="401"/>
      <c r="AY74" s="401"/>
      <c r="AZ74" s="401"/>
      <c r="BA74" s="401"/>
      <c r="BB74" s="401"/>
      <c r="BC74" s="401"/>
      <c r="BD74" s="401"/>
      <c r="BE74" s="401"/>
      <c r="BF74" s="401"/>
      <c r="BG74" s="401"/>
    </row>
    <row r="75" spans="1:144">
      <c r="B75" s="87"/>
      <c r="C75" s="105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399"/>
      <c r="Q75" s="400"/>
      <c r="R75" s="401"/>
      <c r="S75" s="401"/>
      <c r="T75" s="401"/>
      <c r="U75" s="401"/>
      <c r="V75" s="401"/>
      <c r="W75" s="401"/>
      <c r="X75" s="401"/>
      <c r="Y75" s="401"/>
      <c r="Z75" s="401"/>
      <c r="AA75" s="401"/>
      <c r="AB75" s="401"/>
      <c r="AC75" s="401"/>
      <c r="AD75" s="401"/>
      <c r="AE75" s="401"/>
      <c r="AF75" s="401"/>
      <c r="AG75" s="401"/>
      <c r="AH75" s="401"/>
      <c r="AI75" s="401"/>
      <c r="AJ75" s="401"/>
      <c r="AK75" s="401"/>
      <c r="AL75" s="401"/>
      <c r="AM75" s="401"/>
      <c r="AN75" s="401"/>
      <c r="AO75" s="401"/>
      <c r="AP75" s="401"/>
      <c r="AQ75" s="401"/>
      <c r="AR75" s="401"/>
      <c r="AS75" s="401"/>
      <c r="AT75" s="401"/>
      <c r="AU75" s="401"/>
      <c r="AV75" s="401"/>
      <c r="AW75" s="401"/>
      <c r="AX75" s="401"/>
      <c r="AY75" s="401"/>
      <c r="AZ75" s="401"/>
      <c r="BA75" s="401"/>
      <c r="BB75" s="401"/>
      <c r="BC75" s="401"/>
      <c r="BD75" s="401"/>
      <c r="BE75" s="401"/>
      <c r="BF75" s="401"/>
      <c r="BG75" s="401"/>
    </row>
    <row r="76" spans="1:144">
      <c r="B76" s="371" t="str">
        <f>+B41</f>
        <v>AEP TEXAS</v>
      </c>
      <c r="C76" s="371"/>
      <c r="D76" s="371"/>
      <c r="E76" s="371"/>
      <c r="F76" s="371"/>
      <c r="G76" s="371"/>
      <c r="H76" s="371"/>
      <c r="I76" s="371"/>
      <c r="J76" s="371"/>
      <c r="K76" s="371"/>
      <c r="L76" s="371"/>
      <c r="M76" s="371"/>
      <c r="N76" s="371"/>
      <c r="O76" s="371"/>
      <c r="P76" s="371"/>
      <c r="Q76" s="371"/>
    </row>
    <row r="77" spans="1:144">
      <c r="B77" s="371" t="s">
        <v>48</v>
      </c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</row>
    <row r="78" spans="1:144">
      <c r="B78" s="371" t="str">
        <f>B9</f>
        <v>FOR TEST YEAR ENDED SEPTEMBER 30, 2023</v>
      </c>
      <c r="C78" s="371"/>
      <c r="D78" s="371"/>
      <c r="E78" s="371"/>
      <c r="F78" s="371"/>
      <c r="G78" s="371"/>
      <c r="H78" s="371"/>
      <c r="I78" s="371"/>
      <c r="J78" s="371"/>
      <c r="K78" s="371"/>
      <c r="L78" s="371"/>
      <c r="M78" s="371"/>
      <c r="N78" s="371"/>
      <c r="O78" s="371"/>
      <c r="P78" s="371"/>
      <c r="Q78" s="371"/>
    </row>
    <row r="79" spans="1:144">
      <c r="B79" s="131"/>
      <c r="C79" s="80"/>
      <c r="D79" s="402"/>
      <c r="E79" s="402"/>
      <c r="F79" s="402"/>
      <c r="G79" s="402"/>
      <c r="H79" s="402"/>
      <c r="I79" s="402"/>
      <c r="J79" s="402"/>
      <c r="K79" s="402"/>
      <c r="L79" s="402"/>
      <c r="M79" s="402"/>
      <c r="N79" s="402"/>
      <c r="O79" s="402"/>
      <c r="P79" s="402"/>
      <c r="Q79" s="403"/>
    </row>
    <row r="80" spans="1:144">
      <c r="B80" s="147"/>
      <c r="C80" s="87"/>
      <c r="D80" s="404">
        <f>D45</f>
        <v>0</v>
      </c>
      <c r="E80" s="405"/>
      <c r="F80" s="405"/>
      <c r="G80" s="404">
        <f>G45</f>
        <v>0</v>
      </c>
      <c r="H80" s="405"/>
      <c r="I80" s="405"/>
      <c r="J80" s="177"/>
      <c r="K80" s="405"/>
      <c r="L80" s="405"/>
      <c r="M80" s="405"/>
      <c r="N80" s="405"/>
      <c r="O80" s="405"/>
      <c r="P80" s="405"/>
      <c r="Q80" s="403"/>
    </row>
    <row r="81" spans="1:144">
      <c r="A81" s="10" t="s">
        <v>8</v>
      </c>
      <c r="B81" s="361" t="s">
        <v>0</v>
      </c>
      <c r="C81" s="361" t="s">
        <v>7</v>
      </c>
      <c r="D81" s="406" t="str">
        <f t="shared" ref="D81:O81" si="29">+D46</f>
        <v>Oct-22</v>
      </c>
      <c r="E81" s="406" t="str">
        <f t="shared" si="29"/>
        <v>Nov-22</v>
      </c>
      <c r="F81" s="406" t="str">
        <f t="shared" si="29"/>
        <v>Dec-22</v>
      </c>
      <c r="G81" s="406" t="str">
        <f t="shared" si="29"/>
        <v>Jan-23</v>
      </c>
      <c r="H81" s="406" t="str">
        <f t="shared" si="29"/>
        <v>Feb-23</v>
      </c>
      <c r="I81" s="406" t="str">
        <f t="shared" si="29"/>
        <v>Mar-23</v>
      </c>
      <c r="J81" s="406" t="str">
        <f t="shared" si="29"/>
        <v>Apr-23</v>
      </c>
      <c r="K81" s="406" t="str">
        <f t="shared" si="29"/>
        <v>May-23</v>
      </c>
      <c r="L81" s="406" t="str">
        <f t="shared" si="29"/>
        <v>Jun-23</v>
      </c>
      <c r="M81" s="406" t="str">
        <f t="shared" si="29"/>
        <v>Jul-23</v>
      </c>
      <c r="N81" s="406" t="str">
        <f t="shared" si="29"/>
        <v>Aug-23</v>
      </c>
      <c r="O81" s="406" t="str">
        <f t="shared" si="29"/>
        <v>Sep-23</v>
      </c>
      <c r="P81" s="406" t="s">
        <v>2</v>
      </c>
      <c r="Q81" s="407" t="s">
        <v>16</v>
      </c>
    </row>
    <row r="82" spans="1:144">
      <c r="B82" s="361"/>
      <c r="C82" s="361"/>
      <c r="D82" s="406"/>
      <c r="E82" s="406"/>
      <c r="F82" s="406"/>
      <c r="G82" s="406"/>
      <c r="H82" s="406"/>
      <c r="I82" s="406"/>
      <c r="J82" s="406"/>
      <c r="K82" s="406"/>
      <c r="L82" s="406"/>
      <c r="M82" s="406"/>
      <c r="N82" s="406"/>
      <c r="O82" s="406"/>
      <c r="P82" s="406"/>
      <c r="Q82" s="407"/>
    </row>
    <row r="83" spans="1:144" s="4" customFormat="1" ht="11.25">
      <c r="A83" s="386" t="s">
        <v>9</v>
      </c>
      <c r="B83" s="87" t="s">
        <v>17</v>
      </c>
      <c r="C83" s="99" t="s">
        <v>4</v>
      </c>
      <c r="D83" s="177" cm="1">
        <f t="array" ref="D83">SUMPRODUCT((H_Rate_Class=$B83)*[5]Customer!D$249:D$358)</f>
        <v>0</v>
      </c>
      <c r="E83" s="177" cm="1">
        <f t="array" ref="E83">SUMPRODUCT((H_Rate_Class=$B83)*[5]Customer!E$249:E$358)</f>
        <v>0</v>
      </c>
      <c r="F83" s="177" cm="1">
        <f t="array" ref="F83">SUMPRODUCT((H_Rate_Class=$B83)*[5]Customer!F$249:F$358)</f>
        <v>0</v>
      </c>
      <c r="G83" s="177" cm="1">
        <f t="array" ref="G83">SUMPRODUCT((H_Rate_Class=$B83)*[5]Customer!G$249:G$358)</f>
        <v>0</v>
      </c>
      <c r="H83" s="177" cm="1">
        <f t="array" ref="H83">SUMPRODUCT((H_Rate_Class=$B83)*[5]Customer!H$249:H$358)</f>
        <v>0</v>
      </c>
      <c r="I83" s="177" cm="1">
        <f t="array" ref="I83">SUMPRODUCT((H_Rate_Class=$B83)*[5]Customer!I$249:I$358)</f>
        <v>0</v>
      </c>
      <c r="J83" s="177" cm="1">
        <f t="array" ref="J83">SUMPRODUCT((H_Rate_Class=$B83)*[5]Customer!J$249:J$358)</f>
        <v>0</v>
      </c>
      <c r="K83" s="177" cm="1">
        <f t="array" ref="K83">SUMPRODUCT((H_Rate_Class=$B83)*[5]Customer!K$249:K$358)</f>
        <v>0</v>
      </c>
      <c r="L83" s="177" cm="1">
        <f t="array" ref="L83">SUMPRODUCT((H_Rate_Class=$B83)*[5]Customer!L$249:L$358)</f>
        <v>0</v>
      </c>
      <c r="M83" s="177" cm="1">
        <f t="array" ref="M83">SUMPRODUCT((H_Rate_Class=$B83)*[5]Customer!M$249:M$358)</f>
        <v>0</v>
      </c>
      <c r="N83" s="177" cm="1">
        <f t="array" ref="N83">SUMPRODUCT((H_Rate_Class=$B83)*[5]Customer!N$249:N$358)</f>
        <v>0</v>
      </c>
      <c r="O83" s="177" cm="1">
        <f t="array" ref="O83">SUMPRODUCT((H_Rate_Class=$B83)*[5]Customer!O$249:O$358)</f>
        <v>0</v>
      </c>
      <c r="P83" s="312">
        <f>SUM(D83:O83)</f>
        <v>0</v>
      </c>
      <c r="Q83" s="312">
        <f>P83/12</f>
        <v>0</v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</row>
    <row r="84" spans="1:144" s="4" customFormat="1" ht="11.25">
      <c r="B84" s="87"/>
      <c r="C84" s="99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312"/>
      <c r="Q84" s="312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</row>
    <row r="85" spans="1:144" s="4" customFormat="1" ht="11.25">
      <c r="A85" s="386">
        <v>2</v>
      </c>
      <c r="B85" s="87" t="s">
        <v>150</v>
      </c>
      <c r="C85" s="99" t="s">
        <v>4</v>
      </c>
      <c r="D85" s="177" cm="1">
        <f t="array" ref="D85">SUMPRODUCT((H_Rate_Class=$B85)*[5]Customer!D$249:D$358)</f>
        <v>0</v>
      </c>
      <c r="E85" s="177" cm="1">
        <f t="array" ref="E85">SUMPRODUCT((H_Rate_Class=$B85)*[5]Customer!E$249:E$358)</f>
        <v>0</v>
      </c>
      <c r="F85" s="177" cm="1">
        <f t="array" ref="F85">SUMPRODUCT((H_Rate_Class=$B85)*[5]Customer!F$249:F$358)</f>
        <v>0</v>
      </c>
      <c r="G85" s="177" cm="1">
        <f t="array" ref="G85">SUMPRODUCT((H_Rate_Class=$B85)*[5]Customer!G$249:G$358)</f>
        <v>0</v>
      </c>
      <c r="H85" s="177" cm="1">
        <f t="array" ref="H85">SUMPRODUCT((H_Rate_Class=$B85)*[5]Customer!H$249:H$358)</f>
        <v>0</v>
      </c>
      <c r="I85" s="177" cm="1">
        <f t="array" ref="I85">SUMPRODUCT((H_Rate_Class=$B85)*[5]Customer!I$249:I$358)</f>
        <v>0</v>
      </c>
      <c r="J85" s="177" cm="1">
        <f t="array" ref="J85">SUMPRODUCT((H_Rate_Class=$B85)*[5]Customer!J$249:J$358)</f>
        <v>0</v>
      </c>
      <c r="K85" s="177" cm="1">
        <f t="array" ref="K85">SUMPRODUCT((H_Rate_Class=$B85)*[5]Customer!K$249:K$358)</f>
        <v>0</v>
      </c>
      <c r="L85" s="177" cm="1">
        <f t="array" ref="L85">SUMPRODUCT((H_Rate_Class=$B85)*[5]Customer!L$249:L$358)</f>
        <v>0</v>
      </c>
      <c r="M85" s="177" cm="1">
        <f t="array" ref="M85">SUMPRODUCT((H_Rate_Class=$B85)*[5]Customer!M$249:M$358)</f>
        <v>0</v>
      </c>
      <c r="N85" s="177" cm="1">
        <f t="array" ref="N85">SUMPRODUCT((H_Rate_Class=$B85)*[5]Customer!N$249:N$358)</f>
        <v>0</v>
      </c>
      <c r="O85" s="177" cm="1">
        <f t="array" ref="O85">SUMPRODUCT((H_Rate_Class=$B85)*[5]Customer!O$249:O$358)</f>
        <v>0</v>
      </c>
      <c r="P85" s="312">
        <f>SUM(D85:O85)</f>
        <v>0</v>
      </c>
      <c r="Q85" s="312">
        <f t="shared" ref="Q85:Q107" si="30">P85/12</f>
        <v>0</v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</row>
    <row r="86" spans="1:144" s="4" customFormat="1" ht="11.25">
      <c r="A86" s="386"/>
      <c r="B86" s="87"/>
      <c r="C86" s="99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77"/>
      <c r="O86" s="177"/>
      <c r="P86" s="312"/>
      <c r="Q86" s="312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</row>
    <row r="87" spans="1:144" s="4" customFormat="1" ht="11.25">
      <c r="A87" s="386">
        <v>3</v>
      </c>
      <c r="B87" s="87" t="s">
        <v>81</v>
      </c>
      <c r="C87" s="157" t="s">
        <v>4</v>
      </c>
      <c r="D87" s="177" cm="1">
        <f t="array" ref="D87">SUMPRODUCT((H_Rate_Class=$B87)*[5]Customer!D$249:D$358)</f>
        <v>0</v>
      </c>
      <c r="E87" s="177" cm="1">
        <f t="array" ref="E87">SUMPRODUCT((H_Rate_Class=$B87)*[5]Customer!E$249:E$358)</f>
        <v>0</v>
      </c>
      <c r="F87" s="177" cm="1">
        <f t="array" ref="F87">SUMPRODUCT((H_Rate_Class=$B87)*[5]Customer!F$249:F$358)</f>
        <v>0</v>
      </c>
      <c r="G87" s="177" cm="1">
        <f t="array" ref="G87">SUMPRODUCT((H_Rate_Class=$B87)*[5]Customer!G$249:G$358)</f>
        <v>0</v>
      </c>
      <c r="H87" s="177" cm="1">
        <f t="array" ref="H87">SUMPRODUCT((H_Rate_Class=$B87)*[5]Customer!H$249:H$358)</f>
        <v>0</v>
      </c>
      <c r="I87" s="177" cm="1">
        <f t="array" ref="I87">SUMPRODUCT((H_Rate_Class=$B87)*[5]Customer!I$249:I$358)</f>
        <v>0</v>
      </c>
      <c r="J87" s="177" cm="1">
        <f t="array" ref="J87">SUMPRODUCT((H_Rate_Class=$B87)*[5]Customer!J$249:J$358)</f>
        <v>0</v>
      </c>
      <c r="K87" s="177" cm="1">
        <f t="array" ref="K87">SUMPRODUCT((H_Rate_Class=$B87)*[5]Customer!K$249:K$358)</f>
        <v>0</v>
      </c>
      <c r="L87" s="177" cm="1">
        <f t="array" ref="L87">SUMPRODUCT((H_Rate_Class=$B87)*[5]Customer!L$249:L$358)</f>
        <v>0</v>
      </c>
      <c r="M87" s="177" cm="1">
        <f t="array" ref="M87">SUMPRODUCT((H_Rate_Class=$B87)*[5]Customer!M$249:M$358)</f>
        <v>0</v>
      </c>
      <c r="N87" s="177" cm="1">
        <f t="array" ref="N87">SUMPRODUCT((H_Rate_Class=$B87)*[5]Customer!N$249:N$358)</f>
        <v>0</v>
      </c>
      <c r="O87" s="177" cm="1">
        <f t="array" ref="O87">SUMPRODUCT((H_Rate_Class=$B87)*[5]Customer!O$249:O$358)</f>
        <v>0</v>
      </c>
      <c r="P87" s="312">
        <f>SUM(D87:O87)</f>
        <v>0</v>
      </c>
      <c r="Q87" s="312">
        <f t="shared" si="30"/>
        <v>0</v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</row>
    <row r="88" spans="1:144" s="4" customFormat="1" ht="11.25">
      <c r="A88" s="386">
        <v>4</v>
      </c>
      <c r="B88" s="87" t="s">
        <v>85</v>
      </c>
      <c r="C88" s="157" t="s">
        <v>4</v>
      </c>
      <c r="D88" s="388" cm="1">
        <f t="array" ref="D88">SUMPRODUCT((H_Rate_Class=$B88)*[5]Customer!D$249:D$358)</f>
        <v>0</v>
      </c>
      <c r="E88" s="388" cm="1">
        <f t="array" ref="E88">SUMPRODUCT((H_Rate_Class=$B88)*[5]Customer!E$249:E$358)</f>
        <v>0</v>
      </c>
      <c r="F88" s="388" cm="1">
        <f t="array" ref="F88">SUMPRODUCT((H_Rate_Class=$B88)*[5]Customer!F$249:F$358)</f>
        <v>0</v>
      </c>
      <c r="G88" s="388" cm="1">
        <f t="array" ref="G88">SUMPRODUCT((H_Rate_Class=$B88)*[5]Customer!G$249:G$358)</f>
        <v>0</v>
      </c>
      <c r="H88" s="388" cm="1">
        <f t="array" ref="H88">SUMPRODUCT((H_Rate_Class=$B88)*[5]Customer!H$249:H$358)</f>
        <v>0</v>
      </c>
      <c r="I88" s="388" cm="1">
        <f t="array" ref="I88">SUMPRODUCT((H_Rate_Class=$B88)*[5]Customer!I$249:I$358)</f>
        <v>0</v>
      </c>
      <c r="J88" s="388" cm="1">
        <f t="array" ref="J88">SUMPRODUCT((H_Rate_Class=$B88)*[5]Customer!J$249:J$358)</f>
        <v>0</v>
      </c>
      <c r="K88" s="388" cm="1">
        <f t="array" ref="K88">SUMPRODUCT((H_Rate_Class=$B88)*[5]Customer!K$249:K$358)</f>
        <v>0</v>
      </c>
      <c r="L88" s="388" cm="1">
        <f t="array" ref="L88">SUMPRODUCT((H_Rate_Class=$B88)*[5]Customer!L$249:L$358)</f>
        <v>0</v>
      </c>
      <c r="M88" s="388" cm="1">
        <f t="array" ref="M88">SUMPRODUCT((H_Rate_Class=$B88)*[5]Customer!M$249:M$358)</f>
        <v>0</v>
      </c>
      <c r="N88" s="388" cm="1">
        <f t="array" ref="N88">SUMPRODUCT((H_Rate_Class=$B88)*[5]Customer!N$249:N$358)</f>
        <v>0</v>
      </c>
      <c r="O88" s="388" cm="1">
        <f t="array" ref="O88">SUMPRODUCT((H_Rate_Class=$B88)*[5]Customer!O$249:O$358)</f>
        <v>0</v>
      </c>
      <c r="P88" s="389">
        <f>SUM(D88:O88)</f>
        <v>0</v>
      </c>
      <c r="Q88" s="389">
        <f t="shared" si="30"/>
        <v>0</v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</row>
    <row r="89" spans="1:144" s="4" customFormat="1" ht="11.25">
      <c r="A89" s="386">
        <v>5</v>
      </c>
      <c r="B89" s="131" t="s">
        <v>18</v>
      </c>
      <c r="C89" s="99"/>
      <c r="D89" s="312">
        <f>SUM(D87:D88)</f>
        <v>0</v>
      </c>
      <c r="E89" s="312">
        <f t="shared" ref="E89:O89" si="31">SUM(E87:E88)</f>
        <v>0</v>
      </c>
      <c r="F89" s="312">
        <f t="shared" si="31"/>
        <v>0</v>
      </c>
      <c r="G89" s="312">
        <f t="shared" si="31"/>
        <v>0</v>
      </c>
      <c r="H89" s="312">
        <f t="shared" si="31"/>
        <v>0</v>
      </c>
      <c r="I89" s="312">
        <f t="shared" si="31"/>
        <v>0</v>
      </c>
      <c r="J89" s="312">
        <f t="shared" si="31"/>
        <v>0</v>
      </c>
      <c r="K89" s="312">
        <f t="shared" si="31"/>
        <v>0</v>
      </c>
      <c r="L89" s="312">
        <f t="shared" si="31"/>
        <v>0</v>
      </c>
      <c r="M89" s="312">
        <f t="shared" si="31"/>
        <v>0</v>
      </c>
      <c r="N89" s="312">
        <f t="shared" si="31"/>
        <v>0</v>
      </c>
      <c r="O89" s="312">
        <f t="shared" si="31"/>
        <v>0</v>
      </c>
      <c r="P89" s="312">
        <f>SUM(D89:O89)</f>
        <v>0</v>
      </c>
      <c r="Q89" s="312">
        <f>SUM(Q87:Q88)</f>
        <v>0</v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</row>
    <row r="90" spans="1:144" s="4" customFormat="1" ht="11.25">
      <c r="B90" s="147"/>
      <c r="C90" s="99"/>
      <c r="D90" s="177"/>
      <c r="E90" s="177"/>
      <c r="F90" s="177"/>
      <c r="G90" s="177"/>
      <c r="H90" s="177"/>
      <c r="I90" s="177"/>
      <c r="J90" s="177"/>
      <c r="K90" s="177"/>
      <c r="L90" s="177"/>
      <c r="M90" s="177"/>
      <c r="N90" s="177"/>
      <c r="O90" s="177"/>
      <c r="P90" s="312"/>
      <c r="Q90" s="312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</row>
    <row r="91" spans="1:144" s="4" customFormat="1" ht="11.25">
      <c r="A91" s="386">
        <v>6</v>
      </c>
      <c r="B91" s="87" t="s">
        <v>82</v>
      </c>
      <c r="C91" s="157" t="s">
        <v>5</v>
      </c>
      <c r="D91" s="177" cm="1">
        <f t="array" ref="D91">SUMPRODUCT((H_Rate_Class=$B91)*[5]Customer!D$249:D$358)</f>
        <v>0</v>
      </c>
      <c r="E91" s="177" cm="1">
        <f t="array" ref="E91">SUMPRODUCT((H_Rate_Class=$B91)*[5]Customer!E$249:E$358)</f>
        <v>0</v>
      </c>
      <c r="F91" s="177" cm="1">
        <f t="array" ref="F91">SUMPRODUCT((H_Rate_Class=$B91)*[5]Customer!F$249:F$358)</f>
        <v>0</v>
      </c>
      <c r="G91" s="177" cm="1">
        <f t="array" ref="G91">SUMPRODUCT((H_Rate_Class=$B91)*[5]Customer!G$249:G$358)</f>
        <v>0</v>
      </c>
      <c r="H91" s="177" cm="1">
        <f t="array" ref="H91">SUMPRODUCT((H_Rate_Class=$B91)*[5]Customer!H$249:H$358)</f>
        <v>0</v>
      </c>
      <c r="I91" s="177" cm="1">
        <f t="array" ref="I91">SUMPRODUCT((H_Rate_Class=$B91)*[5]Customer!I$249:I$358)</f>
        <v>0</v>
      </c>
      <c r="J91" s="177" cm="1">
        <f t="array" ref="J91">SUMPRODUCT((H_Rate_Class=$B91)*[5]Customer!J$249:J$358)</f>
        <v>0</v>
      </c>
      <c r="K91" s="177" cm="1">
        <f t="array" ref="K91">SUMPRODUCT((H_Rate_Class=$B91)*[5]Customer!K$249:K$358)</f>
        <v>0</v>
      </c>
      <c r="L91" s="177" cm="1">
        <f t="array" ref="L91">SUMPRODUCT((H_Rate_Class=$B91)*[5]Customer!L$249:L$358)</f>
        <v>0</v>
      </c>
      <c r="M91" s="177" cm="1">
        <f t="array" ref="M91">SUMPRODUCT((H_Rate_Class=$B91)*[5]Customer!M$249:M$358)</f>
        <v>0</v>
      </c>
      <c r="N91" s="177" cm="1">
        <f t="array" ref="N91">SUMPRODUCT((H_Rate_Class=$B91)*[5]Customer!N$249:N$358)</f>
        <v>0</v>
      </c>
      <c r="O91" s="177" cm="1">
        <f t="array" ref="O91">SUMPRODUCT((H_Rate_Class=$B91)*[5]Customer!O$249:O$358)</f>
        <v>0</v>
      </c>
      <c r="P91" s="312">
        <f>SUM(D91:O91)</f>
        <v>0</v>
      </c>
      <c r="Q91" s="312">
        <f t="shared" si="30"/>
        <v>0</v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</row>
    <row r="92" spans="1:144" s="4" customFormat="1" ht="11.25">
      <c r="A92" s="386">
        <v>7</v>
      </c>
      <c r="B92" s="87" t="s">
        <v>83</v>
      </c>
      <c r="C92" s="157" t="s">
        <v>5</v>
      </c>
      <c r="D92" s="390" cm="1">
        <f t="array" ref="D92">SUMPRODUCT((H_Rate_Class=$B92)*[5]Customer!D$249:D$358)</f>
        <v>0</v>
      </c>
      <c r="E92" s="390" cm="1">
        <f t="array" ref="E92">SUMPRODUCT((H_Rate_Class=$B92)*[5]Customer!E$249:E$358)</f>
        <v>0</v>
      </c>
      <c r="F92" s="390" cm="1">
        <f t="array" ref="F92">SUMPRODUCT((H_Rate_Class=$B92)*[5]Customer!F$249:F$358)</f>
        <v>0</v>
      </c>
      <c r="G92" s="390" cm="1">
        <f t="array" ref="G92">SUMPRODUCT((H_Rate_Class=$B92)*[5]Customer!G$249:G$358)</f>
        <v>0</v>
      </c>
      <c r="H92" s="390" cm="1">
        <f t="array" ref="H92">SUMPRODUCT((H_Rate_Class=$B92)*[5]Customer!H$249:H$358)</f>
        <v>0</v>
      </c>
      <c r="I92" s="390" cm="1">
        <f t="array" ref="I92">SUMPRODUCT((H_Rate_Class=$B92)*[5]Customer!I$249:I$358)</f>
        <v>0</v>
      </c>
      <c r="J92" s="390" cm="1">
        <f t="array" ref="J92">SUMPRODUCT((H_Rate_Class=$B92)*[5]Customer!J$249:J$358)</f>
        <v>0</v>
      </c>
      <c r="K92" s="390" cm="1">
        <f t="array" ref="K92">SUMPRODUCT((H_Rate_Class=$B92)*[5]Customer!K$249:K$358)</f>
        <v>0</v>
      </c>
      <c r="L92" s="390" cm="1">
        <f t="array" ref="L92">SUMPRODUCT((H_Rate_Class=$B92)*[5]Customer!L$249:L$358)</f>
        <v>0</v>
      </c>
      <c r="M92" s="390" cm="1">
        <f t="array" ref="M92">SUMPRODUCT((H_Rate_Class=$B92)*[5]Customer!M$249:M$358)</f>
        <v>0</v>
      </c>
      <c r="N92" s="390" cm="1">
        <f t="array" ref="N92">SUMPRODUCT((H_Rate_Class=$B92)*[5]Customer!N$249:N$358)</f>
        <v>0</v>
      </c>
      <c r="O92" s="390" cm="1">
        <f t="array" ref="O92">SUMPRODUCT((H_Rate_Class=$B92)*[5]Customer!O$249:O$358)</f>
        <v>0</v>
      </c>
      <c r="P92" s="312">
        <f>SUM(D92:O92)</f>
        <v>0</v>
      </c>
      <c r="Q92" s="312">
        <f t="shared" si="30"/>
        <v>0</v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</row>
    <row r="93" spans="1:144">
      <c r="A93" s="386">
        <v>8</v>
      </c>
      <c r="B93" s="87" t="s">
        <v>148</v>
      </c>
      <c r="C93" s="157" t="s">
        <v>5</v>
      </c>
      <c r="D93" s="410" cm="1">
        <f t="array" ref="D93">SUMPRODUCT((H_Rate_Class=$B93)*[5]Customer!D$249:D$358)</f>
        <v>0</v>
      </c>
      <c r="E93" s="410" cm="1">
        <f t="array" ref="E93">SUMPRODUCT((H_Rate_Class=$B93)*[5]Customer!E$249:E$358)</f>
        <v>0</v>
      </c>
      <c r="F93" s="410" cm="1">
        <f t="array" ref="F93">SUMPRODUCT((H_Rate_Class=$B93)*[5]Customer!F$249:F$358)</f>
        <v>0</v>
      </c>
      <c r="G93" s="410" cm="1">
        <f t="array" ref="G93">SUMPRODUCT((H_Rate_Class=$B93)*[5]Customer!G$249:G$358)</f>
        <v>0</v>
      </c>
      <c r="H93" s="410" cm="1">
        <f t="array" ref="H93">SUMPRODUCT((H_Rate_Class=$B93)*[5]Customer!H$249:H$358)</f>
        <v>0</v>
      </c>
      <c r="I93" s="410" cm="1">
        <f t="array" ref="I93">SUMPRODUCT((H_Rate_Class=$B93)*[5]Customer!I$249:I$358)</f>
        <v>0</v>
      </c>
      <c r="J93" s="410" cm="1">
        <f t="array" ref="J93">SUMPRODUCT((H_Rate_Class=$B93)*[5]Customer!J$249:J$358)</f>
        <v>0</v>
      </c>
      <c r="K93" s="410" cm="1">
        <f t="array" ref="K93">SUMPRODUCT((H_Rate_Class=$B93)*[5]Customer!K$249:K$358)</f>
        <v>0</v>
      </c>
      <c r="L93" s="410" cm="1">
        <f t="array" ref="L93">SUMPRODUCT((H_Rate_Class=$B93)*[5]Customer!L$249:L$358)</f>
        <v>0</v>
      </c>
      <c r="M93" s="410" cm="1">
        <f t="array" ref="M93">SUMPRODUCT((H_Rate_Class=$B93)*[5]Customer!M$249:M$358)</f>
        <v>0</v>
      </c>
      <c r="N93" s="410" cm="1">
        <f t="array" ref="N93">SUMPRODUCT((H_Rate_Class=$B93)*[5]Customer!N$249:N$358)</f>
        <v>0</v>
      </c>
      <c r="O93" s="410" cm="1">
        <f t="array" ref="O93">SUMPRODUCT((H_Rate_Class=$B93)*[5]Customer!O$249:O$358)</f>
        <v>0</v>
      </c>
      <c r="P93" s="312">
        <f t="shared" ref="P93:P94" si="32">SUM(D93:O93)</f>
        <v>0</v>
      </c>
      <c r="Q93" s="312">
        <f t="shared" ref="Q93:Q94" si="33">P93/12</f>
        <v>0</v>
      </c>
    </row>
    <row r="94" spans="1:144" s="4" customFormat="1" ht="11.25">
      <c r="A94" s="386">
        <v>9</v>
      </c>
      <c r="B94" s="87" t="s">
        <v>149</v>
      </c>
      <c r="C94" s="157" t="s">
        <v>5</v>
      </c>
      <c r="D94" s="390"/>
      <c r="E94" s="390"/>
      <c r="F94" s="390"/>
      <c r="G94" s="390"/>
      <c r="H94" s="390"/>
      <c r="I94" s="390"/>
      <c r="J94" s="390"/>
      <c r="K94" s="390"/>
      <c r="L94" s="390"/>
      <c r="M94" s="390"/>
      <c r="N94" s="390"/>
      <c r="O94" s="390"/>
      <c r="P94" s="312">
        <f t="shared" si="32"/>
        <v>0</v>
      </c>
      <c r="Q94" s="312">
        <f t="shared" si="33"/>
        <v>0</v>
      </c>
      <c r="R94" s="89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</row>
    <row r="95" spans="1:144" s="4" customFormat="1" ht="11.25">
      <c r="A95" s="386">
        <v>10</v>
      </c>
      <c r="B95" s="87" t="s">
        <v>19</v>
      </c>
      <c r="C95" s="157"/>
      <c r="D95" s="391">
        <f t="shared" ref="D95:N95" si="34">SUM(D91:D92)</f>
        <v>0</v>
      </c>
      <c r="E95" s="391">
        <f t="shared" si="34"/>
        <v>0</v>
      </c>
      <c r="F95" s="391">
        <f t="shared" si="34"/>
        <v>0</v>
      </c>
      <c r="G95" s="391">
        <f t="shared" si="34"/>
        <v>0</v>
      </c>
      <c r="H95" s="391">
        <f t="shared" si="34"/>
        <v>0</v>
      </c>
      <c r="I95" s="391">
        <f t="shared" si="34"/>
        <v>0</v>
      </c>
      <c r="J95" s="391">
        <f t="shared" si="34"/>
        <v>0</v>
      </c>
      <c r="K95" s="391">
        <f t="shared" si="34"/>
        <v>0</v>
      </c>
      <c r="L95" s="391">
        <f t="shared" si="34"/>
        <v>0</v>
      </c>
      <c r="M95" s="391">
        <f t="shared" si="34"/>
        <v>0</v>
      </c>
      <c r="N95" s="391">
        <f t="shared" si="34"/>
        <v>0</v>
      </c>
      <c r="O95" s="391"/>
      <c r="P95" s="392">
        <f>SUM(D95:O95)</f>
        <v>0</v>
      </c>
      <c r="Q95" s="391">
        <f>SUM(Q91:Q92)</f>
        <v>0</v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</row>
    <row r="96" spans="1:144" s="4" customFormat="1" ht="11.25">
      <c r="A96" s="386"/>
      <c r="B96" s="87"/>
      <c r="C96" s="15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  <c r="O96" s="101"/>
      <c r="P96" s="312"/>
      <c r="Q96" s="312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</row>
    <row r="97" spans="1:144" s="4" customFormat="1" ht="11.25">
      <c r="A97" s="386">
        <v>11</v>
      </c>
      <c r="B97" s="131" t="s">
        <v>86</v>
      </c>
      <c r="C97" s="157" t="s">
        <v>6</v>
      </c>
      <c r="D97" s="177" cm="1">
        <f t="array" ref="D97">SUMPRODUCT((H_Rate_Class=$B97)*[5]Customer!D$249:D$358)</f>
        <v>0</v>
      </c>
      <c r="E97" s="177" cm="1">
        <f t="array" ref="E97">SUMPRODUCT((H_Rate_Class=$B97)*[5]Customer!E$249:E$358)</f>
        <v>0</v>
      </c>
      <c r="F97" s="177" cm="1">
        <f t="array" ref="F97">SUMPRODUCT((H_Rate_Class=$B97)*[5]Customer!F$249:F$358)</f>
        <v>0</v>
      </c>
      <c r="G97" s="177" cm="1">
        <f t="array" ref="G97">SUMPRODUCT((H_Rate_Class=$B97)*[5]Customer!G$249:G$358)</f>
        <v>0</v>
      </c>
      <c r="H97" s="177" cm="1">
        <f t="array" ref="H97">SUMPRODUCT((H_Rate_Class=$B97)*[5]Customer!H$249:H$358)</f>
        <v>0</v>
      </c>
      <c r="I97" s="177" cm="1">
        <f t="array" ref="I97">SUMPRODUCT((H_Rate_Class=$B97)*[5]Customer!I$249:I$358)</f>
        <v>0</v>
      </c>
      <c r="J97" s="177" cm="1">
        <f t="array" ref="J97">SUMPRODUCT((H_Rate_Class=$B97)*[5]Customer!J$249:J$358)</f>
        <v>0</v>
      </c>
      <c r="K97" s="177" cm="1">
        <f t="array" ref="K97">SUMPRODUCT((H_Rate_Class=$B97)*[5]Customer!K$249:K$358)</f>
        <v>0</v>
      </c>
      <c r="L97" s="177" cm="1">
        <f t="array" ref="L97">SUMPRODUCT((H_Rate_Class=$B97)*[5]Customer!L$249:L$358)</f>
        <v>0</v>
      </c>
      <c r="M97" s="177" cm="1">
        <f t="array" ref="M97">SUMPRODUCT((H_Rate_Class=$B97)*[5]Customer!M$249:M$358)</f>
        <v>0</v>
      </c>
      <c r="N97" s="177" cm="1">
        <f t="array" ref="N97">SUMPRODUCT((H_Rate_Class=$B97)*[5]Customer!N$249:N$358)</f>
        <v>0</v>
      </c>
      <c r="O97" s="177" cm="1">
        <f t="array" ref="O97">SUMPRODUCT((H_Rate_Class=$B97)*[5]Customer!O$249:O$358)</f>
        <v>0</v>
      </c>
      <c r="P97" s="312">
        <f>SUM(D97:O97)</f>
        <v>0</v>
      </c>
      <c r="Q97" s="312">
        <f t="shared" si="30"/>
        <v>0</v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</row>
    <row r="98" spans="1:144" s="4" customFormat="1" ht="11.25">
      <c r="B98" s="87"/>
      <c r="C98" s="99"/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  <c r="O98" s="177"/>
      <c r="P98" s="312"/>
      <c r="Q98" s="312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</row>
    <row r="99" spans="1:144" s="4" customFormat="1" ht="11.25">
      <c r="A99" s="386">
        <v>12</v>
      </c>
      <c r="B99" s="89" t="s">
        <v>21</v>
      </c>
      <c r="C99" s="157" t="s">
        <v>4</v>
      </c>
      <c r="D99" s="177" cm="1">
        <f t="array" ref="D99">SUMPRODUCT((H_Rate_Class=$B99)*[5]Customer!D$249:D$358)</f>
        <v>0</v>
      </c>
      <c r="E99" s="177" cm="1">
        <f t="array" ref="E99">SUMPRODUCT((H_Rate_Class=$B99)*[5]Customer!E$249:E$358)</f>
        <v>0</v>
      </c>
      <c r="F99" s="177" cm="1">
        <f t="array" ref="F99">SUMPRODUCT((H_Rate_Class=$B99)*[5]Customer!F$249:F$358)</f>
        <v>0</v>
      </c>
      <c r="G99" s="177" cm="1">
        <f t="array" ref="G99">SUMPRODUCT((H_Rate_Class=$B99)*[5]Customer!G$249:G$358)</f>
        <v>0</v>
      </c>
      <c r="H99" s="177" cm="1">
        <f t="array" ref="H99">SUMPRODUCT((H_Rate_Class=$B99)*[5]Customer!H$249:H$358)</f>
        <v>0</v>
      </c>
      <c r="I99" s="177" cm="1">
        <f t="array" ref="I99">SUMPRODUCT((H_Rate_Class=$B99)*[5]Customer!I$249:I$358)</f>
        <v>0</v>
      </c>
      <c r="J99" s="177" cm="1">
        <f t="array" ref="J99">SUMPRODUCT((H_Rate_Class=$B99)*[5]Customer!J$249:J$358)</f>
        <v>0</v>
      </c>
      <c r="K99" s="177" cm="1">
        <f t="array" ref="K99">SUMPRODUCT((H_Rate_Class=$B99)*[5]Customer!K$249:K$358)</f>
        <v>0</v>
      </c>
      <c r="L99" s="177" cm="1">
        <f t="array" ref="L99">SUMPRODUCT((H_Rate_Class=$B99)*[5]Customer!L$249:L$358)</f>
        <v>0</v>
      </c>
      <c r="M99" s="177" cm="1">
        <f t="array" ref="M99">SUMPRODUCT((H_Rate_Class=$B99)*[5]Customer!M$249:M$358)</f>
        <v>0</v>
      </c>
      <c r="N99" s="177" cm="1">
        <f t="array" ref="N99">SUMPRODUCT((H_Rate_Class=$B99)*[5]Customer!N$249:N$358)</f>
        <v>0</v>
      </c>
      <c r="O99" s="177" cm="1">
        <f t="array" ref="O99">SUMPRODUCT((H_Rate_Class=$B99)*[5]Customer!O$249:O$358)</f>
        <v>0</v>
      </c>
      <c r="P99" s="312"/>
      <c r="Q99" s="312">
        <f t="shared" si="30"/>
        <v>0</v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</row>
    <row r="100" spans="1:144" s="4" customFormat="1" ht="11.25">
      <c r="A100" s="386"/>
      <c r="B100" s="87"/>
      <c r="C100" s="99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312"/>
      <c r="Q100" s="312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</row>
    <row r="101" spans="1:144" s="4" customFormat="1" ht="11.25">
      <c r="A101" s="386">
        <v>13</v>
      </c>
      <c r="B101" s="393" t="s">
        <v>22</v>
      </c>
      <c r="C101" s="362"/>
      <c r="D101" s="394">
        <f t="shared" ref="D101:N101" si="35">D99+D97+D95+D89+D85+D83</f>
        <v>0</v>
      </c>
      <c r="E101" s="394">
        <f t="shared" si="35"/>
        <v>0</v>
      </c>
      <c r="F101" s="394">
        <f t="shared" si="35"/>
        <v>0</v>
      </c>
      <c r="G101" s="394">
        <f t="shared" si="35"/>
        <v>0</v>
      </c>
      <c r="H101" s="394">
        <f t="shared" si="35"/>
        <v>0</v>
      </c>
      <c r="I101" s="394">
        <f t="shared" si="35"/>
        <v>0</v>
      </c>
      <c r="J101" s="394">
        <f t="shared" si="35"/>
        <v>0</v>
      </c>
      <c r="K101" s="394">
        <f t="shared" si="35"/>
        <v>0</v>
      </c>
      <c r="L101" s="394">
        <f t="shared" si="35"/>
        <v>0</v>
      </c>
      <c r="M101" s="394">
        <f t="shared" si="35"/>
        <v>0</v>
      </c>
      <c r="N101" s="394">
        <f t="shared" si="35"/>
        <v>0</v>
      </c>
      <c r="O101" s="394">
        <f>O99+O97+O95+O89+O85+O83</f>
        <v>0</v>
      </c>
      <c r="P101" s="395">
        <f>SUM(D101:O101)</f>
        <v>0</v>
      </c>
      <c r="Q101" s="395">
        <f>P101/12</f>
        <v>0</v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</row>
    <row r="102" spans="1:144" s="4" customFormat="1" ht="11.25">
      <c r="B102" s="362"/>
      <c r="C102" s="362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312"/>
      <c r="Q102" s="312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</row>
    <row r="103" spans="1:144" s="4" customFormat="1" ht="11.25">
      <c r="A103" s="386">
        <v>14</v>
      </c>
      <c r="B103" s="89" t="s">
        <v>69</v>
      </c>
      <c r="C103" s="157" t="s">
        <v>5</v>
      </c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/>
      <c r="P103" s="312">
        <f>SUM(D103:O103)</f>
        <v>0</v>
      </c>
      <c r="Q103" s="312">
        <f t="shared" si="30"/>
        <v>0</v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</row>
    <row r="104" spans="1:144" s="4" customFormat="1" ht="11.25">
      <c r="A104" s="386">
        <v>15</v>
      </c>
      <c r="B104" s="89" t="s">
        <v>70</v>
      </c>
      <c r="C104" s="157" t="s">
        <v>6</v>
      </c>
      <c r="D104" s="388"/>
      <c r="E104" s="388"/>
      <c r="F104" s="388"/>
      <c r="G104" s="388"/>
      <c r="H104" s="388"/>
      <c r="I104" s="388"/>
      <c r="J104" s="388"/>
      <c r="K104" s="388"/>
      <c r="L104" s="388"/>
      <c r="M104" s="388"/>
      <c r="N104" s="388"/>
      <c r="O104" s="388"/>
      <c r="P104" s="389">
        <f>SUM(D104:O104)</f>
        <v>0</v>
      </c>
      <c r="Q104" s="389">
        <f t="shared" si="30"/>
        <v>0</v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</row>
    <row r="105" spans="1:144" s="4" customFormat="1" ht="11.25">
      <c r="A105" s="386">
        <v>16</v>
      </c>
      <c r="B105" s="393" t="s">
        <v>23</v>
      </c>
      <c r="C105" s="361"/>
      <c r="D105" s="101">
        <f t="shared" ref="D105:O105" si="36">SUM(D103:D104)</f>
        <v>0</v>
      </c>
      <c r="E105" s="101">
        <f t="shared" si="36"/>
        <v>0</v>
      </c>
      <c r="F105" s="101">
        <f t="shared" si="36"/>
        <v>0</v>
      </c>
      <c r="G105" s="101">
        <f t="shared" si="36"/>
        <v>0</v>
      </c>
      <c r="H105" s="101">
        <f t="shared" si="36"/>
        <v>0</v>
      </c>
      <c r="I105" s="101">
        <f t="shared" si="36"/>
        <v>0</v>
      </c>
      <c r="J105" s="101">
        <f t="shared" si="36"/>
        <v>0</v>
      </c>
      <c r="K105" s="101">
        <f t="shared" si="36"/>
        <v>0</v>
      </c>
      <c r="L105" s="101">
        <f t="shared" si="36"/>
        <v>0</v>
      </c>
      <c r="M105" s="101">
        <f t="shared" si="36"/>
        <v>0</v>
      </c>
      <c r="N105" s="101">
        <f t="shared" si="36"/>
        <v>0</v>
      </c>
      <c r="O105" s="101">
        <f t="shared" si="36"/>
        <v>0</v>
      </c>
      <c r="P105" s="312">
        <f>SUM(D105:O105)</f>
        <v>0</v>
      </c>
      <c r="Q105" s="312">
        <f t="shared" si="30"/>
        <v>0</v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</row>
    <row r="106" spans="1:144" s="4" customFormat="1" ht="11.25">
      <c r="A106" s="386"/>
      <c r="B106" s="87"/>
      <c r="C106" s="396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  <c r="O106" s="177"/>
      <c r="P106" s="312"/>
      <c r="Q106" s="312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</row>
    <row r="107" spans="1:144" s="4" customFormat="1" ht="12" thickBot="1">
      <c r="A107" s="386">
        <v>17</v>
      </c>
      <c r="B107" s="147" t="s">
        <v>92</v>
      </c>
      <c r="C107" s="361"/>
      <c r="D107" s="397">
        <f>D105+D101</f>
        <v>0</v>
      </c>
      <c r="E107" s="397">
        <f t="shared" ref="E107:O107" si="37">+E105+E101</f>
        <v>0</v>
      </c>
      <c r="F107" s="397">
        <f t="shared" si="37"/>
        <v>0</v>
      </c>
      <c r="G107" s="397">
        <f t="shared" si="37"/>
        <v>0</v>
      </c>
      <c r="H107" s="397">
        <f t="shared" si="37"/>
        <v>0</v>
      </c>
      <c r="I107" s="397">
        <f t="shared" si="37"/>
        <v>0</v>
      </c>
      <c r="J107" s="397">
        <f t="shared" si="37"/>
        <v>0</v>
      </c>
      <c r="K107" s="397">
        <f t="shared" si="37"/>
        <v>0</v>
      </c>
      <c r="L107" s="397">
        <f t="shared" si="37"/>
        <v>0</v>
      </c>
      <c r="M107" s="397">
        <f t="shared" si="37"/>
        <v>0</v>
      </c>
      <c r="N107" s="397">
        <f t="shared" si="37"/>
        <v>0</v>
      </c>
      <c r="O107" s="397">
        <f t="shared" si="37"/>
        <v>0</v>
      </c>
      <c r="P107" s="398">
        <f>SUM(D107:O107)</f>
        <v>0</v>
      </c>
      <c r="Q107" s="398">
        <f t="shared" si="30"/>
        <v>0</v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</row>
    <row r="108" spans="1:144" ht="13.5" thickTop="1">
      <c r="A108" s="120"/>
      <c r="B108" s="87"/>
      <c r="C108" s="99"/>
      <c r="D108" s="408"/>
      <c r="E108" s="408"/>
      <c r="F108" s="408"/>
      <c r="G108" s="408"/>
      <c r="H108" s="408"/>
      <c r="I108" s="408"/>
      <c r="J108" s="408"/>
      <c r="K108" s="408"/>
      <c r="L108" s="408"/>
      <c r="M108" s="408"/>
      <c r="N108" s="408"/>
      <c r="O108" s="408"/>
      <c r="P108" s="408"/>
      <c r="Q108" s="409"/>
      <c r="R108" s="401"/>
      <c r="S108" s="401"/>
      <c r="T108" s="401"/>
      <c r="U108" s="401"/>
      <c r="V108" s="401"/>
      <c r="W108" s="401"/>
      <c r="X108" s="401"/>
      <c r="Y108" s="401"/>
      <c r="Z108" s="401"/>
      <c r="AA108" s="401"/>
      <c r="AB108" s="401"/>
      <c r="AC108" s="401"/>
      <c r="AD108" s="401"/>
      <c r="AE108" s="401"/>
      <c r="AF108" s="401"/>
      <c r="AG108" s="401"/>
      <c r="AH108" s="401"/>
      <c r="AI108" s="401"/>
      <c r="AJ108" s="401"/>
      <c r="AK108" s="401"/>
      <c r="AL108" s="401"/>
      <c r="AM108" s="401"/>
    </row>
    <row r="109" spans="1:144">
      <c r="A109" s="4"/>
      <c r="B109" s="87" t="str">
        <f>+B39</f>
        <v>Note: Secondary &lt; 10 kW includes Unmetered service; Lighting customers are fixture counts.</v>
      </c>
      <c r="C109" s="105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399"/>
      <c r="Q109" s="400"/>
      <c r="R109" s="401"/>
      <c r="S109" s="401"/>
      <c r="T109" s="401"/>
      <c r="U109" s="401"/>
      <c r="V109" s="401"/>
      <c r="W109" s="401"/>
      <c r="X109" s="401"/>
      <c r="Y109" s="401"/>
      <c r="Z109" s="401"/>
      <c r="AA109" s="401"/>
      <c r="AB109" s="401"/>
      <c r="AC109" s="401"/>
      <c r="AD109" s="401"/>
      <c r="AE109" s="401"/>
      <c r="AF109" s="401"/>
      <c r="AG109" s="401"/>
      <c r="AH109" s="401"/>
      <c r="AI109" s="401"/>
      <c r="AJ109" s="401"/>
      <c r="AK109" s="401"/>
      <c r="AL109" s="401"/>
      <c r="AM109" s="401"/>
      <c r="AN109" s="401"/>
      <c r="AO109" s="401"/>
      <c r="AP109" s="401"/>
      <c r="AQ109" s="401"/>
      <c r="AR109" s="401"/>
      <c r="AS109" s="401"/>
      <c r="AT109" s="401"/>
      <c r="AU109" s="401"/>
      <c r="AV109" s="401"/>
      <c r="AW109" s="401"/>
      <c r="AX109" s="401"/>
      <c r="AY109" s="401"/>
      <c r="AZ109" s="401"/>
      <c r="BA109" s="401"/>
      <c r="BB109" s="401"/>
      <c r="BC109" s="401"/>
      <c r="BD109" s="401"/>
      <c r="BE109" s="401"/>
      <c r="BF109" s="401"/>
      <c r="BG109" s="401"/>
    </row>
    <row r="110" spans="1:144">
      <c r="A110" s="57"/>
      <c r="B110" s="70"/>
      <c r="C110" s="161"/>
      <c r="D110" s="411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412"/>
      <c r="Q110" s="403"/>
      <c r="R110" s="401"/>
      <c r="S110" s="401"/>
      <c r="T110" s="401"/>
      <c r="U110" s="401"/>
      <c r="V110" s="401"/>
      <c r="W110" s="401"/>
      <c r="X110" s="401"/>
      <c r="Y110" s="401"/>
      <c r="Z110" s="401"/>
      <c r="AA110" s="401"/>
      <c r="AB110" s="401"/>
      <c r="AC110" s="401"/>
      <c r="AD110" s="401"/>
      <c r="AE110" s="401"/>
      <c r="AF110" s="401"/>
      <c r="AG110" s="401"/>
      <c r="AH110" s="401"/>
      <c r="AI110" s="401"/>
      <c r="AJ110" s="401"/>
      <c r="AK110" s="401"/>
      <c r="AL110" s="401"/>
      <c r="AM110" s="401"/>
      <c r="AN110" s="401"/>
      <c r="AO110" s="401"/>
      <c r="AP110" s="401"/>
      <c r="AQ110" s="401"/>
      <c r="AR110" s="401"/>
      <c r="AS110" s="401"/>
      <c r="AT110" s="401"/>
      <c r="AU110" s="401"/>
      <c r="AV110" s="401"/>
      <c r="AW110" s="401"/>
      <c r="AX110" s="401"/>
      <c r="AY110" s="401"/>
      <c r="AZ110" s="401"/>
    </row>
    <row r="111" spans="1:144">
      <c r="B111" s="371" t="str">
        <f>+B41</f>
        <v>AEP TEXAS</v>
      </c>
      <c r="C111" s="371"/>
      <c r="D111" s="371"/>
      <c r="E111" s="371"/>
      <c r="F111" s="371"/>
      <c r="G111" s="371"/>
      <c r="H111" s="371"/>
      <c r="I111" s="371"/>
      <c r="J111" s="371"/>
      <c r="K111" s="371"/>
      <c r="L111" s="371"/>
      <c r="M111" s="371"/>
      <c r="N111" s="371"/>
      <c r="O111" s="371"/>
      <c r="P111" s="371"/>
      <c r="Q111" s="371"/>
    </row>
    <row r="112" spans="1:144" s="1" customFormat="1">
      <c r="B112" s="371" t="s">
        <v>43</v>
      </c>
      <c r="C112" s="371"/>
      <c r="D112" s="371"/>
      <c r="E112" s="371"/>
      <c r="F112" s="371"/>
      <c r="G112" s="371"/>
      <c r="H112" s="371"/>
      <c r="I112" s="371"/>
      <c r="J112" s="371"/>
      <c r="K112" s="371"/>
      <c r="L112" s="371"/>
      <c r="M112" s="371"/>
      <c r="N112" s="371"/>
      <c r="O112" s="371"/>
      <c r="P112" s="371"/>
      <c r="Q112" s="371"/>
    </row>
    <row r="113" spans="1:144" s="1" customFormat="1">
      <c r="B113" s="371" t="str">
        <f>B9</f>
        <v>FOR TEST YEAR ENDED SEPTEMBER 30, 2023</v>
      </c>
      <c r="C113" s="371"/>
      <c r="D113" s="371"/>
      <c r="E113" s="371"/>
      <c r="F113" s="371"/>
      <c r="G113" s="371"/>
      <c r="H113" s="371"/>
      <c r="I113" s="371"/>
      <c r="J113" s="371"/>
      <c r="K113" s="371"/>
      <c r="L113" s="371"/>
      <c r="M113" s="371"/>
      <c r="N113" s="371"/>
      <c r="O113" s="371"/>
      <c r="P113" s="371"/>
      <c r="Q113" s="371"/>
    </row>
    <row r="114" spans="1:144">
      <c r="B114" s="147" t="s">
        <v>94</v>
      </c>
      <c r="C114" s="87"/>
      <c r="D114" s="404">
        <f>+D11</f>
        <v>0</v>
      </c>
      <c r="E114" s="169"/>
      <c r="F114" s="169"/>
      <c r="G114" s="413">
        <f>G11</f>
        <v>0</v>
      </c>
      <c r="H114" s="169"/>
      <c r="I114" s="169"/>
      <c r="J114" s="177"/>
      <c r="K114" s="169"/>
      <c r="L114" s="169"/>
      <c r="M114" s="169"/>
      <c r="N114" s="169"/>
      <c r="O114" s="169"/>
      <c r="P114" s="177"/>
      <c r="Q114" s="403"/>
    </row>
    <row r="115" spans="1:144">
      <c r="A115" s="10" t="s">
        <v>32</v>
      </c>
      <c r="B115" s="361" t="s">
        <v>0</v>
      </c>
      <c r="C115" s="361" t="s">
        <v>7</v>
      </c>
      <c r="D115" s="406" t="str">
        <f>+D12</f>
        <v>Oct-22</v>
      </c>
      <c r="E115" s="406" t="str">
        <f t="shared" ref="E115:P115" si="38">+E12</f>
        <v>Nov-22</v>
      </c>
      <c r="F115" s="406" t="str">
        <f t="shared" si="38"/>
        <v>Dec-22</v>
      </c>
      <c r="G115" s="406" t="str">
        <f t="shared" si="38"/>
        <v>Jan-23</v>
      </c>
      <c r="H115" s="406" t="str">
        <f t="shared" si="38"/>
        <v>Feb-23</v>
      </c>
      <c r="I115" s="406" t="str">
        <f t="shared" si="38"/>
        <v>Mar-23</v>
      </c>
      <c r="J115" s="406" t="str">
        <f t="shared" si="38"/>
        <v>Apr-23</v>
      </c>
      <c r="K115" s="406" t="str">
        <f t="shared" si="38"/>
        <v>May-23</v>
      </c>
      <c r="L115" s="406" t="str">
        <f t="shared" si="38"/>
        <v>Jun-23</v>
      </c>
      <c r="M115" s="406" t="str">
        <f t="shared" si="38"/>
        <v>Jul-23</v>
      </c>
      <c r="N115" s="406" t="str">
        <f t="shared" si="38"/>
        <v>Aug-23</v>
      </c>
      <c r="O115" s="406" t="str">
        <f t="shared" si="38"/>
        <v>Sep-23</v>
      </c>
      <c r="P115" s="406" t="str">
        <f t="shared" si="38"/>
        <v>TOTAL</v>
      </c>
      <c r="Q115" s="414" t="s">
        <v>16</v>
      </c>
    </row>
    <row r="116" spans="1:144">
      <c r="B116" s="361"/>
      <c r="C116" s="361"/>
      <c r="D116" s="406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77"/>
      <c r="Q116" s="403"/>
    </row>
    <row r="117" spans="1:144" s="4" customFormat="1" ht="11.25">
      <c r="A117" s="386" t="s">
        <v>9</v>
      </c>
      <c r="B117" s="87" t="s">
        <v>17</v>
      </c>
      <c r="C117" s="99" t="s">
        <v>4</v>
      </c>
      <c r="D117" s="177">
        <f t="shared" ref="D117:O117" si="39">D48+D14+D83</f>
        <v>935238</v>
      </c>
      <c r="E117" s="177">
        <f t="shared" si="39"/>
        <v>935238</v>
      </c>
      <c r="F117" s="177">
        <f t="shared" si="39"/>
        <v>935238</v>
      </c>
      <c r="G117" s="177">
        <f t="shared" si="39"/>
        <v>935238</v>
      </c>
      <c r="H117" s="177">
        <f t="shared" si="39"/>
        <v>935238</v>
      </c>
      <c r="I117" s="177">
        <f t="shared" si="39"/>
        <v>935237.99999999988</v>
      </c>
      <c r="J117" s="177">
        <f t="shared" si="39"/>
        <v>935237.99999999988</v>
      </c>
      <c r="K117" s="177">
        <f t="shared" si="39"/>
        <v>935237.99999999988</v>
      </c>
      <c r="L117" s="177">
        <f t="shared" si="39"/>
        <v>935238.00000000012</v>
      </c>
      <c r="M117" s="177">
        <f t="shared" si="39"/>
        <v>935238</v>
      </c>
      <c r="N117" s="177">
        <f t="shared" si="39"/>
        <v>935238</v>
      </c>
      <c r="O117" s="177">
        <f t="shared" si="39"/>
        <v>935238</v>
      </c>
      <c r="P117" s="312">
        <f>SUM(D117:O117)</f>
        <v>11222856</v>
      </c>
      <c r="Q117" s="312">
        <f>P117/12</f>
        <v>935238</v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</row>
    <row r="118" spans="1:144" s="4" customFormat="1" ht="11.25">
      <c r="B118" s="87"/>
      <c r="C118" s="99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312"/>
      <c r="Q118" s="312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</row>
    <row r="119" spans="1:144" s="4" customFormat="1" ht="11.25">
      <c r="A119" s="386">
        <v>2</v>
      </c>
      <c r="B119" s="87" t="s">
        <v>150</v>
      </c>
      <c r="C119" s="99" t="s">
        <v>4</v>
      </c>
      <c r="D119" s="177">
        <f t="shared" ref="D119:O119" si="40">D50+D16+D85</f>
        <v>99366</v>
      </c>
      <c r="E119" s="177">
        <f t="shared" si="40"/>
        <v>99366</v>
      </c>
      <c r="F119" s="177">
        <f t="shared" si="40"/>
        <v>99366</v>
      </c>
      <c r="G119" s="177">
        <f t="shared" si="40"/>
        <v>99366</v>
      </c>
      <c r="H119" s="177">
        <f t="shared" si="40"/>
        <v>99366</v>
      </c>
      <c r="I119" s="177">
        <f t="shared" si="40"/>
        <v>99366</v>
      </c>
      <c r="J119" s="177">
        <f t="shared" si="40"/>
        <v>99366</v>
      </c>
      <c r="K119" s="177">
        <f t="shared" si="40"/>
        <v>99366</v>
      </c>
      <c r="L119" s="177">
        <f t="shared" si="40"/>
        <v>99366</v>
      </c>
      <c r="M119" s="177">
        <f t="shared" si="40"/>
        <v>99366</v>
      </c>
      <c r="N119" s="177">
        <f t="shared" si="40"/>
        <v>99366</v>
      </c>
      <c r="O119" s="177">
        <f t="shared" si="40"/>
        <v>99366</v>
      </c>
      <c r="P119" s="312">
        <f>SUM(D119:O119)</f>
        <v>1192392</v>
      </c>
      <c r="Q119" s="312">
        <f t="shared" ref="Q119:Q141" si="41">P119/12</f>
        <v>99366</v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</row>
    <row r="120" spans="1:144" s="4" customFormat="1" ht="11.25">
      <c r="A120" s="386"/>
      <c r="B120" s="87"/>
      <c r="C120" s="99"/>
      <c r="D120" s="177"/>
      <c r="E120" s="177"/>
      <c r="F120" s="177"/>
      <c r="G120" s="177"/>
      <c r="H120" s="177"/>
      <c r="I120" s="177"/>
      <c r="J120" s="177"/>
      <c r="K120" s="177"/>
      <c r="L120" s="177"/>
      <c r="M120" s="177"/>
      <c r="N120" s="177"/>
      <c r="O120" s="177"/>
      <c r="P120" s="312"/>
      <c r="Q120" s="312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</row>
    <row r="121" spans="1:144" s="4" customFormat="1" ht="11.25">
      <c r="A121" s="386">
        <v>3</v>
      </c>
      <c r="B121" s="87" t="s">
        <v>81</v>
      </c>
      <c r="C121" s="157" t="s">
        <v>4</v>
      </c>
      <c r="D121" s="177">
        <f t="shared" ref="D121:O121" si="42">D52+D18+D87</f>
        <v>71833</v>
      </c>
      <c r="E121" s="177">
        <f t="shared" si="42"/>
        <v>71833</v>
      </c>
      <c r="F121" s="177">
        <f t="shared" si="42"/>
        <v>71833</v>
      </c>
      <c r="G121" s="177">
        <f t="shared" si="42"/>
        <v>71833</v>
      </c>
      <c r="H121" s="177">
        <f t="shared" si="42"/>
        <v>71833</v>
      </c>
      <c r="I121" s="177">
        <f t="shared" si="42"/>
        <v>71833</v>
      </c>
      <c r="J121" s="177">
        <f t="shared" si="42"/>
        <v>71833</v>
      </c>
      <c r="K121" s="177">
        <f t="shared" si="42"/>
        <v>71833</v>
      </c>
      <c r="L121" s="177">
        <f t="shared" si="42"/>
        <v>71833</v>
      </c>
      <c r="M121" s="177">
        <f t="shared" si="42"/>
        <v>71833</v>
      </c>
      <c r="N121" s="177">
        <f t="shared" si="42"/>
        <v>71833</v>
      </c>
      <c r="O121" s="177">
        <f t="shared" si="42"/>
        <v>71833</v>
      </c>
      <c r="P121" s="312">
        <f>SUM(D121:O121)</f>
        <v>861996</v>
      </c>
      <c r="Q121" s="312">
        <f t="shared" si="41"/>
        <v>71833</v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</row>
    <row r="122" spans="1:144" s="4" customFormat="1" ht="11.25">
      <c r="A122" s="386">
        <v>4</v>
      </c>
      <c r="B122" s="87" t="s">
        <v>85</v>
      </c>
      <c r="C122" s="157" t="s">
        <v>4</v>
      </c>
      <c r="D122" s="388">
        <f t="shared" ref="D122:O122" si="43">D53+D19+D88</f>
        <v>576</v>
      </c>
      <c r="E122" s="388">
        <f t="shared" si="43"/>
        <v>576</v>
      </c>
      <c r="F122" s="388">
        <f t="shared" si="43"/>
        <v>576</v>
      </c>
      <c r="G122" s="388">
        <f t="shared" si="43"/>
        <v>576</v>
      </c>
      <c r="H122" s="388">
        <f t="shared" si="43"/>
        <v>576</v>
      </c>
      <c r="I122" s="388">
        <f t="shared" si="43"/>
        <v>576</v>
      </c>
      <c r="J122" s="388">
        <f t="shared" si="43"/>
        <v>576</v>
      </c>
      <c r="K122" s="388">
        <f t="shared" si="43"/>
        <v>576</v>
      </c>
      <c r="L122" s="388">
        <f t="shared" si="43"/>
        <v>576</v>
      </c>
      <c r="M122" s="388">
        <f t="shared" si="43"/>
        <v>576</v>
      </c>
      <c r="N122" s="388">
        <f t="shared" si="43"/>
        <v>576</v>
      </c>
      <c r="O122" s="388">
        <f t="shared" si="43"/>
        <v>576</v>
      </c>
      <c r="P122" s="389">
        <f>SUM(D122:O122)</f>
        <v>6912</v>
      </c>
      <c r="Q122" s="389">
        <f t="shared" si="41"/>
        <v>576</v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</row>
    <row r="123" spans="1:144" s="4" customFormat="1" ht="11.25">
      <c r="A123" s="386">
        <v>5</v>
      </c>
      <c r="B123" s="131" t="s">
        <v>18</v>
      </c>
      <c r="C123" s="99"/>
      <c r="D123" s="177">
        <f t="shared" ref="D123:O123" si="44">SUM(D121:D122)</f>
        <v>72409</v>
      </c>
      <c r="E123" s="177">
        <f t="shared" si="44"/>
        <v>72409</v>
      </c>
      <c r="F123" s="177">
        <f t="shared" si="44"/>
        <v>72409</v>
      </c>
      <c r="G123" s="177">
        <f t="shared" si="44"/>
        <v>72409</v>
      </c>
      <c r="H123" s="177">
        <f t="shared" si="44"/>
        <v>72409</v>
      </c>
      <c r="I123" s="177">
        <f t="shared" si="44"/>
        <v>72409</v>
      </c>
      <c r="J123" s="177">
        <f t="shared" si="44"/>
        <v>72409</v>
      </c>
      <c r="K123" s="177">
        <f t="shared" si="44"/>
        <v>72409</v>
      </c>
      <c r="L123" s="177">
        <f t="shared" si="44"/>
        <v>72409</v>
      </c>
      <c r="M123" s="177">
        <f t="shared" si="44"/>
        <v>72409</v>
      </c>
      <c r="N123" s="177">
        <f t="shared" si="44"/>
        <v>72409</v>
      </c>
      <c r="O123" s="177">
        <f t="shared" si="44"/>
        <v>72409</v>
      </c>
      <c r="P123" s="312">
        <f>SUM(D123:O123)</f>
        <v>868908</v>
      </c>
      <c r="Q123" s="312">
        <f t="shared" si="41"/>
        <v>72409</v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</row>
    <row r="124" spans="1:144" s="4" customFormat="1" ht="11.25">
      <c r="B124" s="147"/>
      <c r="C124" s="99"/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  <c r="O124" s="177"/>
      <c r="P124" s="312"/>
      <c r="Q124" s="312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</row>
    <row r="125" spans="1:144" s="4" customFormat="1" ht="11.25">
      <c r="A125" s="386">
        <v>6</v>
      </c>
      <c r="B125" s="87" t="s">
        <v>82</v>
      </c>
      <c r="C125" s="157" t="s">
        <v>5</v>
      </c>
      <c r="D125" s="177">
        <f t="shared" ref="D125:O125" si="45">D56+D22+D91</f>
        <v>550</v>
      </c>
      <c r="E125" s="177">
        <f t="shared" si="45"/>
        <v>550</v>
      </c>
      <c r="F125" s="177">
        <f t="shared" si="45"/>
        <v>550</v>
      </c>
      <c r="G125" s="177">
        <f t="shared" si="45"/>
        <v>550</v>
      </c>
      <c r="H125" s="177">
        <f t="shared" si="45"/>
        <v>550</v>
      </c>
      <c r="I125" s="177">
        <f t="shared" si="45"/>
        <v>550</v>
      </c>
      <c r="J125" s="177">
        <f t="shared" si="45"/>
        <v>550</v>
      </c>
      <c r="K125" s="177">
        <f t="shared" si="45"/>
        <v>550</v>
      </c>
      <c r="L125" s="177">
        <f t="shared" si="45"/>
        <v>550</v>
      </c>
      <c r="M125" s="177">
        <f t="shared" si="45"/>
        <v>550</v>
      </c>
      <c r="N125" s="177">
        <f t="shared" si="45"/>
        <v>550</v>
      </c>
      <c r="O125" s="177">
        <f t="shared" si="45"/>
        <v>550</v>
      </c>
      <c r="P125" s="312">
        <f>SUM(D125:O125)</f>
        <v>6600</v>
      </c>
      <c r="Q125" s="312">
        <f t="shared" si="41"/>
        <v>550</v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</row>
    <row r="126" spans="1:144" s="4" customFormat="1" ht="11.25">
      <c r="A126" s="386">
        <v>7</v>
      </c>
      <c r="B126" s="87" t="s">
        <v>83</v>
      </c>
      <c r="C126" s="157" t="s">
        <v>5</v>
      </c>
      <c r="D126" s="390">
        <f t="shared" ref="D126:O126" si="46">D57+D23+D92</f>
        <v>468.99999999999994</v>
      </c>
      <c r="E126" s="390">
        <f t="shared" si="46"/>
        <v>468.99999999999994</v>
      </c>
      <c r="F126" s="390">
        <f t="shared" si="46"/>
        <v>469</v>
      </c>
      <c r="G126" s="390">
        <f t="shared" si="46"/>
        <v>469</v>
      </c>
      <c r="H126" s="390">
        <f t="shared" si="46"/>
        <v>469</v>
      </c>
      <c r="I126" s="390">
        <f t="shared" si="46"/>
        <v>469</v>
      </c>
      <c r="J126" s="390">
        <f t="shared" si="46"/>
        <v>469</v>
      </c>
      <c r="K126" s="390">
        <f t="shared" si="46"/>
        <v>469</v>
      </c>
      <c r="L126" s="390">
        <f t="shared" si="46"/>
        <v>469</v>
      </c>
      <c r="M126" s="390">
        <f t="shared" si="46"/>
        <v>469</v>
      </c>
      <c r="N126" s="390">
        <f t="shared" si="46"/>
        <v>469</v>
      </c>
      <c r="O126" s="390">
        <f t="shared" si="46"/>
        <v>469</v>
      </c>
      <c r="P126" s="312">
        <f>SUM(D126:O126)</f>
        <v>5628</v>
      </c>
      <c r="Q126" s="312">
        <f t="shared" si="41"/>
        <v>469</v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</row>
    <row r="127" spans="1:144" s="4" customFormat="1" ht="11.25">
      <c r="A127" s="386">
        <v>8</v>
      </c>
      <c r="B127" s="87" t="s">
        <v>148</v>
      </c>
      <c r="C127" s="157" t="s">
        <v>5</v>
      </c>
      <c r="D127" s="390">
        <f t="shared" ref="D127:O127" si="47">D58+D24+D93</f>
        <v>9</v>
      </c>
      <c r="E127" s="390">
        <f t="shared" si="47"/>
        <v>9</v>
      </c>
      <c r="F127" s="390">
        <f t="shared" si="47"/>
        <v>9</v>
      </c>
      <c r="G127" s="390">
        <f t="shared" si="47"/>
        <v>9</v>
      </c>
      <c r="H127" s="390">
        <f t="shared" si="47"/>
        <v>9</v>
      </c>
      <c r="I127" s="390">
        <f t="shared" si="47"/>
        <v>9</v>
      </c>
      <c r="J127" s="390">
        <f t="shared" si="47"/>
        <v>9</v>
      </c>
      <c r="K127" s="390">
        <f t="shared" si="47"/>
        <v>9</v>
      </c>
      <c r="L127" s="390">
        <f t="shared" si="47"/>
        <v>9</v>
      </c>
      <c r="M127" s="390">
        <f t="shared" si="47"/>
        <v>9</v>
      </c>
      <c r="N127" s="390">
        <f t="shared" si="47"/>
        <v>9</v>
      </c>
      <c r="O127" s="390">
        <f t="shared" si="47"/>
        <v>9</v>
      </c>
      <c r="P127" s="312">
        <f t="shared" ref="P127:P128" si="48">SUM(D127:O127)</f>
        <v>108</v>
      </c>
      <c r="Q127" s="312">
        <f t="shared" si="41"/>
        <v>9</v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</row>
    <row r="128" spans="1:144" s="4" customFormat="1" ht="11.25">
      <c r="A128" s="386">
        <v>9</v>
      </c>
      <c r="B128" s="87" t="s">
        <v>149</v>
      </c>
      <c r="C128" s="157" t="s">
        <v>5</v>
      </c>
      <c r="D128" s="390">
        <f t="shared" ref="D128:O128" si="49">D59+D25+D94</f>
        <v>58</v>
      </c>
      <c r="E128" s="390">
        <f t="shared" si="49"/>
        <v>58</v>
      </c>
      <c r="F128" s="390">
        <f t="shared" si="49"/>
        <v>58</v>
      </c>
      <c r="G128" s="390">
        <f t="shared" si="49"/>
        <v>58</v>
      </c>
      <c r="H128" s="390">
        <f t="shared" si="49"/>
        <v>58</v>
      </c>
      <c r="I128" s="390">
        <f t="shared" si="49"/>
        <v>58</v>
      </c>
      <c r="J128" s="390">
        <f t="shared" si="49"/>
        <v>58</v>
      </c>
      <c r="K128" s="390">
        <f t="shared" si="49"/>
        <v>58</v>
      </c>
      <c r="L128" s="390">
        <f t="shared" si="49"/>
        <v>58</v>
      </c>
      <c r="M128" s="390">
        <f t="shared" si="49"/>
        <v>58</v>
      </c>
      <c r="N128" s="390">
        <f t="shared" si="49"/>
        <v>58</v>
      </c>
      <c r="O128" s="390">
        <f t="shared" si="49"/>
        <v>58</v>
      </c>
      <c r="P128" s="312">
        <f t="shared" si="48"/>
        <v>696</v>
      </c>
      <c r="Q128" s="312">
        <f t="shared" si="41"/>
        <v>58</v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</row>
    <row r="129" spans="1:144" s="4" customFormat="1" ht="11.25">
      <c r="A129" s="386">
        <v>10</v>
      </c>
      <c r="B129" s="87" t="s">
        <v>19</v>
      </c>
      <c r="C129" s="157"/>
      <c r="D129" s="391">
        <f>SUM(D125:D128)</f>
        <v>1086</v>
      </c>
      <c r="E129" s="391">
        <f t="shared" ref="E129:P129" si="50">SUM(E125:E128)</f>
        <v>1086</v>
      </c>
      <c r="F129" s="391">
        <f t="shared" si="50"/>
        <v>1086</v>
      </c>
      <c r="G129" s="391">
        <f t="shared" si="50"/>
        <v>1086</v>
      </c>
      <c r="H129" s="391">
        <f t="shared" si="50"/>
        <v>1086</v>
      </c>
      <c r="I129" s="391">
        <f t="shared" si="50"/>
        <v>1086</v>
      </c>
      <c r="J129" s="391">
        <f t="shared" si="50"/>
        <v>1086</v>
      </c>
      <c r="K129" s="391">
        <f t="shared" si="50"/>
        <v>1086</v>
      </c>
      <c r="L129" s="391">
        <f t="shared" si="50"/>
        <v>1086</v>
      </c>
      <c r="M129" s="391">
        <f t="shared" si="50"/>
        <v>1086</v>
      </c>
      <c r="N129" s="391">
        <f t="shared" si="50"/>
        <v>1086</v>
      </c>
      <c r="O129" s="391">
        <f t="shared" si="50"/>
        <v>1086</v>
      </c>
      <c r="P129" s="391">
        <f t="shared" si="50"/>
        <v>13032</v>
      </c>
      <c r="Q129" s="392">
        <f t="shared" si="41"/>
        <v>1086</v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</row>
    <row r="130" spans="1:144" s="4" customFormat="1" ht="11.25">
      <c r="A130" s="386"/>
      <c r="B130" s="87"/>
      <c r="C130" s="157"/>
      <c r="D130" s="177"/>
      <c r="E130" s="177"/>
      <c r="F130" s="177"/>
      <c r="G130" s="177"/>
      <c r="H130" s="177"/>
      <c r="I130" s="177"/>
      <c r="J130" s="177"/>
      <c r="K130" s="177"/>
      <c r="L130" s="177"/>
      <c r="M130" s="177"/>
      <c r="N130" s="177"/>
      <c r="O130" s="101"/>
      <c r="P130" s="312"/>
      <c r="Q130" s="312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</row>
    <row r="131" spans="1:144" s="4" customFormat="1" ht="11.25">
      <c r="A131" s="386">
        <v>11</v>
      </c>
      <c r="B131" s="131" t="s">
        <v>86</v>
      </c>
      <c r="C131" s="157" t="s">
        <v>6</v>
      </c>
      <c r="D131" s="177">
        <f t="shared" ref="D131:O131" si="51">D62+D28+D97</f>
        <v>123</v>
      </c>
      <c r="E131" s="177">
        <f t="shared" si="51"/>
        <v>123</v>
      </c>
      <c r="F131" s="177">
        <f t="shared" si="51"/>
        <v>123</v>
      </c>
      <c r="G131" s="177">
        <f t="shared" si="51"/>
        <v>123</v>
      </c>
      <c r="H131" s="177">
        <f t="shared" si="51"/>
        <v>123</v>
      </c>
      <c r="I131" s="177">
        <f t="shared" si="51"/>
        <v>123</v>
      </c>
      <c r="J131" s="177">
        <f t="shared" si="51"/>
        <v>123</v>
      </c>
      <c r="K131" s="177">
        <f t="shared" si="51"/>
        <v>123</v>
      </c>
      <c r="L131" s="177">
        <f t="shared" si="51"/>
        <v>123</v>
      </c>
      <c r="M131" s="177">
        <f t="shared" si="51"/>
        <v>123</v>
      </c>
      <c r="N131" s="177">
        <f t="shared" si="51"/>
        <v>123</v>
      </c>
      <c r="O131" s="177">
        <f t="shared" si="51"/>
        <v>123</v>
      </c>
      <c r="P131" s="312">
        <f>SUM(D131:O131)</f>
        <v>1476</v>
      </c>
      <c r="Q131" s="312">
        <f t="shared" si="41"/>
        <v>123</v>
      </c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</row>
    <row r="132" spans="1:144" s="4" customFormat="1" ht="11.25">
      <c r="B132" s="87"/>
      <c r="C132" s="99"/>
      <c r="D132" s="177"/>
      <c r="E132" s="177"/>
      <c r="F132" s="177"/>
      <c r="G132" s="177"/>
      <c r="H132" s="177"/>
      <c r="I132" s="177"/>
      <c r="J132" s="177"/>
      <c r="K132" s="177"/>
      <c r="L132" s="177"/>
      <c r="M132" s="177"/>
      <c r="N132" s="177"/>
      <c r="O132" s="177"/>
      <c r="P132" s="312"/>
      <c r="Q132" s="312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</row>
    <row r="133" spans="1:144" s="4" customFormat="1" ht="11.25">
      <c r="A133" s="386">
        <v>12</v>
      </c>
      <c r="B133" s="89" t="s">
        <v>21</v>
      </c>
      <c r="C133" s="157" t="s">
        <v>4</v>
      </c>
      <c r="D133" s="177">
        <f t="shared" ref="D133:O133" si="52">D64+D30+D99</f>
        <v>221390</v>
      </c>
      <c r="E133" s="177">
        <f t="shared" si="52"/>
        <v>221390</v>
      </c>
      <c r="F133" s="177">
        <f t="shared" si="52"/>
        <v>221390</v>
      </c>
      <c r="G133" s="177">
        <f t="shared" si="52"/>
        <v>221390</v>
      </c>
      <c r="H133" s="177">
        <f t="shared" si="52"/>
        <v>221390</v>
      </c>
      <c r="I133" s="177">
        <f t="shared" si="52"/>
        <v>221390</v>
      </c>
      <c r="J133" s="177">
        <f t="shared" si="52"/>
        <v>221390</v>
      </c>
      <c r="K133" s="177">
        <f t="shared" si="52"/>
        <v>221390</v>
      </c>
      <c r="L133" s="177">
        <f t="shared" si="52"/>
        <v>221390</v>
      </c>
      <c r="M133" s="177">
        <f t="shared" si="52"/>
        <v>221390</v>
      </c>
      <c r="N133" s="177">
        <f t="shared" si="52"/>
        <v>221390</v>
      </c>
      <c r="O133" s="177">
        <f t="shared" si="52"/>
        <v>221390</v>
      </c>
      <c r="P133" s="312">
        <f>SUM(D133:O133)</f>
        <v>2656680</v>
      </c>
      <c r="Q133" s="312">
        <f t="shared" si="41"/>
        <v>221390</v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</row>
    <row r="134" spans="1:144" s="4" customFormat="1" ht="11.25">
      <c r="A134" s="386"/>
      <c r="B134" s="87"/>
      <c r="C134" s="99"/>
      <c r="D134" s="177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  <c r="O134" s="177"/>
      <c r="P134" s="312"/>
      <c r="Q134" s="312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</row>
    <row r="135" spans="1:144" s="4" customFormat="1" ht="11.25">
      <c r="A135" s="386">
        <v>13</v>
      </c>
      <c r="B135" s="393" t="s">
        <v>22</v>
      </c>
      <c r="C135" s="362"/>
      <c r="D135" s="394">
        <f t="shared" ref="D135:O135" si="53">D133+D131+D129+D123+D119+D117</f>
        <v>1329612</v>
      </c>
      <c r="E135" s="394">
        <f t="shared" si="53"/>
        <v>1329612</v>
      </c>
      <c r="F135" s="394">
        <f t="shared" si="53"/>
        <v>1329612</v>
      </c>
      <c r="G135" s="394">
        <f t="shared" si="53"/>
        <v>1329612</v>
      </c>
      <c r="H135" s="394">
        <f t="shared" si="53"/>
        <v>1329612</v>
      </c>
      <c r="I135" s="394">
        <f t="shared" si="53"/>
        <v>1329612</v>
      </c>
      <c r="J135" s="394">
        <f t="shared" si="53"/>
        <v>1329612</v>
      </c>
      <c r="K135" s="394">
        <f t="shared" si="53"/>
        <v>1329612</v>
      </c>
      <c r="L135" s="394">
        <f t="shared" si="53"/>
        <v>1329612</v>
      </c>
      <c r="M135" s="394">
        <f t="shared" si="53"/>
        <v>1329612</v>
      </c>
      <c r="N135" s="394">
        <f t="shared" si="53"/>
        <v>1329612</v>
      </c>
      <c r="O135" s="394">
        <f t="shared" si="53"/>
        <v>1329612</v>
      </c>
      <c r="P135" s="395">
        <f>SUM(D135:O135)</f>
        <v>15955344</v>
      </c>
      <c r="Q135" s="395">
        <f t="shared" si="41"/>
        <v>1329612</v>
      </c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</row>
    <row r="136" spans="1:144" s="4" customFormat="1" ht="11.25">
      <c r="B136" s="362"/>
      <c r="C136" s="362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312"/>
      <c r="Q136" s="312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</row>
    <row r="137" spans="1:144" s="4" customFormat="1" ht="11.25">
      <c r="A137" s="386">
        <v>14</v>
      </c>
      <c r="B137" s="89" t="s">
        <v>69</v>
      </c>
      <c r="C137" s="157" t="s">
        <v>5</v>
      </c>
      <c r="D137" s="177">
        <f t="shared" ref="D137:O137" si="54">D68+D34</f>
        <v>0</v>
      </c>
      <c r="E137" s="177">
        <f t="shared" si="54"/>
        <v>0</v>
      </c>
      <c r="F137" s="177">
        <f t="shared" si="54"/>
        <v>0</v>
      </c>
      <c r="G137" s="177">
        <f t="shared" si="54"/>
        <v>0</v>
      </c>
      <c r="H137" s="177">
        <f t="shared" si="54"/>
        <v>0</v>
      </c>
      <c r="I137" s="177">
        <f t="shared" si="54"/>
        <v>0</v>
      </c>
      <c r="J137" s="177">
        <f t="shared" si="54"/>
        <v>0</v>
      </c>
      <c r="K137" s="177">
        <f t="shared" si="54"/>
        <v>0</v>
      </c>
      <c r="L137" s="177">
        <f t="shared" si="54"/>
        <v>0</v>
      </c>
      <c r="M137" s="177">
        <f t="shared" si="54"/>
        <v>0</v>
      </c>
      <c r="N137" s="177">
        <f t="shared" si="54"/>
        <v>0</v>
      </c>
      <c r="O137" s="177">
        <f t="shared" si="54"/>
        <v>0</v>
      </c>
      <c r="P137" s="312">
        <f>SUM(D137:O137)</f>
        <v>0</v>
      </c>
      <c r="Q137" s="312">
        <f t="shared" si="41"/>
        <v>0</v>
      </c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</row>
    <row r="138" spans="1:144" s="4" customFormat="1" ht="11.25">
      <c r="A138" s="386">
        <v>15</v>
      </c>
      <c r="B138" s="89" t="s">
        <v>70</v>
      </c>
      <c r="C138" s="157" t="s">
        <v>6</v>
      </c>
      <c r="D138" s="388"/>
      <c r="E138" s="388"/>
      <c r="F138" s="388"/>
      <c r="G138" s="388"/>
      <c r="H138" s="388"/>
      <c r="I138" s="388"/>
      <c r="J138" s="388"/>
      <c r="K138" s="388"/>
      <c r="L138" s="388"/>
      <c r="M138" s="388"/>
      <c r="N138" s="388"/>
      <c r="O138" s="388"/>
      <c r="P138" s="389">
        <f>SUM(D138:O138)</f>
        <v>0</v>
      </c>
      <c r="Q138" s="389">
        <f t="shared" si="41"/>
        <v>0</v>
      </c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</row>
    <row r="139" spans="1:144" s="4" customFormat="1" ht="11.25">
      <c r="A139" s="386">
        <v>16</v>
      </c>
      <c r="B139" s="393" t="s">
        <v>23</v>
      </c>
      <c r="C139" s="361"/>
      <c r="D139" s="101">
        <f t="shared" ref="D139:O139" si="55">SUM(D137:D138)</f>
        <v>0</v>
      </c>
      <c r="E139" s="101">
        <f t="shared" si="55"/>
        <v>0</v>
      </c>
      <c r="F139" s="101">
        <f t="shared" si="55"/>
        <v>0</v>
      </c>
      <c r="G139" s="101">
        <f t="shared" si="55"/>
        <v>0</v>
      </c>
      <c r="H139" s="101">
        <f t="shared" si="55"/>
        <v>0</v>
      </c>
      <c r="I139" s="101">
        <f t="shared" si="55"/>
        <v>0</v>
      </c>
      <c r="J139" s="101">
        <f t="shared" si="55"/>
        <v>0</v>
      </c>
      <c r="K139" s="101">
        <f t="shared" si="55"/>
        <v>0</v>
      </c>
      <c r="L139" s="101">
        <f t="shared" si="55"/>
        <v>0</v>
      </c>
      <c r="M139" s="101">
        <f t="shared" si="55"/>
        <v>0</v>
      </c>
      <c r="N139" s="101">
        <f t="shared" si="55"/>
        <v>0</v>
      </c>
      <c r="O139" s="101">
        <f t="shared" si="55"/>
        <v>0</v>
      </c>
      <c r="P139" s="312">
        <f>SUM(D139:O139)</f>
        <v>0</v>
      </c>
      <c r="Q139" s="312">
        <f t="shared" si="41"/>
        <v>0</v>
      </c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</row>
    <row r="140" spans="1:144" s="4" customFormat="1" ht="11.25">
      <c r="A140" s="386"/>
      <c r="B140" s="87"/>
      <c r="C140" s="396"/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  <c r="O140" s="177"/>
      <c r="P140" s="312"/>
      <c r="Q140" s="312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</row>
    <row r="141" spans="1:144" s="4" customFormat="1" ht="12" thickBot="1">
      <c r="A141" s="386">
        <v>17</v>
      </c>
      <c r="B141" s="147" t="s">
        <v>92</v>
      </c>
      <c r="C141" s="361"/>
      <c r="D141" s="397">
        <f t="shared" ref="D141:O141" si="56">+D139+D135</f>
        <v>1329612</v>
      </c>
      <c r="E141" s="397">
        <f t="shared" si="56"/>
        <v>1329612</v>
      </c>
      <c r="F141" s="397">
        <f t="shared" si="56"/>
        <v>1329612</v>
      </c>
      <c r="G141" s="397">
        <f t="shared" si="56"/>
        <v>1329612</v>
      </c>
      <c r="H141" s="397">
        <f t="shared" si="56"/>
        <v>1329612</v>
      </c>
      <c r="I141" s="397">
        <f t="shared" si="56"/>
        <v>1329612</v>
      </c>
      <c r="J141" s="397">
        <f t="shared" si="56"/>
        <v>1329612</v>
      </c>
      <c r="K141" s="397">
        <f t="shared" si="56"/>
        <v>1329612</v>
      </c>
      <c r="L141" s="397">
        <f t="shared" si="56"/>
        <v>1329612</v>
      </c>
      <c r="M141" s="397">
        <f t="shared" si="56"/>
        <v>1329612</v>
      </c>
      <c r="N141" s="397">
        <f t="shared" si="56"/>
        <v>1329612</v>
      </c>
      <c r="O141" s="397">
        <f t="shared" si="56"/>
        <v>1329612</v>
      </c>
      <c r="P141" s="398">
        <f>SUM(D141:O141)</f>
        <v>15955344</v>
      </c>
      <c r="Q141" s="398">
        <f t="shared" si="41"/>
        <v>1329612</v>
      </c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</row>
    <row r="142" spans="1:144" ht="13.5" thickTop="1">
      <c r="A142" s="386"/>
      <c r="B142" s="87"/>
      <c r="C142" s="99"/>
      <c r="D142" s="408"/>
      <c r="E142" s="408"/>
      <c r="F142" s="408"/>
      <c r="G142" s="408"/>
      <c r="H142" s="408"/>
      <c r="I142" s="408"/>
      <c r="J142" s="408"/>
      <c r="K142" s="408"/>
      <c r="L142" s="408"/>
      <c r="M142" s="408"/>
      <c r="N142" s="408"/>
      <c r="O142" s="408"/>
      <c r="P142" s="408"/>
      <c r="Q142" s="409"/>
      <c r="R142" s="401"/>
      <c r="S142" s="401"/>
      <c r="T142" s="401"/>
      <c r="U142" s="401"/>
      <c r="V142" s="401"/>
      <c r="W142" s="401"/>
      <c r="X142" s="401"/>
      <c r="Y142" s="401"/>
      <c r="Z142" s="401"/>
      <c r="AA142" s="401"/>
      <c r="AB142" s="401"/>
      <c r="AC142" s="401"/>
      <c r="AD142" s="401"/>
      <c r="AE142" s="401"/>
      <c r="AF142" s="401"/>
      <c r="AG142" s="401"/>
      <c r="AH142" s="401"/>
      <c r="AI142" s="401"/>
      <c r="AJ142" s="401"/>
      <c r="AK142" s="401"/>
      <c r="AL142" s="401"/>
      <c r="AM142" s="401"/>
    </row>
    <row r="143" spans="1:144">
      <c r="B143" s="87" t="str">
        <f>+B39</f>
        <v>Note: Secondary &lt; 10 kW includes Unmetered service; Lighting customers are fixture counts.</v>
      </c>
      <c r="C143" s="105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399"/>
      <c r="Q143" s="400"/>
      <c r="R143" s="401"/>
      <c r="S143" s="401"/>
      <c r="T143" s="401"/>
      <c r="U143" s="401"/>
      <c r="V143" s="401"/>
      <c r="W143" s="401"/>
      <c r="X143" s="401"/>
      <c r="Y143" s="401"/>
      <c r="Z143" s="401"/>
      <c r="AA143" s="401"/>
      <c r="AB143" s="401"/>
      <c r="AC143" s="401"/>
      <c r="AD143" s="401"/>
      <c r="AE143" s="401"/>
      <c r="AF143" s="401"/>
      <c r="AG143" s="401"/>
      <c r="AH143" s="401"/>
      <c r="AI143" s="401"/>
      <c r="AJ143" s="401"/>
      <c r="AK143" s="401"/>
      <c r="AL143" s="401"/>
      <c r="AM143" s="401"/>
      <c r="AN143" s="401"/>
      <c r="AO143" s="401"/>
      <c r="AP143" s="401"/>
      <c r="AQ143" s="401"/>
      <c r="AR143" s="401"/>
      <c r="AS143" s="401"/>
      <c r="AT143" s="401"/>
      <c r="AU143" s="401"/>
      <c r="AV143" s="401"/>
      <c r="AW143" s="401"/>
      <c r="AX143" s="401"/>
      <c r="AY143" s="401"/>
      <c r="AZ143" s="401"/>
      <c r="BA143" s="401"/>
      <c r="BB143" s="401"/>
      <c r="BC143" s="401"/>
      <c r="BD143" s="401"/>
      <c r="BE143" s="401"/>
      <c r="BF143" s="401"/>
      <c r="BG143" s="401"/>
    </row>
    <row r="144" spans="1:144">
      <c r="A144" s="120"/>
      <c r="B144" s="70"/>
      <c r="C144" s="161"/>
      <c r="D144" s="70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399"/>
      <c r="Q144" s="400"/>
      <c r="R144" s="401"/>
      <c r="S144" s="401"/>
      <c r="T144" s="401"/>
      <c r="U144" s="401"/>
      <c r="V144" s="401"/>
      <c r="W144" s="401"/>
      <c r="X144" s="401"/>
      <c r="Y144" s="401"/>
      <c r="Z144" s="401"/>
      <c r="AA144" s="401"/>
      <c r="AB144" s="401"/>
      <c r="AC144" s="401"/>
      <c r="AD144" s="401"/>
      <c r="AE144" s="401"/>
      <c r="AF144" s="401"/>
      <c r="AG144" s="401"/>
      <c r="AH144" s="401"/>
      <c r="AI144" s="401"/>
      <c r="AJ144" s="401"/>
      <c r="AK144" s="401"/>
      <c r="AL144" s="401"/>
      <c r="AM144" s="401"/>
      <c r="AN144" s="401"/>
      <c r="AO144" s="401"/>
      <c r="AP144" s="401"/>
      <c r="AQ144" s="401"/>
      <c r="AR144" s="401"/>
      <c r="AS144" s="401"/>
      <c r="AT144" s="401"/>
      <c r="AU144" s="401"/>
      <c r="AV144" s="401"/>
      <c r="AW144" s="401"/>
      <c r="AX144" s="401"/>
      <c r="AY144" s="401"/>
      <c r="AZ144" s="401"/>
      <c r="BA144" s="401"/>
      <c r="BB144" s="401"/>
      <c r="BC144" s="401"/>
      <c r="BD144" s="401"/>
      <c r="BE144" s="401"/>
      <c r="BF144" s="401"/>
      <c r="BG144" s="401"/>
    </row>
    <row r="145" spans="1:144">
      <c r="A145" s="4"/>
      <c r="B145" s="70"/>
      <c r="C145" s="161"/>
      <c r="D145" s="399"/>
      <c r="E145" s="399"/>
      <c r="F145" s="399"/>
      <c r="G145" s="399"/>
      <c r="H145" s="399"/>
      <c r="I145" s="399"/>
      <c r="J145" s="399"/>
      <c r="K145" s="399"/>
      <c r="L145" s="399"/>
      <c r="M145" s="399"/>
      <c r="N145" s="399"/>
      <c r="O145" s="399"/>
      <c r="P145" s="399"/>
      <c r="Q145" s="399"/>
      <c r="R145" s="401"/>
      <c r="S145" s="401"/>
      <c r="T145" s="401"/>
      <c r="U145" s="401"/>
      <c r="V145" s="401"/>
      <c r="W145" s="401"/>
      <c r="X145" s="401"/>
      <c r="Y145" s="401"/>
      <c r="Z145" s="401"/>
      <c r="AA145" s="401"/>
      <c r="AB145" s="401"/>
      <c r="AC145" s="401"/>
      <c r="AD145" s="401"/>
      <c r="AE145" s="401"/>
      <c r="AF145" s="401"/>
      <c r="AG145" s="401"/>
      <c r="AH145" s="401"/>
      <c r="AI145" s="401"/>
      <c r="AJ145" s="401"/>
      <c r="AK145" s="401"/>
      <c r="AL145" s="401"/>
      <c r="AM145" s="401"/>
      <c r="AN145" s="401"/>
      <c r="AO145" s="401"/>
      <c r="AP145" s="401"/>
      <c r="AQ145" s="401"/>
      <c r="AR145" s="401"/>
      <c r="AS145" s="401"/>
      <c r="AT145" s="401"/>
      <c r="AU145" s="401"/>
      <c r="AV145" s="401"/>
      <c r="AW145" s="401"/>
      <c r="AX145" s="401"/>
      <c r="AY145" s="401"/>
      <c r="AZ145" s="401"/>
      <c r="BA145" s="401"/>
      <c r="BB145" s="401"/>
      <c r="BC145" s="401"/>
      <c r="BD145" s="401"/>
      <c r="BE145" s="401"/>
      <c r="BF145" s="401"/>
      <c r="BG145" s="401"/>
    </row>
    <row r="146" spans="1:144">
      <c r="B146" s="371" t="str">
        <f xml:space="preserve">                         +B7</f>
        <v>AEP TEXAS</v>
      </c>
      <c r="C146" s="371"/>
      <c r="D146" s="371"/>
      <c r="E146" s="371"/>
      <c r="F146" s="371"/>
      <c r="G146" s="371"/>
      <c r="H146" s="371"/>
      <c r="I146" s="371"/>
      <c r="J146" s="371"/>
      <c r="K146" s="371"/>
      <c r="L146" s="371"/>
      <c r="M146" s="371"/>
      <c r="N146" s="371"/>
      <c r="O146" s="371"/>
      <c r="P146" s="371"/>
      <c r="Q146" s="371"/>
    </row>
    <row r="147" spans="1:144">
      <c r="B147" s="371" t="s">
        <v>52</v>
      </c>
      <c r="C147" s="371"/>
      <c r="D147" s="371"/>
      <c r="E147" s="371"/>
      <c r="F147" s="371"/>
      <c r="G147" s="371"/>
      <c r="H147" s="371"/>
      <c r="I147" s="371"/>
      <c r="J147" s="371"/>
      <c r="K147" s="371"/>
      <c r="L147" s="371"/>
      <c r="M147" s="371"/>
      <c r="N147" s="371"/>
      <c r="O147" s="371"/>
      <c r="P147" s="371"/>
      <c r="Q147" s="371"/>
    </row>
    <row r="148" spans="1:144">
      <c r="B148" s="371" t="str">
        <f>B9</f>
        <v>FOR TEST YEAR ENDED SEPTEMBER 30, 2023</v>
      </c>
      <c r="C148" s="371"/>
      <c r="D148" s="371"/>
      <c r="E148" s="371"/>
      <c r="F148" s="371"/>
      <c r="G148" s="371"/>
      <c r="H148" s="371"/>
      <c r="I148" s="371"/>
      <c r="J148" s="371"/>
      <c r="K148" s="371"/>
      <c r="L148" s="371"/>
      <c r="M148" s="371"/>
      <c r="N148" s="371"/>
      <c r="O148" s="371"/>
      <c r="P148" s="371"/>
      <c r="Q148" s="371"/>
    </row>
    <row r="149" spans="1:144">
      <c r="B149" s="147" t="s">
        <v>93</v>
      </c>
      <c r="C149" s="80"/>
      <c r="D149" s="402"/>
      <c r="E149" s="402"/>
      <c r="F149" s="402"/>
      <c r="G149" s="402"/>
      <c r="H149" s="415"/>
      <c r="I149" s="402"/>
      <c r="J149" s="402"/>
      <c r="K149" s="402"/>
      <c r="L149" s="402"/>
      <c r="M149" s="402"/>
      <c r="N149" s="402"/>
      <c r="O149" s="402"/>
      <c r="P149" s="416"/>
      <c r="Q149" s="403"/>
    </row>
    <row r="150" spans="1:144">
      <c r="B150" s="147"/>
      <c r="C150" s="87"/>
      <c r="D150" s="404">
        <f>D11</f>
        <v>0</v>
      </c>
      <c r="E150" s="405"/>
      <c r="F150" s="405"/>
      <c r="G150" s="404">
        <f>G11</f>
        <v>0</v>
      </c>
      <c r="H150" s="405"/>
      <c r="I150" s="405"/>
      <c r="J150" s="177"/>
      <c r="K150" s="405"/>
      <c r="L150" s="405"/>
      <c r="M150" s="405"/>
      <c r="N150" s="405"/>
      <c r="O150" s="405"/>
      <c r="P150" s="416"/>
      <c r="Q150" s="403"/>
    </row>
    <row r="151" spans="1:144">
      <c r="A151" s="10" t="s">
        <v>8</v>
      </c>
      <c r="B151" s="361" t="s">
        <v>0</v>
      </c>
      <c r="C151" s="361" t="s">
        <v>7</v>
      </c>
      <c r="D151" s="406" t="str">
        <f t="shared" ref="D151:O151" si="57">+D12</f>
        <v>Oct-22</v>
      </c>
      <c r="E151" s="406" t="str">
        <f t="shared" si="57"/>
        <v>Nov-22</v>
      </c>
      <c r="F151" s="406" t="str">
        <f t="shared" si="57"/>
        <v>Dec-22</v>
      </c>
      <c r="G151" s="406" t="str">
        <f t="shared" si="57"/>
        <v>Jan-23</v>
      </c>
      <c r="H151" s="406" t="str">
        <f t="shared" si="57"/>
        <v>Feb-23</v>
      </c>
      <c r="I151" s="406" t="str">
        <f t="shared" si="57"/>
        <v>Mar-23</v>
      </c>
      <c r="J151" s="406" t="str">
        <f t="shared" si="57"/>
        <v>Apr-23</v>
      </c>
      <c r="K151" s="406" t="str">
        <f t="shared" si="57"/>
        <v>May-23</v>
      </c>
      <c r="L151" s="406" t="str">
        <f t="shared" si="57"/>
        <v>Jun-23</v>
      </c>
      <c r="M151" s="406" t="str">
        <f t="shared" si="57"/>
        <v>Jul-23</v>
      </c>
      <c r="N151" s="406" t="str">
        <f t="shared" si="57"/>
        <v>Aug-23</v>
      </c>
      <c r="O151" s="406" t="str">
        <f t="shared" si="57"/>
        <v>Sep-23</v>
      </c>
      <c r="P151" s="416"/>
      <c r="Q151" s="403"/>
    </row>
    <row r="152" spans="1:144">
      <c r="B152" s="361"/>
      <c r="C152" s="361"/>
      <c r="D152" s="406"/>
      <c r="E152" s="406"/>
      <c r="F152" s="406"/>
      <c r="G152" s="406"/>
      <c r="H152" s="406"/>
      <c r="I152" s="406"/>
      <c r="J152" s="406"/>
      <c r="K152" s="406"/>
      <c r="L152" s="406"/>
      <c r="M152" s="406"/>
      <c r="N152" s="406"/>
      <c r="O152" s="406"/>
      <c r="P152" s="416"/>
      <c r="Q152" s="403"/>
    </row>
    <row r="153" spans="1:144" s="4" customFormat="1" ht="11.25">
      <c r="A153" s="386" t="s">
        <v>9</v>
      </c>
      <c r="B153" s="87" t="s">
        <v>17</v>
      </c>
      <c r="C153" s="99" t="s">
        <v>4</v>
      </c>
      <c r="D153" s="417">
        <f>+'II-H-1.2'!D78/'II-H-1.2'!D14</f>
        <v>1.9363546783048247E-2</v>
      </c>
      <c r="E153" s="417">
        <f>+'II-H-1.2'!E78/'II-H-1.2'!E14</f>
        <v>1.794965237716107E-2</v>
      </c>
      <c r="F153" s="417">
        <f>+'II-H-1.2'!F78/'II-H-1.2'!F14</f>
        <v>1.6932926636643836E-2</v>
      </c>
      <c r="G153" s="417">
        <f>+'II-H-1.2'!G78/'II-H-1.2'!G14</f>
        <v>1.5746720746765974E-2</v>
      </c>
      <c r="H153" s="417">
        <f>+'II-H-1.2'!H78/'II-H-1.2'!H14</f>
        <v>1.4356408401987245E-2</v>
      </c>
      <c r="I153" s="417">
        <f>+'II-H-1.2'!I78/'II-H-1.2'!I14</f>
        <v>1.3020211955608665E-2</v>
      </c>
      <c r="J153" s="417">
        <f>+'II-H-1.2'!J78/'II-H-1.2'!J14</f>
        <v>1.0769280144005232E-2</v>
      </c>
      <c r="K153" s="417">
        <f>+'II-H-1.2'!K78/'II-H-1.2'!K14</f>
        <v>6.1662366576025595E-3</v>
      </c>
      <c r="L153" s="417">
        <f>+'II-H-1.2'!L78/'II-H-1.2'!L14</f>
        <v>3.486702274535505E-3</v>
      </c>
      <c r="M153" s="417">
        <f>+'II-H-1.2'!M78/'II-H-1.2'!M14</f>
        <v>3.3572425410412329E-4</v>
      </c>
      <c r="N153" s="417">
        <f>+'II-H-1.2'!N78/'II-H-1.2'!N14</f>
        <v>-7.0249594606777536E-4</v>
      </c>
      <c r="O153" s="417">
        <f>+'II-H-1.2'!O78/'II-H-1.2'!O14</f>
        <v>0</v>
      </c>
      <c r="P153" s="416"/>
      <c r="Q153" s="89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</row>
    <row r="154" spans="1:144" s="4" customFormat="1" ht="11.25">
      <c r="B154" s="87"/>
      <c r="C154" s="99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416"/>
      <c r="Q154" s="89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</row>
    <row r="155" spans="1:144" s="4" customFormat="1" ht="11.25">
      <c r="A155" s="386">
        <v>2</v>
      </c>
      <c r="B155" s="87" t="s">
        <v>150</v>
      </c>
      <c r="C155" s="99" t="s">
        <v>4</v>
      </c>
      <c r="D155" s="417">
        <f>+'II-H-1.2'!D80/'II-H-1.2'!D16</f>
        <v>1.1351132091539077E-4</v>
      </c>
      <c r="E155" s="417">
        <f>+'II-H-1.2'!E80/'II-H-1.2'!E16</f>
        <v>-2.2133980188526218E-3</v>
      </c>
      <c r="F155" s="417">
        <f>+'II-H-1.2'!F80/'II-H-1.2'!F16</f>
        <v>-5.0605980870061982E-4</v>
      </c>
      <c r="G155" s="417">
        <f>+'II-H-1.2'!G80/'II-H-1.2'!G16</f>
        <v>9.3648710023951937E-3</v>
      </c>
      <c r="H155" s="417">
        <f>+'II-H-1.2'!H80/'II-H-1.2'!H16</f>
        <v>1.3775816203952405E-2</v>
      </c>
      <c r="I155" s="417">
        <f>+'II-H-1.2'!I80/'II-H-1.2'!I16</f>
        <v>1.1919993012810879E-2</v>
      </c>
      <c r="J155" s="417">
        <f>+'II-H-1.2'!J80/'II-H-1.2'!J16</f>
        <v>6.4991635374641058E-3</v>
      </c>
      <c r="K155" s="417">
        <f>+'II-H-1.2'!K80/'II-H-1.2'!K16</f>
        <v>1.8252225690721853E-3</v>
      </c>
      <c r="L155" s="417">
        <f>+'II-H-1.2'!L80/'II-H-1.2'!L16</f>
        <v>1.0820740603443828E-3</v>
      </c>
      <c r="M155" s="417">
        <f>+'II-H-1.2'!M80/'II-H-1.2'!M16</f>
        <v>8.7883950045853233E-4</v>
      </c>
      <c r="N155" s="417">
        <f>+'II-H-1.2'!N80/'II-H-1.2'!N16</f>
        <v>-8.9752152733067107E-4</v>
      </c>
      <c r="O155" s="417">
        <f>+'II-H-1.2'!O80/'II-H-1.2'!O16</f>
        <v>0</v>
      </c>
      <c r="P155" s="416"/>
      <c r="Q155" s="89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</row>
    <row r="156" spans="1:144" s="4" customFormat="1" ht="11.25">
      <c r="A156" s="386"/>
      <c r="B156" s="87"/>
      <c r="C156" s="99"/>
      <c r="D156" s="417"/>
      <c r="E156" s="417"/>
      <c r="F156" s="417"/>
      <c r="G156" s="417"/>
      <c r="H156" s="417"/>
      <c r="I156" s="417"/>
      <c r="J156" s="417"/>
      <c r="K156" s="417"/>
      <c r="L156" s="417"/>
      <c r="M156" s="417"/>
      <c r="N156" s="417"/>
      <c r="O156" s="417"/>
      <c r="P156" s="416"/>
      <c r="Q156" s="89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</row>
    <row r="157" spans="1:144" s="4" customFormat="1" ht="11.25">
      <c r="A157" s="386">
        <v>3</v>
      </c>
      <c r="B157" s="87" t="s">
        <v>81</v>
      </c>
      <c r="C157" s="157" t="s">
        <v>4</v>
      </c>
      <c r="D157" s="417">
        <f>+'II-H-1.2'!D82/'II-H-1.2'!D18</f>
        <v>2.1529598174314133E-2</v>
      </c>
      <c r="E157" s="417">
        <f>+'II-H-1.2'!E82/'II-H-1.2'!E18</f>
        <v>2.4326247306942304E-2</v>
      </c>
      <c r="F157" s="417">
        <f>+'II-H-1.2'!F82/'II-H-1.2'!F18</f>
        <v>2.2359523240330529E-2</v>
      </c>
      <c r="G157" s="417">
        <f>+'II-H-1.2'!G82/'II-H-1.2'!G18</f>
        <v>5.7929925743412762E-3</v>
      </c>
      <c r="H157" s="417">
        <f>+'II-H-1.2'!H82/'II-H-1.2'!H18</f>
        <v>-1.583380034882446E-3</v>
      </c>
      <c r="I157" s="417">
        <f>+'II-H-1.2'!I82/'II-H-1.2'!I18</f>
        <v>-2.3432125373921532E-3</v>
      </c>
      <c r="J157" s="417">
        <f>+'II-H-1.2'!J82/'II-H-1.2'!J18</f>
        <v>5.6869601570100504E-3</v>
      </c>
      <c r="K157" s="417">
        <f>+'II-H-1.2'!K82/'II-H-1.2'!K18</f>
        <v>4.6323225827332717E-3</v>
      </c>
      <c r="L157" s="417">
        <f>+'II-H-1.2'!L82/'II-H-1.2'!L18</f>
        <v>3.030003810495059E-3</v>
      </c>
      <c r="M157" s="417">
        <f>+'II-H-1.2'!M82/'II-H-1.2'!M18</f>
        <v>1.5308365528573394E-3</v>
      </c>
      <c r="N157" s="417">
        <f>+'II-H-1.2'!N82/'II-H-1.2'!N18</f>
        <v>-1.4077226160013573E-3</v>
      </c>
      <c r="O157" s="417">
        <f>+'II-H-1.2'!O82/'II-H-1.2'!O18</f>
        <v>0</v>
      </c>
      <c r="P157" s="416"/>
      <c r="Q157" s="89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</row>
    <row r="158" spans="1:144" s="4" customFormat="1" ht="11.25">
      <c r="A158" s="386">
        <v>4</v>
      </c>
      <c r="B158" s="87" t="s">
        <v>85</v>
      </c>
      <c r="C158" s="157" t="s">
        <v>4</v>
      </c>
      <c r="D158" s="418">
        <f>+'II-H-1.2'!D83/'II-H-1.2'!D19</f>
        <v>3.2500888243057309E-2</v>
      </c>
      <c r="E158" s="418">
        <f>+'II-H-1.2'!E83/'II-H-1.2'!E19</f>
        <v>2.0539810814277779E-2</v>
      </c>
      <c r="F158" s="418">
        <f>+'II-H-1.2'!F83/'II-H-1.2'!F19</f>
        <v>1.8285855515659696E-2</v>
      </c>
      <c r="G158" s="418">
        <f>+'II-H-1.2'!G83/'II-H-1.2'!G19</f>
        <v>2.0098986947127549E-2</v>
      </c>
      <c r="H158" s="418">
        <f>+'II-H-1.2'!H83/'II-H-1.2'!H19</f>
        <v>1.3934335424482526E-2</v>
      </c>
      <c r="I158" s="418">
        <f>+'II-H-1.2'!I83/'II-H-1.2'!I19</f>
        <v>1.1547891765472027E-2</v>
      </c>
      <c r="J158" s="418">
        <f>+'II-H-1.2'!J83/'II-H-1.2'!J19</f>
        <v>7.2593005038691406E-3</v>
      </c>
      <c r="K158" s="418">
        <f>+'II-H-1.2'!K83/'II-H-1.2'!K19</f>
        <v>-1.1546987487648956E-4</v>
      </c>
      <c r="L158" s="418">
        <f>+'II-H-1.2'!L83/'II-H-1.2'!L19</f>
        <v>-4.3036282311822395E-3</v>
      </c>
      <c r="M158" s="418">
        <f>+'II-H-1.2'!M83/'II-H-1.2'!M19</f>
        <v>-3.5595205712610641E-3</v>
      </c>
      <c r="N158" s="418">
        <f>+'II-H-1.2'!N83/'II-H-1.2'!N19</f>
        <v>-8.6036767245606677E-3</v>
      </c>
      <c r="O158" s="418">
        <f>+'II-H-1.2'!O83/'II-H-1.2'!O19</f>
        <v>0</v>
      </c>
      <c r="P158" s="416"/>
      <c r="Q158" s="89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</row>
    <row r="159" spans="1:144" s="4" customFormat="1" ht="11.25">
      <c r="A159" s="386">
        <v>5</v>
      </c>
      <c r="B159" s="131" t="s">
        <v>18</v>
      </c>
      <c r="C159" s="99"/>
      <c r="D159" s="177"/>
      <c r="E159" s="177"/>
      <c r="F159" s="177"/>
      <c r="G159" s="177"/>
      <c r="H159" s="177"/>
      <c r="I159" s="177"/>
      <c r="J159" s="177"/>
      <c r="K159" s="177"/>
      <c r="L159" s="177"/>
      <c r="M159" s="177"/>
      <c r="N159" s="177"/>
      <c r="O159" s="177"/>
      <c r="P159" s="416"/>
      <c r="Q159" s="89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</row>
    <row r="160" spans="1:144" s="4" customFormat="1" ht="11.25">
      <c r="B160" s="147"/>
      <c r="C160" s="99"/>
      <c r="D160" s="177"/>
      <c r="E160" s="177"/>
      <c r="F160" s="177"/>
      <c r="G160" s="177"/>
      <c r="H160" s="177"/>
      <c r="I160" s="177"/>
      <c r="J160" s="177"/>
      <c r="K160" s="177"/>
      <c r="L160" s="177"/>
      <c r="M160" s="177"/>
      <c r="N160" s="177"/>
      <c r="O160" s="177"/>
      <c r="P160" s="416"/>
      <c r="Q160" s="89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</row>
    <row r="161" spans="1:144" s="4" customFormat="1" ht="11.25">
      <c r="A161" s="386">
        <v>6</v>
      </c>
      <c r="B161" s="87" t="s">
        <v>82</v>
      </c>
      <c r="C161" s="157" t="s">
        <v>5</v>
      </c>
      <c r="D161" s="417">
        <f>+'II-H-1.2'!D86/'II-H-1.2'!D22</f>
        <v>-3.4562086367759481E-3</v>
      </c>
      <c r="E161" s="417">
        <f>+'II-H-1.2'!E86/'II-H-1.2'!E22</f>
        <v>-4.3969873375045215E-3</v>
      </c>
      <c r="F161" s="417">
        <f>+'II-H-1.2'!F86/'II-H-1.2'!F22</f>
        <v>-3.643217603135511E-3</v>
      </c>
      <c r="G161" s="417">
        <f>+'II-H-1.2'!G86/'II-H-1.2'!G22</f>
        <v>-2.0921900572055951E-3</v>
      </c>
      <c r="H161" s="417">
        <f>+'II-H-1.2'!H86/'II-H-1.2'!H22</f>
        <v>-1.1521114621552576E-3</v>
      </c>
      <c r="I161" s="417">
        <f>+'II-H-1.2'!I86/'II-H-1.2'!I22</f>
        <v>3.5003111950889206E-3</v>
      </c>
      <c r="J161" s="417">
        <f>+'II-H-1.2'!J86/'II-H-1.2'!J22</f>
        <v>0</v>
      </c>
      <c r="K161" s="417">
        <f>+'II-H-1.2'!K86/'II-H-1.2'!K22</f>
        <v>-3.5440983226393968E-3</v>
      </c>
      <c r="L161" s="417">
        <f>+'II-H-1.2'!L86/'II-H-1.2'!L22</f>
        <v>-5.3279716881129771E-3</v>
      </c>
      <c r="M161" s="417">
        <f>+'II-H-1.2'!M86/'II-H-1.2'!M22</f>
        <v>-5.2334435193408281E-3</v>
      </c>
      <c r="N161" s="417">
        <f>+'II-H-1.2'!N86/'II-H-1.2'!N22</f>
        <v>1.734563074378546E-3</v>
      </c>
      <c r="O161" s="417">
        <f>+'II-H-1.2'!O86/'II-H-1.2'!O22</f>
        <v>0</v>
      </c>
      <c r="P161" s="416"/>
      <c r="Q161" s="89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</row>
    <row r="162" spans="1:144" s="4" customFormat="1" ht="11.25">
      <c r="A162" s="386">
        <v>7</v>
      </c>
      <c r="B162" s="87" t="s">
        <v>83</v>
      </c>
      <c r="C162" s="157" t="s">
        <v>5</v>
      </c>
      <c r="D162" s="418">
        <f>+'II-H-1.2'!D87/'II-H-1.2'!D23</f>
        <v>2.220776266819632E-2</v>
      </c>
      <c r="E162" s="418">
        <f>+'II-H-1.2'!E87/'II-H-1.2'!E23</f>
        <v>6.5090515110102841E-4</v>
      </c>
      <c r="F162" s="418">
        <f>+'II-H-1.2'!F87/'II-H-1.2'!F23</f>
        <v>-1.3678231378660579E-2</v>
      </c>
      <c r="G162" s="418">
        <f>+'II-H-1.2'!G87/'II-H-1.2'!G23</f>
        <v>-4.8232569473525668E-3</v>
      </c>
      <c r="H162" s="418">
        <f>+'II-H-1.2'!H87/'II-H-1.2'!H23</f>
        <v>-2.2703085233233566E-2</v>
      </c>
      <c r="I162" s="418">
        <f>+'II-H-1.2'!I87/'II-H-1.2'!I23</f>
        <v>-9.4166121127803523E-3</v>
      </c>
      <c r="J162" s="418">
        <f>+'II-H-1.2'!J87/'II-H-1.2'!J23</f>
        <v>-4.1932096692247778E-4</v>
      </c>
      <c r="K162" s="418">
        <f>+'II-H-1.2'!K87/'II-H-1.2'!K23</f>
        <v>-3.0652054709584348E-2</v>
      </c>
      <c r="L162" s="418">
        <f>+'II-H-1.2'!L87/'II-H-1.2'!L23</f>
        <v>-2.3948586523530876E-2</v>
      </c>
      <c r="M162" s="418">
        <f>+'II-H-1.2'!M87/'II-H-1.2'!M23</f>
        <v>-8.4923790176777859E-3</v>
      </c>
      <c r="N162" s="418">
        <f>+'II-H-1.2'!N87/'II-H-1.2'!N23</f>
        <v>-3.2895943985642544E-2</v>
      </c>
      <c r="O162" s="418">
        <f>+'II-H-1.2'!O87/'II-H-1.2'!O23</f>
        <v>0</v>
      </c>
      <c r="P162" s="416"/>
      <c r="Q162" s="89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</row>
    <row r="163" spans="1:144" s="4" customFormat="1" ht="11.25">
      <c r="A163" s="386">
        <v>8</v>
      </c>
      <c r="B163" s="87" t="s">
        <v>148</v>
      </c>
      <c r="C163" s="157" t="s">
        <v>5</v>
      </c>
      <c r="D163" s="418">
        <f>+'II-H-1.2'!D88/'II-H-1.2'!D24</f>
        <v>0</v>
      </c>
      <c r="E163" s="418">
        <f>+'II-H-1.2'!E88/'II-H-1.2'!E24</f>
        <v>0</v>
      </c>
      <c r="F163" s="418">
        <f>+'II-H-1.2'!F88/'II-H-1.2'!F24</f>
        <v>0</v>
      </c>
      <c r="G163" s="418">
        <f>+'II-H-1.2'!G88/'II-H-1.2'!G24</f>
        <v>0</v>
      </c>
      <c r="H163" s="418">
        <f>+'II-H-1.2'!H88/'II-H-1.2'!H24</f>
        <v>0</v>
      </c>
      <c r="I163" s="418">
        <f>+'II-H-1.2'!I88/'II-H-1.2'!I24</f>
        <v>0</v>
      </c>
      <c r="J163" s="418">
        <f>+'II-H-1.2'!J88/'II-H-1.2'!J24</f>
        <v>0</v>
      </c>
      <c r="K163" s="418">
        <f>+'II-H-1.2'!K88/'II-H-1.2'!K24</f>
        <v>0</v>
      </c>
      <c r="L163" s="418">
        <f>+'II-H-1.2'!L88/'II-H-1.2'!L24</f>
        <v>0</v>
      </c>
      <c r="M163" s="418">
        <f>+'II-H-1.2'!M88/'II-H-1.2'!M24</f>
        <v>0</v>
      </c>
      <c r="N163" s="418">
        <f>+'II-H-1.2'!N88/'II-H-1.2'!N24</f>
        <v>0</v>
      </c>
      <c r="O163" s="418">
        <f>+'II-H-1.2'!O88/'II-H-1.2'!O24</f>
        <v>0</v>
      </c>
      <c r="P163" s="416"/>
      <c r="Q163" s="89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</row>
    <row r="164" spans="1:144" s="4" customFormat="1" ht="11.25">
      <c r="A164" s="386">
        <v>9</v>
      </c>
      <c r="B164" s="87" t="s">
        <v>149</v>
      </c>
      <c r="C164" s="157" t="s">
        <v>5</v>
      </c>
      <c r="D164" s="418">
        <f>+'II-H-1.2'!D89/'II-H-1.2'!D25</f>
        <v>0</v>
      </c>
      <c r="E164" s="418">
        <f>+'II-H-1.2'!E89/'II-H-1.2'!E25</f>
        <v>0</v>
      </c>
      <c r="F164" s="418">
        <f>+'II-H-1.2'!F89/'II-H-1.2'!F25</f>
        <v>0</v>
      </c>
      <c r="G164" s="418">
        <f>+'II-H-1.2'!G89/'II-H-1.2'!G25</f>
        <v>0</v>
      </c>
      <c r="H164" s="418">
        <f>+'II-H-1.2'!H89/'II-H-1.2'!H25</f>
        <v>0</v>
      </c>
      <c r="I164" s="418">
        <f>+'II-H-1.2'!I89/'II-H-1.2'!I25</f>
        <v>0</v>
      </c>
      <c r="J164" s="418">
        <f>+'II-H-1.2'!J89/'II-H-1.2'!J25</f>
        <v>0</v>
      </c>
      <c r="K164" s="418">
        <f>+'II-H-1.2'!K89/'II-H-1.2'!K25</f>
        <v>0</v>
      </c>
      <c r="L164" s="418">
        <f>+'II-H-1.2'!L89/'II-H-1.2'!L25</f>
        <v>0</v>
      </c>
      <c r="M164" s="418">
        <f>+'II-H-1.2'!M89/'II-H-1.2'!M25</f>
        <v>0</v>
      </c>
      <c r="N164" s="418">
        <f>+'II-H-1.2'!N89/'II-H-1.2'!N25</f>
        <v>0</v>
      </c>
      <c r="O164" s="418">
        <f>+'II-H-1.2'!O89/'II-H-1.2'!O25</f>
        <v>0</v>
      </c>
      <c r="P164" s="416"/>
      <c r="Q164" s="89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</row>
    <row r="165" spans="1:144" s="4" customFormat="1" ht="11.25">
      <c r="A165" s="386">
        <v>10</v>
      </c>
      <c r="B165" s="87" t="s">
        <v>19</v>
      </c>
      <c r="C165" s="157"/>
      <c r="D165" s="391"/>
      <c r="E165" s="391"/>
      <c r="F165" s="391"/>
      <c r="G165" s="391"/>
      <c r="H165" s="391"/>
      <c r="I165" s="391"/>
      <c r="J165" s="391"/>
      <c r="K165" s="391"/>
      <c r="L165" s="391"/>
      <c r="M165" s="391"/>
      <c r="N165" s="391"/>
      <c r="O165" s="391"/>
      <c r="P165" s="416"/>
      <c r="Q165" s="89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</row>
    <row r="166" spans="1:144" s="4" customFormat="1" ht="11.25">
      <c r="A166" s="386"/>
      <c r="B166" s="87"/>
      <c r="C166" s="157"/>
      <c r="D166" s="177"/>
      <c r="E166" s="177"/>
      <c r="F166" s="177"/>
      <c r="G166" s="177"/>
      <c r="H166" s="177"/>
      <c r="I166" s="177"/>
      <c r="J166" s="177"/>
      <c r="K166" s="177"/>
      <c r="L166" s="177"/>
      <c r="M166" s="177"/>
      <c r="N166" s="177"/>
      <c r="O166" s="101"/>
      <c r="P166" s="416"/>
      <c r="Q166" s="89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</row>
    <row r="167" spans="1:144" s="4" customFormat="1" ht="11.25">
      <c r="A167" s="386">
        <v>11</v>
      </c>
      <c r="B167" s="131" t="s">
        <v>86</v>
      </c>
      <c r="C167" s="157" t="s">
        <v>6</v>
      </c>
      <c r="D167" s="418">
        <f>+'II-H-1.2'!D92/'II-H-1.2'!D28</f>
        <v>-1.3564485779523804E-2</v>
      </c>
      <c r="E167" s="418">
        <f>+'II-H-1.2'!E92/'II-H-1.2'!E28</f>
        <v>-6.5333236642779857E-3</v>
      </c>
      <c r="F167" s="418">
        <f>+'II-H-1.2'!F92/'II-H-1.2'!F28</f>
        <v>1.4671141590545488E-2</v>
      </c>
      <c r="G167" s="418">
        <f>+'II-H-1.2'!G92/'II-H-1.2'!G28</f>
        <v>-2.6852095485260789E-2</v>
      </c>
      <c r="H167" s="418">
        <f>+'II-H-1.2'!H92/'II-H-1.2'!H28</f>
        <v>-7.8074847210937463E-3</v>
      </c>
      <c r="I167" s="418">
        <f>+'II-H-1.2'!I92/'II-H-1.2'!I28</f>
        <v>-1.5067853877868347E-2</v>
      </c>
      <c r="J167" s="418">
        <f>+'II-H-1.2'!J92/'II-H-1.2'!J28</f>
        <v>-7.9125784181534164E-3</v>
      </c>
      <c r="K167" s="418">
        <f>+'II-H-1.2'!K92/'II-H-1.2'!K28</f>
        <v>-2.6400763029919165E-2</v>
      </c>
      <c r="L167" s="418">
        <f>+'II-H-1.2'!L92/'II-H-1.2'!L28</f>
        <v>-7.0425763125134726E-3</v>
      </c>
      <c r="M167" s="418">
        <f>+'II-H-1.2'!M92/'II-H-1.2'!M28</f>
        <v>-5.1770028994664541E-2</v>
      </c>
      <c r="N167" s="418">
        <f>+'II-H-1.2'!N92/'II-H-1.2'!N28</f>
        <v>-2.8241542115615761E-2</v>
      </c>
      <c r="O167" s="418">
        <f>+'II-H-1.2'!O92/'II-H-1.2'!O28</f>
        <v>0</v>
      </c>
      <c r="P167" s="416"/>
      <c r="Q167" s="89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</row>
    <row r="168" spans="1:144" s="4" customFormat="1" ht="11.25">
      <c r="B168" s="87"/>
      <c r="C168" s="99"/>
      <c r="D168" s="177"/>
      <c r="E168" s="177"/>
      <c r="F168" s="177"/>
      <c r="G168" s="177"/>
      <c r="H168" s="177"/>
      <c r="I168" s="177"/>
      <c r="J168" s="177"/>
      <c r="K168" s="177"/>
      <c r="L168" s="177"/>
      <c r="M168" s="177"/>
      <c r="N168" s="177"/>
      <c r="O168" s="177"/>
      <c r="P168" s="416"/>
      <c r="Q168" s="89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</row>
    <row r="169" spans="1:144" s="4" customFormat="1" ht="11.25">
      <c r="A169" s="386">
        <v>12</v>
      </c>
      <c r="B169" s="89" t="s">
        <v>21</v>
      </c>
      <c r="C169" s="157" t="s">
        <v>4</v>
      </c>
      <c r="D169" s="418">
        <f>+'II-H-1.2'!D94/'II-H-1.2'!D30</f>
        <v>-1.6211252883905992E-2</v>
      </c>
      <c r="E169" s="418">
        <f>+'II-H-1.2'!E94/'II-H-1.2'!E30</f>
        <v>-2.0252303227123819E-2</v>
      </c>
      <c r="F169" s="418">
        <f>+'II-H-1.2'!F94/'II-H-1.2'!F30</f>
        <v>-1.500829705244513E-2</v>
      </c>
      <c r="G169" s="418">
        <f>+'II-H-1.2'!G94/'II-H-1.2'!G30</f>
        <v>-1.4268346819057049E-2</v>
      </c>
      <c r="H169" s="418">
        <f>+'II-H-1.2'!H94/'II-H-1.2'!H30</f>
        <v>-1.279442739258285E-2</v>
      </c>
      <c r="I169" s="418">
        <f>+'II-H-1.2'!I94/'II-H-1.2'!I30</f>
        <v>-7.9697488188910006E-3</v>
      </c>
      <c r="J169" s="418">
        <f>+'II-H-1.2'!J94/'II-H-1.2'!J30</f>
        <v>-8.6957911398277288E-3</v>
      </c>
      <c r="K169" s="418">
        <f>+'II-H-1.2'!K94/'II-H-1.2'!K30</f>
        <v>-1.189950464876475E-2</v>
      </c>
      <c r="L169" s="418">
        <f>+'II-H-1.2'!L94/'II-H-1.2'!L30</f>
        <v>-6.5531124304415373E-3</v>
      </c>
      <c r="M169" s="418">
        <f>+'II-H-1.2'!M94/'II-H-1.2'!M30</f>
        <v>-9.2477380509909841E-3</v>
      </c>
      <c r="N169" s="418">
        <f>+'II-H-1.2'!N94/'II-H-1.2'!N30</f>
        <v>-3.8669446984008178E-3</v>
      </c>
      <c r="O169" s="418">
        <f>+'II-H-1.2'!O94/'II-H-1.2'!O30</f>
        <v>0</v>
      </c>
      <c r="P169" s="89"/>
      <c r="Q169" s="89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</row>
    <row r="170" spans="1:144" s="4" customFormat="1" ht="11.25">
      <c r="A170" s="386"/>
      <c r="B170" s="87"/>
      <c r="C170" s="99"/>
      <c r="D170" s="177"/>
      <c r="E170" s="177"/>
      <c r="F170" s="177"/>
      <c r="G170" s="177"/>
      <c r="H170" s="177"/>
      <c r="I170" s="177"/>
      <c r="J170" s="177"/>
      <c r="K170" s="177"/>
      <c r="L170" s="177"/>
      <c r="M170" s="177"/>
      <c r="N170" s="177"/>
      <c r="O170" s="177"/>
      <c r="P170" s="89"/>
      <c r="Q170" s="89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</row>
    <row r="171" spans="1:144" s="4" customFormat="1" ht="11.25">
      <c r="A171" s="386">
        <v>13</v>
      </c>
      <c r="B171" s="393" t="s">
        <v>22</v>
      </c>
      <c r="C171" s="362"/>
      <c r="D171" s="394"/>
      <c r="E171" s="394"/>
      <c r="F171" s="394"/>
      <c r="G171" s="394"/>
      <c r="H171" s="394"/>
      <c r="I171" s="394"/>
      <c r="J171" s="394"/>
      <c r="K171" s="394"/>
      <c r="L171" s="394"/>
      <c r="M171" s="394"/>
      <c r="N171" s="394"/>
      <c r="O171" s="394"/>
      <c r="P171" s="89"/>
      <c r="Q171" s="89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</row>
    <row r="172" spans="1:144" s="4" customFormat="1" ht="11.25">
      <c r="B172" s="362"/>
      <c r="C172" s="362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89"/>
      <c r="Q172" s="89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</row>
    <row r="173" spans="1:144" s="4" customFormat="1" ht="11.25">
      <c r="A173" s="386">
        <v>14</v>
      </c>
      <c r="B173" s="89" t="s">
        <v>69</v>
      </c>
      <c r="C173" s="157" t="s">
        <v>5</v>
      </c>
      <c r="D173" s="417"/>
      <c r="E173" s="417"/>
      <c r="F173" s="417"/>
      <c r="G173" s="417"/>
      <c r="H173" s="417"/>
      <c r="I173" s="417"/>
      <c r="J173" s="417"/>
      <c r="K173" s="417"/>
      <c r="L173" s="417"/>
      <c r="M173" s="417"/>
      <c r="N173" s="417"/>
      <c r="O173" s="417"/>
      <c r="P173" s="89"/>
      <c r="Q173" s="89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</row>
    <row r="174" spans="1:144" s="4" customFormat="1" ht="11.25">
      <c r="A174" s="386">
        <v>15</v>
      </c>
      <c r="B174" s="89" t="s">
        <v>70</v>
      </c>
      <c r="C174" s="157" t="s">
        <v>6</v>
      </c>
      <c r="D174" s="417"/>
      <c r="E174" s="417"/>
      <c r="F174" s="417"/>
      <c r="G174" s="417"/>
      <c r="H174" s="417"/>
      <c r="I174" s="417"/>
      <c r="J174" s="417"/>
      <c r="K174" s="417"/>
      <c r="L174" s="417"/>
      <c r="M174" s="417"/>
      <c r="N174" s="417"/>
      <c r="O174" s="417"/>
      <c r="P174" s="89"/>
      <c r="Q174" s="89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</row>
    <row r="175" spans="1:144" s="4" customFormat="1" ht="11.25">
      <c r="A175" s="386">
        <v>16</v>
      </c>
      <c r="B175" s="393" t="s">
        <v>23</v>
      </c>
      <c r="C175" s="36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89"/>
      <c r="Q175" s="89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</row>
    <row r="176" spans="1:144" s="4" customFormat="1" ht="11.25">
      <c r="A176" s="386"/>
      <c r="B176" s="87"/>
      <c r="C176" s="396"/>
      <c r="D176" s="177"/>
      <c r="E176" s="177"/>
      <c r="F176" s="177"/>
      <c r="G176" s="177"/>
      <c r="H176" s="177"/>
      <c r="I176" s="177"/>
      <c r="J176" s="177"/>
      <c r="K176" s="177"/>
      <c r="L176" s="177"/>
      <c r="M176" s="177"/>
      <c r="N176" s="177"/>
      <c r="O176" s="177"/>
      <c r="P176" s="89"/>
      <c r="Q176" s="89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</row>
    <row r="177" spans="1:144" s="4" customFormat="1" ht="12" thickBot="1">
      <c r="A177" s="386">
        <v>17</v>
      </c>
      <c r="B177" s="147" t="s">
        <v>92</v>
      </c>
      <c r="C177" s="361"/>
      <c r="D177" s="397"/>
      <c r="E177" s="397"/>
      <c r="F177" s="397"/>
      <c r="G177" s="397"/>
      <c r="H177" s="397"/>
      <c r="I177" s="397"/>
      <c r="J177" s="397"/>
      <c r="K177" s="397"/>
      <c r="L177" s="397"/>
      <c r="M177" s="397"/>
      <c r="N177" s="397"/>
      <c r="O177" s="397"/>
      <c r="P177" s="89"/>
      <c r="Q177" s="89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</row>
    <row r="178" spans="1:144" ht="13.5" thickTop="1">
      <c r="A178" s="386"/>
      <c r="B178" s="87"/>
      <c r="C178" s="99"/>
      <c r="D178" s="408"/>
      <c r="E178" s="408"/>
      <c r="F178" s="408"/>
      <c r="G178" s="408"/>
      <c r="H178" s="408"/>
      <c r="I178" s="408"/>
      <c r="J178" s="408"/>
      <c r="K178" s="408"/>
      <c r="L178" s="408"/>
      <c r="M178" s="408"/>
      <c r="N178" s="408"/>
      <c r="O178" s="408"/>
      <c r="P178" s="408"/>
      <c r="Q178" s="409"/>
      <c r="R178" s="401"/>
      <c r="S178" s="401"/>
      <c r="T178" s="401"/>
      <c r="U178" s="401"/>
      <c r="V178" s="401"/>
      <c r="W178" s="401"/>
      <c r="X178" s="401"/>
      <c r="Y178" s="401"/>
      <c r="Z178" s="401"/>
      <c r="AA178" s="401"/>
      <c r="AB178" s="401"/>
      <c r="AC178" s="401"/>
      <c r="AD178" s="401"/>
      <c r="AE178" s="401"/>
      <c r="AF178" s="401"/>
      <c r="AG178" s="401"/>
      <c r="AH178" s="401"/>
      <c r="AI178" s="401"/>
      <c r="AJ178" s="401"/>
      <c r="AK178" s="401"/>
      <c r="AL178" s="401"/>
      <c r="AM178" s="401"/>
    </row>
    <row r="179" spans="1:144">
      <c r="B179" s="87"/>
      <c r="C179" s="105"/>
      <c r="D179" s="166"/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399"/>
      <c r="Q179" s="400"/>
      <c r="R179" s="401"/>
      <c r="S179" s="401"/>
      <c r="T179" s="401"/>
      <c r="U179" s="401"/>
      <c r="V179" s="401"/>
      <c r="W179" s="401"/>
      <c r="X179" s="401"/>
      <c r="Y179" s="401"/>
      <c r="Z179" s="401"/>
      <c r="AA179" s="401"/>
      <c r="AB179" s="401"/>
      <c r="AC179" s="401"/>
      <c r="AD179" s="401"/>
      <c r="AE179" s="401"/>
      <c r="AF179" s="401"/>
      <c r="AG179" s="401"/>
      <c r="AH179" s="401"/>
      <c r="AI179" s="401"/>
      <c r="AJ179" s="401"/>
      <c r="AK179" s="401"/>
      <c r="AL179" s="401"/>
      <c r="AM179" s="401"/>
      <c r="AN179" s="401"/>
      <c r="AO179" s="401"/>
      <c r="AP179" s="401"/>
      <c r="AQ179" s="401"/>
      <c r="AR179" s="401"/>
      <c r="AS179" s="401"/>
      <c r="AT179" s="401"/>
      <c r="AU179" s="401"/>
      <c r="AV179" s="401"/>
      <c r="AW179" s="401"/>
      <c r="AX179" s="401"/>
      <c r="AY179" s="401"/>
      <c r="AZ179" s="401"/>
      <c r="BA179" s="401"/>
      <c r="BB179" s="401"/>
      <c r="BC179" s="401"/>
      <c r="BD179" s="401"/>
      <c r="BE179" s="401"/>
      <c r="BF179" s="401"/>
      <c r="BG179" s="401"/>
    </row>
    <row r="180" spans="1:144">
      <c r="A180" s="57"/>
      <c r="B180" s="373"/>
      <c r="C180" s="31"/>
      <c r="D180" s="373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19"/>
      <c r="Q180" s="420"/>
      <c r="R180" s="401"/>
      <c r="S180" s="401"/>
      <c r="T180" s="401"/>
      <c r="U180" s="401"/>
      <c r="V180" s="401"/>
      <c r="W180" s="401"/>
      <c r="X180" s="401"/>
      <c r="Y180" s="401"/>
      <c r="Z180" s="401"/>
      <c r="AA180" s="401"/>
      <c r="AB180" s="401"/>
      <c r="AC180" s="401"/>
      <c r="AD180" s="401"/>
      <c r="AE180" s="401"/>
      <c r="AF180" s="401"/>
      <c r="AG180" s="401"/>
      <c r="AH180" s="401"/>
      <c r="AI180" s="401"/>
      <c r="AJ180" s="401"/>
      <c r="AK180" s="401"/>
      <c r="AL180" s="401"/>
      <c r="AM180" s="401"/>
      <c r="AN180" s="401"/>
      <c r="AO180" s="401"/>
      <c r="AP180" s="401"/>
      <c r="AQ180" s="401"/>
      <c r="AR180" s="401"/>
      <c r="AS180" s="401"/>
      <c r="AT180" s="401"/>
      <c r="AU180" s="401"/>
      <c r="AV180" s="401"/>
      <c r="AW180" s="401"/>
      <c r="AX180" s="401"/>
      <c r="AY180" s="401"/>
      <c r="AZ180" s="401"/>
      <c r="BA180" s="401"/>
      <c r="BB180" s="401"/>
      <c r="BC180" s="401"/>
      <c r="BD180" s="401"/>
      <c r="BE180" s="401"/>
      <c r="BF180" s="401"/>
      <c r="BG180" s="401"/>
    </row>
    <row r="181" spans="1:144">
      <c r="A181" s="421"/>
      <c r="B181" s="373"/>
      <c r="C181" s="31"/>
      <c r="D181" s="373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19"/>
      <c r="Q181" s="420"/>
      <c r="R181" s="401"/>
      <c r="S181" s="401"/>
      <c r="T181" s="401"/>
      <c r="U181" s="401"/>
      <c r="V181" s="401"/>
      <c r="W181" s="401"/>
      <c r="X181" s="401"/>
      <c r="Y181" s="401"/>
      <c r="Z181" s="401"/>
      <c r="AA181" s="401"/>
      <c r="AB181" s="401"/>
      <c r="AC181" s="401"/>
      <c r="AD181" s="401"/>
      <c r="AE181" s="401"/>
      <c r="AF181" s="401"/>
      <c r="AG181" s="401"/>
      <c r="AH181" s="401"/>
      <c r="AI181" s="401"/>
      <c r="AJ181" s="401"/>
      <c r="AK181" s="401"/>
      <c r="AL181" s="401"/>
      <c r="AM181" s="401"/>
      <c r="AN181" s="401"/>
      <c r="AO181" s="401"/>
      <c r="AP181" s="401"/>
      <c r="AQ181" s="401"/>
      <c r="AR181" s="401"/>
      <c r="AS181" s="401"/>
      <c r="AT181" s="401"/>
      <c r="AU181" s="401"/>
      <c r="AV181" s="401"/>
      <c r="AW181" s="401"/>
      <c r="AX181" s="401"/>
      <c r="AY181" s="401"/>
      <c r="AZ181" s="401"/>
      <c r="BA181" s="401"/>
      <c r="BB181" s="401"/>
      <c r="BC181" s="401"/>
      <c r="BD181" s="401"/>
      <c r="BE181" s="401"/>
      <c r="BF181" s="401"/>
      <c r="BG181" s="401"/>
    </row>
  </sheetData>
  <mergeCells count="15">
    <mergeCell ref="B43:Q43"/>
    <mergeCell ref="B111:Q111"/>
    <mergeCell ref="B112:Q112"/>
    <mergeCell ref="B147:Q147"/>
    <mergeCell ref="B148:Q148"/>
    <mergeCell ref="B76:Q76"/>
    <mergeCell ref="B77:Q77"/>
    <mergeCell ref="B78:Q78"/>
    <mergeCell ref="B146:Q146"/>
    <mergeCell ref="B113:Q113"/>
    <mergeCell ref="B8:Q8"/>
    <mergeCell ref="B7:Q7"/>
    <mergeCell ref="B9:Q9"/>
    <mergeCell ref="B41:Q41"/>
    <mergeCell ref="B42:Q42"/>
  </mergeCells>
  <phoneticPr fontId="4" type="noConversion"/>
  <pageMargins left="0.7" right="0.7" top="1.07" bottom="0.75" header="0.3" footer="0.3"/>
  <pageSetup scale="62" fitToHeight="0" orientation="landscape" r:id="rId1"/>
  <headerFooter>
    <oddHeader>&amp;RDocket No 56165
Schedule &amp;A
Page &amp;P of &amp;N</oddHeader>
    <oddFooter>&amp;LSponsored by: Earlyne Reynolds</oddFooter>
  </headerFooter>
  <rowBreaks count="4" manualBreakCount="4">
    <brk id="40" max="16383" man="1"/>
    <brk id="74" max="16383" man="1"/>
    <brk id="109" max="16383" man="1"/>
    <brk id="145" max="16383" man="1"/>
  </rowBreaks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O1422"/>
  <sheetViews>
    <sheetView topLeftCell="B1" zoomScale="115" zoomScaleNormal="115" workbookViewId="0">
      <selection activeCell="B1" sqref="B1"/>
    </sheetView>
  </sheetViews>
  <sheetFormatPr defaultColWidth="9.140625" defaultRowHeight="11.25"/>
  <cols>
    <col min="1" max="1" width="4.5703125" style="4" customWidth="1"/>
    <col min="2" max="2" width="32.42578125" style="4" customWidth="1"/>
    <col min="3" max="3" width="5.7109375" style="5" customWidth="1"/>
    <col min="4" max="4" width="13.42578125" style="45" bestFit="1" customWidth="1"/>
    <col min="5" max="6" width="12" style="45" customWidth="1"/>
    <col min="7" max="7" width="12.140625" style="45" bestFit="1" customWidth="1"/>
    <col min="8" max="8" width="11.7109375" style="45" customWidth="1"/>
    <col min="9" max="9" width="13.42578125" style="45" bestFit="1" customWidth="1"/>
    <col min="10" max="10" width="12.140625" style="45" bestFit="1" customWidth="1"/>
    <col min="11" max="11" width="13" style="45" bestFit="1" customWidth="1"/>
    <col min="12" max="13" width="12.140625" style="45" bestFit="1" customWidth="1"/>
    <col min="14" max="14" width="11.85546875" style="45" customWidth="1"/>
    <col min="15" max="15" width="11.5703125" style="45" bestFit="1" customWidth="1"/>
    <col min="16" max="16" width="14.5703125" style="45" bestFit="1" customWidth="1"/>
    <col min="17" max="17" width="19.5703125" style="7" customWidth="1"/>
    <col min="18" max="18" width="11.28515625" style="7" bestFit="1" customWidth="1"/>
    <col min="19" max="19" width="11.5703125" style="7" bestFit="1" customWidth="1"/>
    <col min="20" max="145" width="9.140625" style="7"/>
    <col min="146" max="16384" width="9.140625" style="4"/>
  </cols>
  <sheetData>
    <row r="1" spans="1:145" ht="12" thickBot="1"/>
    <row r="2" spans="1:145">
      <c r="B2" s="203" t="s">
        <v>100</v>
      </c>
    </row>
    <row r="3" spans="1:145">
      <c r="B3" s="204" t="s">
        <v>101</v>
      </c>
    </row>
    <row r="4" spans="1:145">
      <c r="B4" s="205" t="s">
        <v>141</v>
      </c>
    </row>
    <row r="5" spans="1:145">
      <c r="B5" s="205" t="str">
        <f>'II-H-3.1-3'!B5</f>
        <v>TEST YEAR ENDING 9/30/2023</v>
      </c>
    </row>
    <row r="6" spans="1:145" ht="12" thickBot="1">
      <c r="B6" s="206" t="str">
        <f>+'II-H-1'!B6</f>
        <v>DOCKET 56165</v>
      </c>
    </row>
    <row r="7" spans="1:145" ht="12.75">
      <c r="B7" s="210"/>
      <c r="Q7" s="373"/>
      <c r="R7" s="373"/>
      <c r="S7" s="373"/>
      <c r="T7" s="373"/>
      <c r="U7" s="373"/>
      <c r="V7" s="373"/>
      <c r="W7" s="373"/>
      <c r="X7" s="373"/>
      <c r="Y7" s="373"/>
      <c r="Z7" s="373"/>
      <c r="AA7" s="373"/>
      <c r="AB7" s="373"/>
      <c r="AC7" s="373"/>
    </row>
    <row r="8" spans="1:145" ht="12.75">
      <c r="B8" s="369" t="s">
        <v>90</v>
      </c>
      <c r="C8" s="369"/>
      <c r="D8" s="369"/>
      <c r="E8" s="369"/>
      <c r="F8" s="369"/>
      <c r="G8" s="369"/>
      <c r="H8" s="369"/>
      <c r="I8" s="369"/>
      <c r="J8" s="369"/>
      <c r="K8" s="369"/>
      <c r="L8" s="369"/>
      <c r="M8" s="369"/>
      <c r="N8" s="369"/>
      <c r="O8" s="369"/>
      <c r="P8" s="422"/>
      <c r="Q8" s="373"/>
      <c r="R8" s="373"/>
      <c r="S8" s="373"/>
      <c r="T8" s="373"/>
      <c r="U8" s="373"/>
      <c r="V8" s="373"/>
      <c r="W8" s="373"/>
      <c r="X8" s="373"/>
      <c r="Y8" s="373"/>
      <c r="Z8" s="373"/>
      <c r="AA8" s="373"/>
      <c r="AB8" s="373"/>
      <c r="AC8" s="373"/>
    </row>
    <row r="9" spans="1:145" s="87" customFormat="1" ht="12.75">
      <c r="B9" s="371" t="s">
        <v>61</v>
      </c>
      <c r="C9" s="371"/>
      <c r="D9" s="371"/>
      <c r="E9" s="371"/>
      <c r="F9" s="371"/>
      <c r="G9" s="371"/>
      <c r="H9" s="371"/>
      <c r="I9" s="371"/>
      <c r="J9" s="371"/>
      <c r="K9" s="371"/>
      <c r="L9" s="371"/>
      <c r="M9" s="371"/>
      <c r="N9" s="371"/>
      <c r="O9" s="371"/>
      <c r="P9" s="88" t="s">
        <v>1</v>
      </c>
      <c r="Q9" s="373"/>
      <c r="R9" s="373"/>
      <c r="S9" s="373"/>
      <c r="T9" s="373"/>
      <c r="U9" s="373"/>
      <c r="V9" s="373"/>
      <c r="W9" s="373"/>
      <c r="X9" s="373"/>
      <c r="Y9" s="373"/>
      <c r="Z9" s="373"/>
      <c r="AA9" s="373"/>
      <c r="AB9" s="373"/>
      <c r="AC9" s="373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/>
      <c r="BZ9" s="89"/>
      <c r="CA9" s="89"/>
      <c r="CB9" s="89"/>
      <c r="CC9" s="89"/>
      <c r="CD9" s="89"/>
      <c r="CE9" s="89"/>
      <c r="CF9" s="89"/>
      <c r="CG9" s="89"/>
      <c r="CH9" s="89"/>
      <c r="CI9" s="89"/>
      <c r="CJ9" s="89"/>
      <c r="CK9" s="89"/>
      <c r="CL9" s="89"/>
      <c r="CM9" s="89"/>
      <c r="CN9" s="89"/>
      <c r="CO9" s="89"/>
      <c r="CP9" s="89"/>
      <c r="CQ9" s="89"/>
      <c r="CR9" s="89"/>
      <c r="CS9" s="89"/>
      <c r="CT9" s="89"/>
      <c r="CU9" s="89"/>
      <c r="CV9" s="89"/>
      <c r="CW9" s="89"/>
      <c r="CX9" s="89"/>
      <c r="CY9" s="89"/>
      <c r="CZ9" s="89"/>
      <c r="DA9" s="89"/>
      <c r="DB9" s="89"/>
      <c r="DC9" s="89"/>
      <c r="DD9" s="89"/>
      <c r="DE9" s="89"/>
      <c r="DF9" s="89"/>
      <c r="DG9" s="89"/>
      <c r="DH9" s="89"/>
      <c r="DI9" s="89"/>
      <c r="DJ9" s="89"/>
      <c r="DK9" s="89"/>
      <c r="DL9" s="89"/>
      <c r="DM9" s="89"/>
      <c r="DN9" s="89"/>
      <c r="DO9" s="89"/>
      <c r="DP9" s="89"/>
      <c r="DQ9" s="89"/>
      <c r="DR9" s="89"/>
      <c r="DS9" s="89"/>
      <c r="DT9" s="89"/>
      <c r="DU9" s="89"/>
      <c r="DV9" s="89"/>
      <c r="DW9" s="89"/>
      <c r="DX9" s="89"/>
      <c r="DY9" s="89"/>
      <c r="DZ9" s="89"/>
      <c r="EA9" s="89"/>
      <c r="EB9" s="89"/>
      <c r="EC9" s="89"/>
      <c r="ED9" s="89"/>
      <c r="EE9" s="89"/>
      <c r="EF9" s="89"/>
      <c r="EG9" s="89"/>
      <c r="EH9" s="89"/>
      <c r="EI9" s="89"/>
      <c r="EJ9" s="89"/>
      <c r="EK9" s="89"/>
      <c r="EL9" s="89"/>
      <c r="EM9" s="89"/>
      <c r="EN9" s="89"/>
      <c r="EO9" s="89"/>
    </row>
    <row r="10" spans="1:145" ht="12.75">
      <c r="B10" s="369" t="s">
        <v>147</v>
      </c>
      <c r="C10" s="369"/>
      <c r="D10" s="369"/>
      <c r="E10" s="369"/>
      <c r="F10" s="369"/>
      <c r="G10" s="369"/>
      <c r="H10" s="369"/>
      <c r="I10" s="369"/>
      <c r="J10" s="369"/>
      <c r="K10" s="369"/>
      <c r="L10" s="369"/>
      <c r="M10" s="369"/>
      <c r="N10" s="369"/>
      <c r="O10" s="369"/>
      <c r="P10" s="4" t="s">
        <v>1</v>
      </c>
      <c r="Q10" s="373"/>
      <c r="R10" s="373"/>
      <c r="S10" s="373"/>
      <c r="T10" s="373"/>
      <c r="U10" s="373"/>
      <c r="V10" s="373"/>
      <c r="W10" s="373"/>
      <c r="X10" s="373"/>
      <c r="Y10" s="373"/>
      <c r="Z10" s="373"/>
      <c r="AA10" s="373"/>
      <c r="AB10" s="373"/>
      <c r="AC10" s="373"/>
    </row>
    <row r="11" spans="1:145" ht="12.75">
      <c r="B11" s="14"/>
      <c r="C11" s="361"/>
      <c r="D11" s="406">
        <v>5</v>
      </c>
      <c r="E11" s="377">
        <v>6</v>
      </c>
      <c r="F11" s="377">
        <v>7</v>
      </c>
      <c r="G11" s="406">
        <v>8</v>
      </c>
      <c r="H11" s="377">
        <v>9</v>
      </c>
      <c r="I11" s="377">
        <v>10</v>
      </c>
      <c r="J11" s="406">
        <v>11</v>
      </c>
      <c r="K11" s="377">
        <v>12</v>
      </c>
      <c r="L11" s="377">
        <v>13</v>
      </c>
      <c r="M11" s="406">
        <v>14</v>
      </c>
      <c r="N11" s="377">
        <v>15</v>
      </c>
      <c r="O11" s="377">
        <v>16</v>
      </c>
      <c r="P11" s="4"/>
      <c r="Q11" s="373"/>
      <c r="R11" s="373"/>
      <c r="S11" s="373"/>
      <c r="T11" s="373"/>
      <c r="U11" s="373"/>
      <c r="V11" s="373"/>
      <c r="W11" s="373"/>
      <c r="X11" s="373"/>
      <c r="Y11" s="373"/>
      <c r="Z11" s="373"/>
      <c r="AA11" s="373"/>
      <c r="AB11" s="373"/>
      <c r="AC11" s="373"/>
    </row>
    <row r="12" spans="1:145" ht="12.75">
      <c r="B12" s="14"/>
      <c r="D12" s="139"/>
      <c r="E12" s="423"/>
      <c r="F12" s="423"/>
      <c r="G12" s="139"/>
      <c r="P12" s="423"/>
      <c r="Q12" s="373"/>
      <c r="R12" s="373"/>
      <c r="S12" s="373"/>
      <c r="T12" s="373"/>
      <c r="U12" s="373"/>
      <c r="V12" s="373"/>
      <c r="W12" s="373"/>
      <c r="X12" s="373"/>
      <c r="Y12" s="373"/>
      <c r="Z12" s="373"/>
      <c r="AA12" s="373"/>
      <c r="AB12" s="373"/>
      <c r="AC12" s="373"/>
    </row>
    <row r="13" spans="1:145" ht="12.75">
      <c r="A13" s="359" t="s">
        <v>8</v>
      </c>
      <c r="B13" s="359" t="s">
        <v>0</v>
      </c>
      <c r="C13" s="359" t="s">
        <v>7</v>
      </c>
      <c r="D13" s="377" t="str">
        <f>'II-H-3.1-3'!D12</f>
        <v>Oct-22</v>
      </c>
      <c r="E13" s="377" t="str">
        <f>'II-H-3.1-3'!E12</f>
        <v>Nov-22</v>
      </c>
      <c r="F13" s="377" t="str">
        <f>'II-H-3.1-3'!F12</f>
        <v>Dec-22</v>
      </c>
      <c r="G13" s="377" t="str">
        <f>'II-H-3.1-3'!G12</f>
        <v>Jan-23</v>
      </c>
      <c r="H13" s="377" t="str">
        <f>'II-H-3.1-3'!H12</f>
        <v>Feb-23</v>
      </c>
      <c r="I13" s="377" t="str">
        <f>'II-H-3.1-3'!I12</f>
        <v>Mar-23</v>
      </c>
      <c r="J13" s="377" t="str">
        <f>'II-H-3.1-3'!J12</f>
        <v>Apr-23</v>
      </c>
      <c r="K13" s="377" t="str">
        <f>'II-H-3.1-3'!K12</f>
        <v>May-23</v>
      </c>
      <c r="L13" s="377" t="str">
        <f>'II-H-3.1-3'!L12</f>
        <v>Jun-23</v>
      </c>
      <c r="M13" s="377" t="str">
        <f>'II-H-3.1-3'!M12</f>
        <v>Jul-23</v>
      </c>
      <c r="N13" s="377" t="str">
        <f>'II-H-3.1-3'!N12</f>
        <v>Aug-23</v>
      </c>
      <c r="O13" s="377" t="str">
        <f>'II-H-3.1-3'!O12</f>
        <v>Sep-23</v>
      </c>
      <c r="P13" s="377" t="s">
        <v>2</v>
      </c>
      <c r="Q13" s="373"/>
      <c r="R13" s="373"/>
      <c r="S13" s="373"/>
      <c r="T13" s="373"/>
      <c r="U13" s="373"/>
      <c r="V13" s="373"/>
      <c r="W13" s="373"/>
      <c r="X13" s="373"/>
      <c r="Y13" s="373"/>
      <c r="Z13" s="373"/>
      <c r="AA13" s="373"/>
      <c r="AB13" s="373"/>
      <c r="AC13" s="373"/>
    </row>
    <row r="14" spans="1:145" ht="12.75">
      <c r="B14" s="359"/>
      <c r="C14" s="359"/>
      <c r="D14" s="377"/>
      <c r="E14" s="377"/>
      <c r="F14" s="377"/>
      <c r="G14" s="377"/>
      <c r="H14" s="377"/>
      <c r="I14" s="377"/>
      <c r="J14" s="377"/>
      <c r="K14" s="377"/>
      <c r="L14" s="377"/>
      <c r="M14" s="377"/>
      <c r="N14" s="377"/>
      <c r="O14" s="377"/>
      <c r="P14" s="377"/>
      <c r="Q14" s="373"/>
      <c r="R14" s="373"/>
      <c r="S14" s="373"/>
      <c r="T14" s="373"/>
      <c r="U14" s="373"/>
      <c r="V14" s="373"/>
      <c r="W14" s="373"/>
      <c r="X14" s="373"/>
      <c r="Y14" s="373"/>
      <c r="Z14" s="373"/>
      <c r="AA14" s="373"/>
      <c r="AB14" s="373"/>
      <c r="AC14" s="373"/>
    </row>
    <row r="15" spans="1:145" ht="12.75">
      <c r="A15" s="386" t="s">
        <v>9</v>
      </c>
      <c r="B15" s="87" t="s">
        <v>17</v>
      </c>
      <c r="C15" s="99" t="s">
        <v>4</v>
      </c>
      <c r="D15" s="177">
        <v>56425579.719999999</v>
      </c>
      <c r="E15" s="177">
        <v>44601433.719999999</v>
      </c>
      <c r="F15" s="177">
        <v>51081570.530000001</v>
      </c>
      <c r="G15" s="177">
        <v>54442757.729999997</v>
      </c>
      <c r="H15" s="177">
        <v>48394601.359999999</v>
      </c>
      <c r="I15" s="177">
        <v>38431845.660000004</v>
      </c>
      <c r="J15" s="177">
        <v>37998133.329999998</v>
      </c>
      <c r="K15" s="177">
        <v>41079165.940000005</v>
      </c>
      <c r="L15" s="177">
        <v>53959353.719999999</v>
      </c>
      <c r="M15" s="177">
        <v>69030331.839999989</v>
      </c>
      <c r="N15" s="177">
        <v>69605383.329999998</v>
      </c>
      <c r="O15" s="177">
        <v>83420625.549999997</v>
      </c>
      <c r="P15" s="424">
        <f>SUM(D15:O15)</f>
        <v>648470782.42999995</v>
      </c>
      <c r="Q15" s="373"/>
      <c r="R15" s="373"/>
      <c r="S15" s="373"/>
      <c r="T15" s="373"/>
      <c r="U15" s="373"/>
      <c r="V15" s="373"/>
      <c r="W15" s="373"/>
      <c r="X15" s="373"/>
      <c r="Y15" s="373"/>
      <c r="Z15" s="373"/>
      <c r="AA15" s="373"/>
      <c r="AB15" s="373"/>
      <c r="AC15" s="373"/>
    </row>
    <row r="16" spans="1:145" ht="12.75">
      <c r="B16" s="87"/>
      <c r="C16" s="99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373"/>
      <c r="R16" s="373"/>
      <c r="S16" s="373"/>
      <c r="T16" s="373"/>
      <c r="U16" s="373"/>
      <c r="V16" s="373"/>
      <c r="W16" s="373"/>
      <c r="X16" s="373"/>
      <c r="Y16" s="373"/>
      <c r="Z16" s="373"/>
      <c r="AA16" s="373"/>
      <c r="AB16" s="373"/>
      <c r="AC16" s="373"/>
    </row>
    <row r="17" spans="1:29" ht="12.75">
      <c r="A17" s="386">
        <v>2</v>
      </c>
      <c r="B17" s="87" t="s">
        <v>20</v>
      </c>
      <c r="C17" s="99" t="s">
        <v>4</v>
      </c>
      <c r="D17" s="177">
        <v>3290499.5099999993</v>
      </c>
      <c r="E17" s="177">
        <v>2982371.12</v>
      </c>
      <c r="F17" s="177">
        <v>3115337.29</v>
      </c>
      <c r="G17" s="177">
        <v>3134083.46</v>
      </c>
      <c r="H17" s="177">
        <v>2908578.37</v>
      </c>
      <c r="I17" s="177">
        <v>2852572.79</v>
      </c>
      <c r="J17" s="177">
        <v>2848318.6800000006</v>
      </c>
      <c r="K17" s="177">
        <v>2967369.7499999995</v>
      </c>
      <c r="L17" s="177">
        <v>3325481.9699999993</v>
      </c>
      <c r="M17" s="177">
        <v>3775007.88</v>
      </c>
      <c r="N17" s="177">
        <v>3875852.2299999995</v>
      </c>
      <c r="O17" s="177">
        <v>4332345.47</v>
      </c>
      <c r="P17" s="101">
        <f>SUM(D17:O17)</f>
        <v>39407818.519999996</v>
      </c>
      <c r="Q17" s="373"/>
      <c r="R17" s="373"/>
      <c r="S17" s="373"/>
      <c r="T17" s="373"/>
      <c r="U17" s="373"/>
      <c r="V17" s="373"/>
      <c r="W17" s="373"/>
      <c r="X17" s="373"/>
      <c r="Y17" s="373"/>
      <c r="Z17" s="373"/>
      <c r="AA17" s="373"/>
      <c r="AB17" s="373"/>
      <c r="AC17" s="373"/>
    </row>
    <row r="18" spans="1:29" ht="12.75">
      <c r="A18" s="386"/>
      <c r="B18" s="87"/>
      <c r="C18" s="99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01"/>
      <c r="Q18" s="373"/>
      <c r="R18" s="373"/>
      <c r="S18" s="373"/>
      <c r="T18" s="373"/>
      <c r="U18" s="373"/>
      <c r="V18" s="373"/>
      <c r="W18" s="373"/>
      <c r="X18" s="373"/>
      <c r="Y18" s="373"/>
      <c r="Z18" s="373"/>
      <c r="AA18" s="373"/>
      <c r="AB18" s="373"/>
      <c r="AC18" s="373"/>
    </row>
    <row r="19" spans="1:29" ht="12.75">
      <c r="A19" s="386">
        <v>3</v>
      </c>
      <c r="B19" s="87" t="s">
        <v>81</v>
      </c>
      <c r="C19" s="157" t="s">
        <v>4</v>
      </c>
      <c r="D19" s="390">
        <v>27415276.859999996</v>
      </c>
      <c r="E19" s="390">
        <v>26622320.120000001</v>
      </c>
      <c r="F19" s="390">
        <v>27540489.550000001</v>
      </c>
      <c r="G19" s="390">
        <v>27940911.039999999</v>
      </c>
      <c r="H19" s="390">
        <v>27840853.619999997</v>
      </c>
      <c r="I19" s="390">
        <v>26036946.670000002</v>
      </c>
      <c r="J19" s="390">
        <v>25481202.780000001</v>
      </c>
      <c r="K19" s="390">
        <v>25209441.870000005</v>
      </c>
      <c r="L19" s="390">
        <v>26480058.16</v>
      </c>
      <c r="M19" s="390">
        <v>28017106.009999998</v>
      </c>
      <c r="N19" s="390">
        <v>28378037.570000004</v>
      </c>
      <c r="O19" s="390">
        <v>30857212.219999999</v>
      </c>
      <c r="P19" s="101">
        <f>SUM(D19:O19)</f>
        <v>327819856.47000003</v>
      </c>
      <c r="Q19" s="373"/>
      <c r="R19" s="373"/>
      <c r="S19" s="373"/>
      <c r="T19" s="373"/>
      <c r="U19" s="373"/>
      <c r="V19" s="373"/>
      <c r="W19" s="373"/>
      <c r="X19" s="373"/>
      <c r="Y19" s="373"/>
      <c r="Z19" s="373"/>
      <c r="AA19" s="373"/>
      <c r="AB19" s="373"/>
      <c r="AC19" s="373"/>
    </row>
    <row r="20" spans="1:29" ht="12.75">
      <c r="A20" s="386">
        <v>4</v>
      </c>
      <c r="B20" s="87" t="s">
        <v>85</v>
      </c>
      <c r="C20" s="157" t="s">
        <v>4</v>
      </c>
      <c r="D20" s="388">
        <v>3439438.18</v>
      </c>
      <c r="E20" s="388">
        <v>3354056.76</v>
      </c>
      <c r="F20" s="388">
        <v>3326930.74</v>
      </c>
      <c r="G20" s="388">
        <v>3194064.7499999995</v>
      </c>
      <c r="H20" s="388">
        <v>3113972.21</v>
      </c>
      <c r="I20" s="388">
        <v>3034245.7399999998</v>
      </c>
      <c r="J20" s="388">
        <v>3060922.46</v>
      </c>
      <c r="K20" s="388">
        <v>3062978.1100000003</v>
      </c>
      <c r="L20" s="388">
        <v>3211855.99</v>
      </c>
      <c r="M20" s="388">
        <v>3329063.59</v>
      </c>
      <c r="N20" s="388">
        <v>3481280.97</v>
      </c>
      <c r="O20" s="388">
        <v>3791890.85</v>
      </c>
      <c r="P20" s="388">
        <f>SUM(D20:O20)</f>
        <v>39400700.350000001</v>
      </c>
      <c r="Q20" s="373"/>
      <c r="R20" s="373"/>
      <c r="S20" s="373"/>
      <c r="T20" s="373"/>
      <c r="U20" s="373"/>
      <c r="V20" s="373"/>
      <c r="W20" s="373"/>
      <c r="X20" s="373"/>
      <c r="Y20" s="373"/>
      <c r="Z20" s="373"/>
      <c r="AA20" s="373"/>
      <c r="AB20" s="373"/>
      <c r="AC20" s="373"/>
    </row>
    <row r="21" spans="1:29" ht="12.75">
      <c r="A21" s="386">
        <v>5</v>
      </c>
      <c r="B21" s="131" t="s">
        <v>18</v>
      </c>
      <c r="C21" s="99"/>
      <c r="D21" s="177">
        <f>SUM(D19:D20)</f>
        <v>30854715.039999995</v>
      </c>
      <c r="E21" s="177">
        <f t="shared" ref="E21:O21" si="0">SUM(E19:E20)</f>
        <v>29976376.880000003</v>
      </c>
      <c r="F21" s="177">
        <f t="shared" si="0"/>
        <v>30867420.289999999</v>
      </c>
      <c r="G21" s="177">
        <f t="shared" si="0"/>
        <v>31134975.789999999</v>
      </c>
      <c r="H21" s="177">
        <f t="shared" si="0"/>
        <v>30954825.829999998</v>
      </c>
      <c r="I21" s="177">
        <f t="shared" si="0"/>
        <v>29071192.41</v>
      </c>
      <c r="J21" s="177">
        <f t="shared" si="0"/>
        <v>28542125.240000002</v>
      </c>
      <c r="K21" s="177">
        <f t="shared" si="0"/>
        <v>28272419.980000004</v>
      </c>
      <c r="L21" s="177">
        <f t="shared" si="0"/>
        <v>29691914.149999999</v>
      </c>
      <c r="M21" s="177">
        <f t="shared" si="0"/>
        <v>31346169.599999998</v>
      </c>
      <c r="N21" s="177">
        <f t="shared" si="0"/>
        <v>31859318.540000003</v>
      </c>
      <c r="O21" s="177">
        <f t="shared" si="0"/>
        <v>34649103.07</v>
      </c>
      <c r="P21" s="177">
        <f>SUM(P19:P20)</f>
        <v>367220556.82000005</v>
      </c>
      <c r="Q21" s="373"/>
      <c r="R21" s="373"/>
      <c r="S21" s="373"/>
      <c r="T21" s="373"/>
      <c r="U21" s="373"/>
      <c r="V21" s="373"/>
      <c r="W21" s="373"/>
      <c r="X21" s="373"/>
      <c r="Y21" s="373"/>
      <c r="Z21" s="373"/>
      <c r="AA21" s="373"/>
      <c r="AB21" s="373"/>
      <c r="AC21" s="373"/>
    </row>
    <row r="22" spans="1:29" ht="12.75">
      <c r="B22" s="147"/>
      <c r="C22" s="99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373"/>
      <c r="R22" s="373"/>
      <c r="S22" s="373"/>
      <c r="T22" s="373"/>
      <c r="U22" s="373"/>
      <c r="V22" s="373"/>
      <c r="W22" s="373"/>
      <c r="X22" s="373"/>
      <c r="Y22" s="373"/>
      <c r="Z22" s="373"/>
      <c r="AA22" s="373"/>
      <c r="AB22" s="373"/>
      <c r="AC22" s="373"/>
    </row>
    <row r="23" spans="1:29" ht="12.75">
      <c r="A23" s="386">
        <v>6</v>
      </c>
      <c r="B23" s="87" t="s">
        <v>82</v>
      </c>
      <c r="C23" s="157" t="s">
        <v>5</v>
      </c>
      <c r="D23" s="177">
        <f>584355.83-D25</f>
        <v>569597.29999999993</v>
      </c>
      <c r="E23" s="177">
        <f>600062.04-E25</f>
        <v>586768.88</v>
      </c>
      <c r="F23" s="177">
        <f>605611.34-F25</f>
        <v>592974.93999999994</v>
      </c>
      <c r="G23" s="177">
        <f>584201.35-G25</f>
        <v>571817.44999999995</v>
      </c>
      <c r="H23" s="177">
        <f>597124.06-H25</f>
        <v>584652.52</v>
      </c>
      <c r="I23" s="177">
        <f>568938.52-I25</f>
        <v>557524.27</v>
      </c>
      <c r="J23" s="177">
        <f>589184.42-J25</f>
        <v>577422.65</v>
      </c>
      <c r="K23" s="177">
        <f>592425.87-K25</f>
        <v>579676.47</v>
      </c>
      <c r="L23" s="177">
        <f>555871.09-L25</f>
        <v>543175.19999999995</v>
      </c>
      <c r="M23" s="177">
        <f>611473.68-M25</f>
        <v>598841.47000000009</v>
      </c>
      <c r="N23" s="177">
        <f>573060.08-N25</f>
        <v>560488.81999999995</v>
      </c>
      <c r="O23" s="177">
        <f>625239.3-O25</f>
        <v>611742.9</v>
      </c>
      <c r="P23" s="101">
        <f>SUM(D23:O23)</f>
        <v>6934682.8700000001</v>
      </c>
      <c r="Q23" s="373"/>
      <c r="R23" s="373"/>
      <c r="S23" s="373"/>
      <c r="T23" s="373"/>
      <c r="U23" s="373"/>
      <c r="V23" s="373"/>
      <c r="W23" s="373"/>
      <c r="X23" s="373"/>
      <c r="Y23" s="373"/>
      <c r="Z23" s="373"/>
      <c r="AA23" s="373"/>
      <c r="AB23" s="373"/>
      <c r="AC23" s="373"/>
    </row>
    <row r="24" spans="1:29" ht="12.75">
      <c r="A24" s="386">
        <v>7</v>
      </c>
      <c r="B24" s="87" t="s">
        <v>83</v>
      </c>
      <c r="C24" s="157" t="s">
        <v>5</v>
      </c>
      <c r="D24" s="390">
        <f>7538118.02-D26</f>
        <v>6054429.9399999967</v>
      </c>
      <c r="E24" s="390">
        <f>7460604.66-E26</f>
        <v>5975983.2799999975</v>
      </c>
      <c r="F24" s="390">
        <f>7465778.22-F26</f>
        <v>5991397.8899999969</v>
      </c>
      <c r="G24" s="390">
        <f>7482120.87-G26</f>
        <v>5961338.8499999959</v>
      </c>
      <c r="H24" s="390">
        <f>7540518.99-H26</f>
        <v>6035698.049999998</v>
      </c>
      <c r="I24" s="390">
        <f>7468393.11-I26</f>
        <v>6024476.3699999982</v>
      </c>
      <c r="J24" s="390">
        <f>7190599.96-J26</f>
        <v>5753850.8099999987</v>
      </c>
      <c r="K24" s="390">
        <f>7325868.61-K26</f>
        <v>5939152.4899999993</v>
      </c>
      <c r="L24" s="390">
        <f>7513156.01-L26</f>
        <v>6098734.2599999979</v>
      </c>
      <c r="M24" s="390">
        <f>7549634.37-M26</f>
        <v>6174380.7299999986</v>
      </c>
      <c r="N24" s="390">
        <f>7643794.46-N26</f>
        <v>6265911.9799999995</v>
      </c>
      <c r="O24" s="390">
        <f>7655581.08-O26</f>
        <v>6244177.7899999991</v>
      </c>
      <c r="P24" s="158">
        <f>SUM(D24:O24)</f>
        <v>72519532.439999968</v>
      </c>
      <c r="Q24" s="373"/>
      <c r="R24" s="373"/>
      <c r="S24" s="373"/>
      <c r="T24" s="373"/>
      <c r="U24" s="373"/>
      <c r="V24" s="373"/>
      <c r="W24" s="373"/>
      <c r="X24" s="373"/>
      <c r="Y24" s="373"/>
      <c r="Z24" s="373"/>
      <c r="AA24" s="373"/>
      <c r="AB24" s="373"/>
      <c r="AC24" s="373"/>
    </row>
    <row r="25" spans="1:29" ht="12.75">
      <c r="A25" s="386">
        <v>8</v>
      </c>
      <c r="B25" s="87" t="s">
        <v>148</v>
      </c>
      <c r="C25" s="157" t="s">
        <v>5</v>
      </c>
      <c r="D25" s="390">
        <f>+'Primary Sub'!C6</f>
        <v>14758.530000000004</v>
      </c>
      <c r="E25" s="390">
        <f>+'Primary Sub'!D6</f>
        <v>13293.160000000003</v>
      </c>
      <c r="F25" s="390">
        <f>+'Primary Sub'!E6</f>
        <v>12636.400000000001</v>
      </c>
      <c r="G25" s="390">
        <f>+'Primary Sub'!F6</f>
        <v>12383.900000000001</v>
      </c>
      <c r="H25" s="390">
        <f>+'Primary Sub'!G6</f>
        <v>12471.54</v>
      </c>
      <c r="I25" s="390">
        <f>+'Primary Sub'!H6</f>
        <v>11414.250000000002</v>
      </c>
      <c r="J25" s="390">
        <f>+'Primary Sub'!I6</f>
        <v>11761.770000000006</v>
      </c>
      <c r="K25" s="390">
        <f>+'Primary Sub'!J6</f>
        <v>12749.400000000003</v>
      </c>
      <c r="L25" s="390">
        <f>+'Primary Sub'!K6</f>
        <v>12695.890000000003</v>
      </c>
      <c r="M25" s="390">
        <f>+'Primary Sub'!L6</f>
        <v>12632.210000000003</v>
      </c>
      <c r="N25" s="390">
        <f>+'Primary Sub'!M6</f>
        <v>12571.260000000009</v>
      </c>
      <c r="O25" s="390">
        <f>+'Primary Sub'!N6</f>
        <v>13496.399999999998</v>
      </c>
      <c r="P25" s="158">
        <f>IF(SUM(D25:O25)='Primary Sub'!O6,SUM(D25:O25),0)</f>
        <v>152864.71000000005</v>
      </c>
      <c r="Q25" s="373"/>
      <c r="R25" s="373"/>
      <c r="S25" s="373"/>
      <c r="T25" s="373"/>
      <c r="U25" s="373"/>
      <c r="V25" s="373"/>
      <c r="W25" s="373"/>
      <c r="X25" s="373"/>
      <c r="Y25" s="373"/>
      <c r="Z25" s="373"/>
      <c r="AA25" s="373"/>
      <c r="AB25" s="373"/>
      <c r="AC25" s="373"/>
    </row>
    <row r="26" spans="1:29" ht="12.75">
      <c r="A26" s="386">
        <v>9</v>
      </c>
      <c r="B26" s="87" t="s">
        <v>149</v>
      </c>
      <c r="C26" s="157" t="s">
        <v>5</v>
      </c>
      <c r="D26" s="390">
        <f>+'Primary Sub'!C7</f>
        <v>1483688.0800000026</v>
      </c>
      <c r="E26" s="390">
        <f>+'Primary Sub'!D7</f>
        <v>1484621.3800000024</v>
      </c>
      <c r="F26" s="390">
        <f>+'Primary Sub'!E7</f>
        <v>1474380.3300000029</v>
      </c>
      <c r="G26" s="390">
        <f>+'Primary Sub'!F7</f>
        <v>1520782.0200000044</v>
      </c>
      <c r="H26" s="390">
        <f>+'Primary Sub'!G7</f>
        <v>1504820.940000002</v>
      </c>
      <c r="I26" s="390">
        <f>+'Primary Sub'!H7</f>
        <v>1443916.7400000023</v>
      </c>
      <c r="J26" s="390">
        <f>+'Primary Sub'!I7</f>
        <v>1436749.1500000013</v>
      </c>
      <c r="K26" s="390">
        <f>+'Primary Sub'!J7</f>
        <v>1386716.1200000008</v>
      </c>
      <c r="L26" s="390">
        <f>+'Primary Sub'!K7</f>
        <v>1414421.7500000023</v>
      </c>
      <c r="M26" s="390">
        <f>+'Primary Sub'!L7</f>
        <v>1375253.6400000015</v>
      </c>
      <c r="N26" s="390">
        <f>+'Primary Sub'!M7</f>
        <v>1377882.4800000007</v>
      </c>
      <c r="O26" s="390">
        <f>+'Primary Sub'!N7</f>
        <v>1411403.2900000005</v>
      </c>
      <c r="P26" s="158">
        <f>IF(SUM(D26:O26)='Primary Sub'!O7,SUM(D26:O26),0)</f>
        <v>17314635.920000024</v>
      </c>
      <c r="Q26" s="373"/>
      <c r="R26" s="373"/>
      <c r="S26" s="373"/>
      <c r="T26" s="373"/>
      <c r="U26" s="373"/>
      <c r="V26" s="373"/>
      <c r="W26" s="373"/>
      <c r="X26" s="373"/>
      <c r="Y26" s="373"/>
      <c r="Z26" s="373"/>
      <c r="AA26" s="373"/>
      <c r="AB26" s="373"/>
      <c r="AC26" s="373"/>
    </row>
    <row r="27" spans="1:29" ht="12.75">
      <c r="A27" s="386">
        <v>10</v>
      </c>
      <c r="B27" s="87" t="s">
        <v>19</v>
      </c>
      <c r="C27" s="157"/>
      <c r="D27" s="391">
        <f>SUM(D23:D26)</f>
        <v>8122473.8499999996</v>
      </c>
      <c r="E27" s="391">
        <f t="shared" ref="E27:P27" si="1">SUM(E23:E26)</f>
        <v>8060666.7000000002</v>
      </c>
      <c r="F27" s="391">
        <f t="shared" si="1"/>
        <v>8071389.5599999996</v>
      </c>
      <c r="G27" s="391">
        <f t="shared" si="1"/>
        <v>8066322.2200000007</v>
      </c>
      <c r="H27" s="391">
        <f t="shared" si="1"/>
        <v>8137643.0500000007</v>
      </c>
      <c r="I27" s="391">
        <f t="shared" si="1"/>
        <v>8037331.6300000008</v>
      </c>
      <c r="J27" s="391">
        <f t="shared" si="1"/>
        <v>7779784.3799999999</v>
      </c>
      <c r="K27" s="391">
        <f t="shared" si="1"/>
        <v>7918294.4800000004</v>
      </c>
      <c r="L27" s="391">
        <f t="shared" si="1"/>
        <v>8069027.0999999996</v>
      </c>
      <c r="M27" s="391">
        <f t="shared" si="1"/>
        <v>8161108.0499999998</v>
      </c>
      <c r="N27" s="391">
        <f t="shared" si="1"/>
        <v>8216854.54</v>
      </c>
      <c r="O27" s="391">
        <f t="shared" si="1"/>
        <v>8280820.3800000008</v>
      </c>
      <c r="P27" s="391">
        <f t="shared" si="1"/>
        <v>96921715.939999998</v>
      </c>
      <c r="Q27" s="373"/>
      <c r="R27" s="373"/>
      <c r="S27" s="373"/>
      <c r="T27" s="373"/>
      <c r="U27" s="373"/>
      <c r="V27" s="373"/>
      <c r="W27" s="373"/>
      <c r="X27" s="373"/>
      <c r="Y27" s="373"/>
      <c r="Z27" s="373"/>
      <c r="AA27" s="373"/>
      <c r="AB27" s="373"/>
      <c r="AC27" s="373"/>
    </row>
    <row r="28" spans="1:29" ht="12.75">
      <c r="A28" s="386"/>
      <c r="B28" s="87"/>
      <c r="C28" s="15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01"/>
      <c r="Q28" s="373"/>
      <c r="R28" s="373"/>
      <c r="S28" s="373"/>
      <c r="T28" s="373"/>
      <c r="U28" s="373"/>
      <c r="V28" s="373"/>
      <c r="W28" s="373"/>
      <c r="X28" s="373"/>
      <c r="Y28" s="373"/>
      <c r="Z28" s="373"/>
      <c r="AA28" s="373"/>
      <c r="AB28" s="373"/>
      <c r="AC28" s="373"/>
    </row>
    <row r="29" spans="1:29" ht="12.75">
      <c r="A29" s="386">
        <v>11</v>
      </c>
      <c r="B29" s="131" t="s">
        <v>86</v>
      </c>
      <c r="C29" s="157" t="s">
        <v>6</v>
      </c>
      <c r="D29" s="177">
        <v>5580730.54</v>
      </c>
      <c r="E29" s="177">
        <v>5814365.6500000004</v>
      </c>
      <c r="F29" s="177">
        <v>5595855.6199999992</v>
      </c>
      <c r="G29" s="177">
        <v>6465557.4699999997</v>
      </c>
      <c r="H29" s="177">
        <v>7059961.379999999</v>
      </c>
      <c r="I29" s="177">
        <v>5836392.1899999995</v>
      </c>
      <c r="J29" s="177">
        <v>5282637.4500000011</v>
      </c>
      <c r="K29" s="177">
        <v>4284472.3900000006</v>
      </c>
      <c r="L29" s="177">
        <v>4980371.78</v>
      </c>
      <c r="M29" s="177">
        <v>5236512.47</v>
      </c>
      <c r="N29" s="177">
        <v>5177563.3100000005</v>
      </c>
      <c r="O29" s="177">
        <v>4945188.95</v>
      </c>
      <c r="P29" s="101">
        <f>SUM(D29:O29)</f>
        <v>66259609.20000001</v>
      </c>
      <c r="Q29" s="373"/>
      <c r="R29" s="373"/>
      <c r="S29" s="373"/>
      <c r="T29" s="373"/>
      <c r="U29" s="373"/>
      <c r="V29" s="373"/>
      <c r="W29" s="373"/>
      <c r="X29" s="373"/>
      <c r="Y29" s="373"/>
      <c r="Z29" s="373"/>
      <c r="AA29" s="373"/>
      <c r="AB29" s="373"/>
      <c r="AC29" s="373"/>
    </row>
    <row r="30" spans="1:29">
      <c r="B30" s="87"/>
      <c r="C30" s="99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</row>
    <row r="31" spans="1:29">
      <c r="A31" s="386">
        <v>12</v>
      </c>
      <c r="B31" s="89" t="s">
        <v>21</v>
      </c>
      <c r="C31" s="157" t="s">
        <v>4</v>
      </c>
      <c r="D31" s="177">
        <v>2419720.04</v>
      </c>
      <c r="E31" s="177">
        <v>2431884.8300000005</v>
      </c>
      <c r="F31" s="177">
        <v>2412705.2299999991</v>
      </c>
      <c r="G31" s="177">
        <v>2414276.9500000002</v>
      </c>
      <c r="H31" s="177">
        <v>2421519.7100000004</v>
      </c>
      <c r="I31" s="177">
        <v>2403129.8699999996</v>
      </c>
      <c r="J31" s="177">
        <v>2402975.8000000003</v>
      </c>
      <c r="K31" s="177">
        <v>2402760.8800000008</v>
      </c>
      <c r="L31" s="177">
        <v>2399047.21</v>
      </c>
      <c r="M31" s="177">
        <v>2407605.3199999998</v>
      </c>
      <c r="N31" s="177">
        <v>2391978.39</v>
      </c>
      <c r="O31" s="177">
        <v>2542454.209999999</v>
      </c>
      <c r="P31" s="101">
        <f>SUM(D31:O31)</f>
        <v>29050058.440000005</v>
      </c>
    </row>
    <row r="32" spans="1:29">
      <c r="A32" s="386"/>
      <c r="B32" s="87"/>
      <c r="C32" s="99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</row>
    <row r="33" spans="1:19">
      <c r="A33" s="386">
        <v>13</v>
      </c>
      <c r="B33" s="393" t="s">
        <v>22</v>
      </c>
      <c r="C33" s="362"/>
      <c r="D33" s="394">
        <f>D31+D29+D27+D21+D17+D15</f>
        <v>106693718.69999999</v>
      </c>
      <c r="E33" s="394">
        <f t="shared" ref="E33:O33" si="2">E31+E29+E27+E21+E17+E15</f>
        <v>93867098.900000006</v>
      </c>
      <c r="F33" s="394">
        <f t="shared" si="2"/>
        <v>101144278.52</v>
      </c>
      <c r="G33" s="394">
        <f t="shared" si="2"/>
        <v>105657973.62</v>
      </c>
      <c r="H33" s="394">
        <f t="shared" si="2"/>
        <v>99877129.699999988</v>
      </c>
      <c r="I33" s="394">
        <f t="shared" si="2"/>
        <v>86632464.550000012</v>
      </c>
      <c r="J33" s="394">
        <f t="shared" si="2"/>
        <v>84853974.879999995</v>
      </c>
      <c r="K33" s="394">
        <f t="shared" si="2"/>
        <v>86924483.420000017</v>
      </c>
      <c r="L33" s="394">
        <f t="shared" si="2"/>
        <v>102425195.92999999</v>
      </c>
      <c r="M33" s="394">
        <f t="shared" si="2"/>
        <v>119956735.16</v>
      </c>
      <c r="N33" s="394">
        <f t="shared" si="2"/>
        <v>121126950.34</v>
      </c>
      <c r="O33" s="394">
        <f t="shared" si="2"/>
        <v>138170537.63</v>
      </c>
      <c r="P33" s="394">
        <f>P31+P29+P27+P21+P17+P15</f>
        <v>1247330541.3499999</v>
      </c>
    </row>
    <row r="34" spans="1:19">
      <c r="B34" s="362"/>
      <c r="C34" s="362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</row>
    <row r="35" spans="1:19">
      <c r="A35" s="386">
        <v>14</v>
      </c>
      <c r="B35" s="89" t="s">
        <v>69</v>
      </c>
      <c r="C35" s="157" t="s">
        <v>5</v>
      </c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01">
        <f>SUM(D35:O35)</f>
        <v>0</v>
      </c>
      <c r="Q35" s="89"/>
      <c r="R35" s="89"/>
      <c r="S35" s="89"/>
    </row>
    <row r="36" spans="1:19">
      <c r="A36" s="386">
        <v>15</v>
      </c>
      <c r="B36" s="89" t="s">
        <v>70</v>
      </c>
      <c r="C36" s="157" t="s">
        <v>6</v>
      </c>
      <c r="D36" s="388"/>
      <c r="E36" s="388"/>
      <c r="F36" s="388"/>
      <c r="G36" s="388"/>
      <c r="H36" s="388"/>
      <c r="I36" s="388"/>
      <c r="J36" s="388"/>
      <c r="K36" s="388"/>
      <c r="L36" s="388"/>
      <c r="M36" s="388"/>
      <c r="N36" s="388"/>
      <c r="O36" s="388"/>
      <c r="P36" s="425">
        <f>SUM(D36:O36)</f>
        <v>0</v>
      </c>
      <c r="Q36" s="89"/>
      <c r="R36" s="89"/>
      <c r="S36" s="89"/>
    </row>
    <row r="37" spans="1:19">
      <c r="A37" s="386">
        <v>16</v>
      </c>
      <c r="B37" s="393" t="s">
        <v>23</v>
      </c>
      <c r="C37" s="361"/>
      <c r="D37" s="101">
        <f t="shared" ref="D37:P37" si="3">SUM(D35:D36)</f>
        <v>0</v>
      </c>
      <c r="E37" s="101">
        <f t="shared" si="3"/>
        <v>0</v>
      </c>
      <c r="F37" s="101">
        <f t="shared" si="3"/>
        <v>0</v>
      </c>
      <c r="G37" s="101">
        <f t="shared" si="3"/>
        <v>0</v>
      </c>
      <c r="H37" s="101">
        <f t="shared" si="3"/>
        <v>0</v>
      </c>
      <c r="I37" s="101">
        <f t="shared" si="3"/>
        <v>0</v>
      </c>
      <c r="J37" s="101">
        <f t="shared" si="3"/>
        <v>0</v>
      </c>
      <c r="K37" s="101">
        <f t="shared" si="3"/>
        <v>0</v>
      </c>
      <c r="L37" s="101">
        <f t="shared" si="3"/>
        <v>0</v>
      </c>
      <c r="M37" s="101">
        <f t="shared" si="3"/>
        <v>0</v>
      </c>
      <c r="N37" s="101">
        <f t="shared" si="3"/>
        <v>0</v>
      </c>
      <c r="O37" s="101">
        <f t="shared" si="3"/>
        <v>0</v>
      </c>
      <c r="P37" s="101">
        <f t="shared" si="3"/>
        <v>0</v>
      </c>
    </row>
    <row r="38" spans="1:19">
      <c r="A38" s="386"/>
      <c r="B38" s="87"/>
      <c r="C38" s="396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</row>
    <row r="39" spans="1:19" ht="12" thickBot="1">
      <c r="A39" s="386">
        <v>17</v>
      </c>
      <c r="B39" s="147" t="s">
        <v>92</v>
      </c>
      <c r="C39" s="361"/>
      <c r="D39" s="426">
        <f t="shared" ref="D39:P39" si="4">+D37+D33</f>
        <v>106693718.69999999</v>
      </c>
      <c r="E39" s="426">
        <f t="shared" si="4"/>
        <v>93867098.900000006</v>
      </c>
      <c r="F39" s="426">
        <f t="shared" si="4"/>
        <v>101144278.52</v>
      </c>
      <c r="G39" s="426">
        <f t="shared" si="4"/>
        <v>105657973.62</v>
      </c>
      <c r="H39" s="426">
        <f t="shared" si="4"/>
        <v>99877129.699999988</v>
      </c>
      <c r="I39" s="426">
        <f t="shared" si="4"/>
        <v>86632464.550000012</v>
      </c>
      <c r="J39" s="426">
        <f t="shared" si="4"/>
        <v>84853974.879999995</v>
      </c>
      <c r="K39" s="426">
        <f t="shared" si="4"/>
        <v>86924483.420000017</v>
      </c>
      <c r="L39" s="426">
        <f t="shared" si="4"/>
        <v>102425195.92999999</v>
      </c>
      <c r="M39" s="426">
        <f t="shared" si="4"/>
        <v>119956735.16</v>
      </c>
      <c r="N39" s="426">
        <f t="shared" si="4"/>
        <v>121126950.34</v>
      </c>
      <c r="O39" s="426">
        <f t="shared" si="4"/>
        <v>138170537.63</v>
      </c>
      <c r="P39" s="426">
        <f t="shared" si="4"/>
        <v>1247330541.3499999</v>
      </c>
      <c r="Q39" s="194"/>
    </row>
    <row r="40" spans="1:19" ht="12" thickTop="1">
      <c r="A40" s="386"/>
      <c r="B40" s="131"/>
      <c r="C40" s="361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</row>
    <row r="41" spans="1:19">
      <c r="A41" s="386"/>
      <c r="B41" s="131"/>
      <c r="C41" s="361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</row>
    <row r="42" spans="1:19" ht="14.25" customHeight="1">
      <c r="B42" s="371" t="s">
        <v>90</v>
      </c>
      <c r="C42" s="371"/>
      <c r="D42" s="371"/>
      <c r="E42" s="371"/>
      <c r="F42" s="371"/>
      <c r="G42" s="371"/>
      <c r="H42" s="371"/>
      <c r="I42" s="371"/>
      <c r="J42" s="371"/>
      <c r="K42" s="371"/>
      <c r="L42" s="371"/>
      <c r="M42" s="371"/>
      <c r="N42" s="371"/>
      <c r="O42" s="371"/>
      <c r="P42" s="427"/>
    </row>
    <row r="43" spans="1:19">
      <c r="B43" s="371" t="s">
        <v>302</v>
      </c>
      <c r="C43" s="371"/>
      <c r="D43" s="371"/>
      <c r="E43" s="371"/>
      <c r="F43" s="371"/>
      <c r="G43" s="371"/>
      <c r="H43" s="371"/>
      <c r="I43" s="371"/>
      <c r="J43" s="371"/>
      <c r="K43" s="371"/>
      <c r="L43" s="371"/>
      <c r="M43" s="371"/>
      <c r="N43" s="371"/>
      <c r="O43" s="371"/>
      <c r="P43" s="88" t="s">
        <v>1</v>
      </c>
      <c r="Q43" s="194"/>
    </row>
    <row r="44" spans="1:19">
      <c r="B44" s="371" t="str">
        <f>B10</f>
        <v>FOR TEST YEAR ENDED SEPTEMBER 30, 2023</v>
      </c>
      <c r="C44" s="371"/>
      <c r="D44" s="371"/>
      <c r="E44" s="371"/>
      <c r="F44" s="371"/>
      <c r="G44" s="371"/>
      <c r="H44" s="371"/>
      <c r="I44" s="371"/>
      <c r="J44" s="371"/>
      <c r="K44" s="371"/>
      <c r="L44" s="371"/>
      <c r="M44" s="371"/>
      <c r="N44" s="371"/>
      <c r="O44" s="371"/>
      <c r="P44" s="87" t="s">
        <v>1</v>
      </c>
    </row>
    <row r="45" spans="1:19">
      <c r="B45" s="147"/>
      <c r="C45" s="361"/>
      <c r="D45" s="361"/>
      <c r="E45" s="361"/>
      <c r="F45" s="361"/>
      <c r="G45" s="361"/>
      <c r="H45" s="361"/>
      <c r="I45" s="361"/>
      <c r="J45" s="361"/>
      <c r="K45" s="361"/>
      <c r="L45" s="361"/>
      <c r="M45" s="361"/>
      <c r="N45" s="361"/>
      <c r="O45" s="361"/>
      <c r="P45" s="87"/>
    </row>
    <row r="46" spans="1:19">
      <c r="B46" s="147" t="str">
        <f>Riders!C272</f>
        <v>TTRAR</v>
      </c>
      <c r="C46" s="99"/>
      <c r="D46" s="428"/>
      <c r="E46" s="405"/>
      <c r="F46" s="405"/>
      <c r="G46" s="428"/>
      <c r="H46" s="177"/>
      <c r="I46" s="177"/>
      <c r="J46" s="177"/>
      <c r="K46" s="177"/>
      <c r="L46" s="177"/>
      <c r="M46" s="177"/>
      <c r="N46" s="177"/>
      <c r="O46" s="177"/>
      <c r="P46" s="405"/>
    </row>
    <row r="47" spans="1:19">
      <c r="A47" s="359" t="s">
        <v>8</v>
      </c>
      <c r="B47" s="361" t="s">
        <v>0</v>
      </c>
      <c r="C47" s="361" t="s">
        <v>7</v>
      </c>
      <c r="D47" s="406" t="str">
        <f t="shared" ref="D47:O47" si="5">+D13</f>
        <v>Oct-22</v>
      </c>
      <c r="E47" s="406" t="str">
        <f t="shared" si="5"/>
        <v>Nov-22</v>
      </c>
      <c r="F47" s="406" t="str">
        <f t="shared" si="5"/>
        <v>Dec-22</v>
      </c>
      <c r="G47" s="406" t="str">
        <f t="shared" si="5"/>
        <v>Jan-23</v>
      </c>
      <c r="H47" s="406" t="str">
        <f t="shared" si="5"/>
        <v>Feb-23</v>
      </c>
      <c r="I47" s="406" t="str">
        <f t="shared" si="5"/>
        <v>Mar-23</v>
      </c>
      <c r="J47" s="406" t="str">
        <f t="shared" si="5"/>
        <v>Apr-23</v>
      </c>
      <c r="K47" s="406" t="str">
        <f t="shared" si="5"/>
        <v>May-23</v>
      </c>
      <c r="L47" s="406" t="str">
        <f t="shared" si="5"/>
        <v>Jun-23</v>
      </c>
      <c r="M47" s="406" t="str">
        <f t="shared" si="5"/>
        <v>Jul-23</v>
      </c>
      <c r="N47" s="406" t="str">
        <f t="shared" si="5"/>
        <v>Aug-23</v>
      </c>
      <c r="O47" s="406" t="str">
        <f t="shared" si="5"/>
        <v>Sep-23</v>
      </c>
      <c r="P47" s="406" t="s">
        <v>2</v>
      </c>
    </row>
    <row r="48" spans="1:19">
      <c r="B48" s="361"/>
      <c r="C48" s="361"/>
      <c r="D48" s="406"/>
      <c r="E48" s="406"/>
      <c r="F48" s="406"/>
      <c r="G48" s="406"/>
      <c r="H48" s="406"/>
      <c r="I48" s="406"/>
      <c r="J48" s="406"/>
      <c r="K48" s="406"/>
      <c r="L48" s="406"/>
      <c r="M48" s="406"/>
      <c r="N48" s="406"/>
      <c r="O48" s="406"/>
      <c r="P48" s="406"/>
    </row>
    <row r="49" spans="1:16">
      <c r="A49" s="386" t="s">
        <v>9</v>
      </c>
      <c r="B49" s="87" t="s">
        <v>17</v>
      </c>
      <c r="C49" s="99" t="s">
        <v>4</v>
      </c>
      <c r="D49" s="424">
        <f>-VLOOKUP(CONCATENATE($B$46,$B49),Riders!$A$12:$Q$357,'II-H-4.1 Monthly'!D$11,FALSE)</f>
        <v>-240172.01</v>
      </c>
      <c r="E49" s="424">
        <f>-VLOOKUP(CONCATENATE($B$46,$B49),Riders!$A$12:$Q$357,'II-H-4.1 Monthly'!E$11,FALSE)</f>
        <v>-185417.99</v>
      </c>
      <c r="F49" s="424">
        <f>-VLOOKUP(CONCATENATE($B$46,$B49),Riders!$A$12:$Q$357,'II-H-4.1 Monthly'!F$11,FALSE)</f>
        <v>-215773.04</v>
      </c>
      <c r="G49" s="424">
        <f>-VLOOKUP(CONCATENATE($B$46,$B49),Riders!$A$12:$Q$357,'II-H-4.1 Monthly'!G$11,FALSE)</f>
        <v>-231410.9</v>
      </c>
      <c r="H49" s="424">
        <f>-VLOOKUP(CONCATENATE($B$46,$B49),Riders!$A$12:$Q$357,'II-H-4.1 Monthly'!H$11,FALSE)</f>
        <v>-203666.94</v>
      </c>
      <c r="I49" s="424">
        <f>-VLOOKUP(CONCATENATE($B$46,$B49),Riders!$A$12:$Q$357,'II-H-4.1 Monthly'!I$11,FALSE)</f>
        <v>-186964.84</v>
      </c>
      <c r="J49" s="424">
        <f>-VLOOKUP(CONCATENATE($B$46,$B49),Riders!$A$12:$Q$357,'II-H-4.1 Monthly'!J$11,FALSE)</f>
        <v>-184233.9</v>
      </c>
      <c r="K49" s="424">
        <f>-VLOOKUP(CONCATENATE($B$46,$B49),Riders!$A$12:$Q$357,'II-H-4.1 Monthly'!K$11,FALSE)</f>
        <v>-201160.68</v>
      </c>
      <c r="L49" s="424">
        <f>-VLOOKUP(CONCATENATE($B$46,$B49),Riders!$A$12:$Q$357,'II-H-4.1 Monthly'!L$11,FALSE)</f>
        <v>-271751.87</v>
      </c>
      <c r="M49" s="424">
        <f>-VLOOKUP(CONCATENATE($B$46,$B49),Riders!$A$12:$Q$357,'II-H-4.1 Monthly'!M$11,FALSE)</f>
        <v>-354928.13000000006</v>
      </c>
      <c r="N49" s="424">
        <f>-VLOOKUP(CONCATENATE($B$46,$B49),Riders!$A$12:$Q$357,'II-H-4.1 Monthly'!N$11,FALSE)</f>
        <v>-358477.50999999995</v>
      </c>
      <c r="O49" s="424">
        <f>-VLOOKUP(CONCATENATE($B$46,$B49),Riders!$A$12:$Q$357,'II-H-4.1 Monthly'!O$11,FALSE)</f>
        <v>-347687.62</v>
      </c>
      <c r="P49" s="424">
        <f>SUM(D49:O49)</f>
        <v>-2981645.4299999997</v>
      </c>
    </row>
    <row r="50" spans="1:16">
      <c r="B50" s="87"/>
      <c r="C50" s="99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</row>
    <row r="51" spans="1:16">
      <c r="A51" s="386">
        <v>2</v>
      </c>
      <c r="B51" s="87" t="s">
        <v>20</v>
      </c>
      <c r="C51" s="99" t="s">
        <v>4</v>
      </c>
      <c r="D51" s="177">
        <f>-VLOOKUP(CONCATENATE($B$46,$B51),Riders!$A$12:$Q$357,'II-H-4.1 Monthly'!D$11,FALSE)</f>
        <v>-9738.3700000000008</v>
      </c>
      <c r="E51" s="177">
        <f>-VLOOKUP(CONCATENATE($B$46,$B51),Riders!$A$12:$Q$357,'II-H-4.1 Monthly'!E$11,FALSE)</f>
        <v>-8620.42</v>
      </c>
      <c r="F51" s="177">
        <f>-VLOOKUP(CONCATENATE($B$46,$B51),Riders!$A$12:$Q$357,'II-H-4.1 Monthly'!F$11,FALSE)</f>
        <v>-9141.1600000000017</v>
      </c>
      <c r="G51" s="177">
        <f>-VLOOKUP(CONCATENATE($B$46,$B51),Riders!$A$12:$Q$357,'II-H-4.1 Monthly'!G$11,FALSE)</f>
        <v>-9250.52</v>
      </c>
      <c r="H51" s="177">
        <f>-VLOOKUP(CONCATENATE($B$46,$B51),Riders!$A$12:$Q$357,'II-H-4.1 Monthly'!H$11,FALSE)</f>
        <v>-8471.09</v>
      </c>
      <c r="I51" s="177">
        <f>-VLOOKUP(CONCATENATE($B$46,$B51),Riders!$A$12:$Q$357,'II-H-4.1 Monthly'!I$11,FALSE)</f>
        <v>-8342.4800000000014</v>
      </c>
      <c r="J51" s="177">
        <f>-VLOOKUP(CONCATENATE($B$46,$B51),Riders!$A$12:$Q$357,'II-H-4.1 Monthly'!J$11,FALSE)</f>
        <v>-8296.3200000000015</v>
      </c>
      <c r="K51" s="177">
        <f>-VLOOKUP(CONCATENATE($B$46,$B51),Riders!$A$12:$Q$357,'II-H-4.1 Monthly'!K$11,FALSE)</f>
        <v>-8690.1200000000008</v>
      </c>
      <c r="L51" s="177">
        <f>-VLOOKUP(CONCATENATE($B$46,$B51),Riders!$A$12:$Q$357,'II-H-4.1 Monthly'!L$11,FALSE)</f>
        <v>-9937.2000000000007</v>
      </c>
      <c r="M51" s="177">
        <f>-VLOOKUP(CONCATENATE($B$46,$B51),Riders!$A$12:$Q$357,'II-H-4.1 Monthly'!M$11,FALSE)</f>
        <v>-11582.930000000002</v>
      </c>
      <c r="N51" s="177">
        <f>-VLOOKUP(CONCATENATE($B$46,$B51),Riders!$A$12:$Q$357,'II-H-4.1 Monthly'!N$11,FALSE)</f>
        <v>-11976.900000000003</v>
      </c>
      <c r="O51" s="177">
        <f>-VLOOKUP(CONCATENATE($B$46,$B51),Riders!$A$12:$Q$357,'II-H-4.1 Monthly'!O$11,FALSE)</f>
        <v>-11865.330000000002</v>
      </c>
      <c r="P51" s="101">
        <f>SUM(D51:O51)</f>
        <v>-115912.84000000001</v>
      </c>
    </row>
    <row r="52" spans="1:16">
      <c r="A52" s="386"/>
      <c r="B52" s="87"/>
      <c r="C52" s="99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01"/>
    </row>
    <row r="53" spans="1:16">
      <c r="A53" s="386">
        <v>3</v>
      </c>
      <c r="B53" s="87" t="s">
        <v>81</v>
      </c>
      <c r="C53" s="157" t="s">
        <v>4</v>
      </c>
      <c r="D53" s="390">
        <f>-VLOOKUP(CONCATENATE($B$46,$B53),Riders!$A$12:$Q$357,'II-H-4.1 Monthly'!D$11,FALSE)</f>
        <v>-119411.68</v>
      </c>
      <c r="E53" s="390">
        <f>-VLOOKUP(CONCATENATE($B$46,$B53),Riders!$A$12:$Q$357,'II-H-4.1 Monthly'!E$11,FALSE)</f>
        <v>-116745.57</v>
      </c>
      <c r="F53" s="390">
        <f>-VLOOKUP(CONCATENATE($B$46,$B53),Riders!$A$12:$Q$357,'II-H-4.1 Monthly'!F$11,FALSE)</f>
        <v>-121510.77999999998</v>
      </c>
      <c r="G53" s="390">
        <f>-VLOOKUP(CONCATENATE($B$46,$B53),Riders!$A$12:$Q$357,'II-H-4.1 Monthly'!G$11,FALSE)</f>
        <v>-123304.47999999998</v>
      </c>
      <c r="H53" s="390">
        <f>-VLOOKUP(CONCATENATE($B$46,$B53),Riders!$A$12:$Q$357,'II-H-4.1 Monthly'!H$11,FALSE)</f>
        <v>-123424.46000000002</v>
      </c>
      <c r="I53" s="390">
        <f>-VLOOKUP(CONCATENATE($B$46,$B53),Riders!$A$12:$Q$357,'II-H-4.1 Monthly'!I$11,FALSE)</f>
        <v>-121481.69999999998</v>
      </c>
      <c r="J53" s="390">
        <f>-VLOOKUP(CONCATENATE($B$46,$B53),Riders!$A$12:$Q$357,'II-H-4.1 Monthly'!J$11,FALSE)</f>
        <v>-118411.49999999999</v>
      </c>
      <c r="K53" s="390">
        <f>-VLOOKUP(CONCATENATE($B$46,$B53),Riders!$A$12:$Q$357,'II-H-4.1 Monthly'!K$11,FALSE)</f>
        <v>-116442.54</v>
      </c>
      <c r="L53" s="390">
        <f>-VLOOKUP(CONCATENATE($B$46,$B53),Riders!$A$12:$Q$357,'II-H-4.1 Monthly'!L$11,FALSE)</f>
        <v>-121662.63</v>
      </c>
      <c r="M53" s="390">
        <f>-VLOOKUP(CONCATENATE($B$46,$B53),Riders!$A$12:$Q$357,'II-H-4.1 Monthly'!M$11,FALSE)</f>
        <v>-128096.41000000002</v>
      </c>
      <c r="N53" s="390">
        <f>-VLOOKUP(CONCATENATE($B$46,$B53),Riders!$A$12:$Q$357,'II-H-4.1 Monthly'!N$11,FALSE)</f>
        <v>-129839.84</v>
      </c>
      <c r="O53" s="390">
        <f>-VLOOKUP(CONCATENATE($B$46,$B53),Riders!$A$12:$Q$357,'II-H-4.1 Monthly'!O$11,FALSE)</f>
        <v>-130763.36</v>
      </c>
      <c r="P53" s="101">
        <f>SUM(D53:O53)</f>
        <v>-1471094.95</v>
      </c>
    </row>
    <row r="54" spans="1:16">
      <c r="A54" s="386">
        <v>4</v>
      </c>
      <c r="B54" s="87" t="s">
        <v>85</v>
      </c>
      <c r="C54" s="157" t="s">
        <v>4</v>
      </c>
      <c r="D54" s="388">
        <f>-VLOOKUP(CONCATENATE($B$46,$B54),Riders!$A$12:$Q$357,'II-H-4.1 Monthly'!D$11,FALSE)</f>
        <v>-16224.01</v>
      </c>
      <c r="E54" s="388">
        <f>-VLOOKUP(CONCATENATE($B$46,$B54),Riders!$A$12:$Q$357,'II-H-4.1 Monthly'!E$11,FALSE)</f>
        <v>-15867.579999999998</v>
      </c>
      <c r="F54" s="388">
        <f>-VLOOKUP(CONCATENATE($B$46,$B54),Riders!$A$12:$Q$357,'II-H-4.1 Monthly'!F$11,FALSE)</f>
        <v>-15500.13</v>
      </c>
      <c r="G54" s="388">
        <f>-VLOOKUP(CONCATENATE($B$46,$B54),Riders!$A$12:$Q$357,'II-H-4.1 Monthly'!G$11,FALSE)</f>
        <v>-14818.11</v>
      </c>
      <c r="H54" s="388">
        <f>-VLOOKUP(CONCATENATE($B$46,$B54),Riders!$A$12:$Q$357,'II-H-4.1 Monthly'!H$11,FALSE)</f>
        <v>-14239.84</v>
      </c>
      <c r="I54" s="388">
        <f>-VLOOKUP(CONCATENATE($B$46,$B54),Riders!$A$12:$Q$357,'II-H-4.1 Monthly'!I$11,FALSE)</f>
        <v>-14697.86</v>
      </c>
      <c r="J54" s="388">
        <f>-VLOOKUP(CONCATENATE($B$46,$B54),Riders!$A$12:$Q$357,'II-H-4.1 Monthly'!J$11,FALSE)</f>
        <v>-14737.910000000002</v>
      </c>
      <c r="K54" s="388">
        <f>-VLOOKUP(CONCATENATE($B$46,$B54),Riders!$A$12:$Q$357,'II-H-4.1 Monthly'!K$11,FALSE)</f>
        <v>-15082.86</v>
      </c>
      <c r="L54" s="388">
        <f>-VLOOKUP(CONCATENATE($B$46,$B54),Riders!$A$12:$Q$357,'II-H-4.1 Monthly'!L$11,FALSE)</f>
        <v>-15890.130000000001</v>
      </c>
      <c r="M54" s="388">
        <f>-VLOOKUP(CONCATENATE($B$46,$B54),Riders!$A$12:$Q$357,'II-H-4.1 Monthly'!M$11,FALSE)</f>
        <v>-16780.699999999997</v>
      </c>
      <c r="N54" s="388">
        <f>-VLOOKUP(CONCATENATE($B$46,$B54),Riders!$A$12:$Q$357,'II-H-4.1 Monthly'!N$11,FALSE)</f>
        <v>-17769.79</v>
      </c>
      <c r="O54" s="388">
        <f>-VLOOKUP(CONCATENATE($B$46,$B54),Riders!$A$12:$Q$357,'II-H-4.1 Monthly'!O$11,FALSE)</f>
        <v>-18301.78</v>
      </c>
      <c r="P54" s="388">
        <f>SUM(D54:O54)</f>
        <v>-189910.7</v>
      </c>
    </row>
    <row r="55" spans="1:16">
      <c r="A55" s="386">
        <v>5</v>
      </c>
      <c r="B55" s="131" t="s">
        <v>18</v>
      </c>
      <c r="C55" s="99"/>
      <c r="D55" s="177">
        <f>SUM(D53:D54)</f>
        <v>-135635.69</v>
      </c>
      <c r="E55" s="177">
        <f t="shared" ref="E55:O55" si="6">SUM(E53:E54)</f>
        <v>-132613.15</v>
      </c>
      <c r="F55" s="177">
        <f t="shared" si="6"/>
        <v>-137010.90999999997</v>
      </c>
      <c r="G55" s="177">
        <f t="shared" si="6"/>
        <v>-138122.58999999997</v>
      </c>
      <c r="H55" s="177">
        <f t="shared" si="6"/>
        <v>-137664.30000000002</v>
      </c>
      <c r="I55" s="177">
        <f t="shared" si="6"/>
        <v>-136179.56</v>
      </c>
      <c r="J55" s="177">
        <f t="shared" si="6"/>
        <v>-133149.40999999997</v>
      </c>
      <c r="K55" s="177">
        <f t="shared" si="6"/>
        <v>-131525.4</v>
      </c>
      <c r="L55" s="177">
        <f t="shared" si="6"/>
        <v>-137552.76</v>
      </c>
      <c r="M55" s="177">
        <f t="shared" si="6"/>
        <v>-144877.11000000002</v>
      </c>
      <c r="N55" s="177">
        <f t="shared" si="6"/>
        <v>-147609.63</v>
      </c>
      <c r="O55" s="177">
        <f t="shared" si="6"/>
        <v>-149065.14000000001</v>
      </c>
      <c r="P55" s="177">
        <f>SUM(P53:P54)</f>
        <v>-1661005.65</v>
      </c>
    </row>
    <row r="56" spans="1:16">
      <c r="B56" s="147"/>
      <c r="C56" s="99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</row>
    <row r="57" spans="1:16" ht="12.75" customHeight="1">
      <c r="A57" s="386">
        <v>6</v>
      </c>
      <c r="B57" s="87" t="s">
        <v>82</v>
      </c>
      <c r="C57" s="157" t="s">
        <v>5</v>
      </c>
      <c r="D57" s="177">
        <f>-VLOOKUP(CONCATENATE($B$46,$B57),Riders!$A$12:$Q$357,'II-H-4.1 Monthly'!D$11,FALSE)</f>
        <v>-2470.67</v>
      </c>
      <c r="E57" s="177">
        <f>-VLOOKUP(CONCATENATE($B$46,$B57),Riders!$A$12:$Q$357,'II-H-4.1 Monthly'!E$11,FALSE)</f>
        <v>-2576.75</v>
      </c>
      <c r="F57" s="177">
        <f>-VLOOKUP(CONCATENATE($B$46,$B57),Riders!$A$12:$Q$357,'II-H-4.1 Monthly'!F$11,FALSE)</f>
        <v>-2608.04</v>
      </c>
      <c r="G57" s="177">
        <f>-VLOOKUP(CONCATENATE($B$46,$B57),Riders!$A$12:$Q$357,'II-H-4.1 Monthly'!G$11,FALSE)</f>
        <v>-2508.79</v>
      </c>
      <c r="H57" s="177">
        <f>-VLOOKUP(CONCATENATE($B$46,$B57),Riders!$A$12:$Q$357,'II-H-4.1 Monthly'!H$11,FALSE)</f>
        <v>-2573.0299999999997</v>
      </c>
      <c r="I57" s="177">
        <f>-VLOOKUP(CONCATENATE($B$46,$B57),Riders!$A$12:$Q$357,'II-H-4.1 Monthly'!I$11,FALSE)</f>
        <v>-2779.9399999999996</v>
      </c>
      <c r="J57" s="177">
        <f>-VLOOKUP(CONCATENATE($B$46,$B57),Riders!$A$12:$Q$357,'II-H-4.1 Monthly'!J$11,FALSE)</f>
        <v>-2866.86</v>
      </c>
      <c r="K57" s="177">
        <f>-VLOOKUP(CONCATENATE($B$46,$B57),Riders!$A$12:$Q$357,'II-H-4.1 Monthly'!K$11,FALSE)</f>
        <v>-2922.14</v>
      </c>
      <c r="L57" s="177">
        <f>-VLOOKUP(CONCATENATE($B$46,$B57),Riders!$A$12:$Q$357,'II-H-4.1 Monthly'!L$11,FALSE)</f>
        <v>-2686.09</v>
      </c>
      <c r="M57" s="177">
        <f>-VLOOKUP(CONCATENATE($B$46,$B57),Riders!$A$12:$Q$357,'II-H-4.1 Monthly'!M$11,FALSE)</f>
        <v>-2977.96</v>
      </c>
      <c r="N57" s="177">
        <f>-VLOOKUP(CONCATENATE($B$46,$B57),Riders!$A$12:$Q$357,'II-H-4.1 Monthly'!N$11,FALSE)</f>
        <v>-2747.3599999999997</v>
      </c>
      <c r="O57" s="177">
        <f>-VLOOKUP(CONCATENATE($B$46,$B57),Riders!$A$12:$Q$357,'II-H-4.1 Monthly'!O$11,FALSE)</f>
        <v>-2792.79</v>
      </c>
      <c r="P57" s="101">
        <f>SUM(D57:O57)</f>
        <v>-32510.42</v>
      </c>
    </row>
    <row r="58" spans="1:16" ht="12.75" customHeight="1">
      <c r="A58" s="386">
        <v>7</v>
      </c>
      <c r="B58" s="87" t="s">
        <v>83</v>
      </c>
      <c r="C58" s="157" t="s">
        <v>5</v>
      </c>
      <c r="D58" s="390">
        <f>-VLOOKUP(CONCATENATE($B$46,$B58),Riders!$A$12:$Q$357,'II-H-4.1 Monthly'!D$11,FALSE)</f>
        <v>-30189.27</v>
      </c>
      <c r="E58" s="390">
        <f>-VLOOKUP(CONCATENATE($B$46,$B58),Riders!$A$12:$Q$357,'II-H-4.1 Monthly'!E$11,FALSE)</f>
        <v>-29077.19</v>
      </c>
      <c r="F58" s="390">
        <f>-VLOOKUP(CONCATENATE($B$46,$B58),Riders!$A$12:$Q$357,'II-H-4.1 Monthly'!F$11,FALSE)</f>
        <v>-29381.06</v>
      </c>
      <c r="G58" s="390">
        <f>-VLOOKUP(CONCATENATE($B$46,$B58),Riders!$A$12:$Q$357,'II-H-4.1 Monthly'!G$11,FALSE)</f>
        <v>-27402.569999999996</v>
      </c>
      <c r="H58" s="390">
        <f>-VLOOKUP(CONCATENATE($B$46,$B58),Riders!$A$12:$Q$357,'II-H-4.1 Monthly'!H$11,FALSE)</f>
        <v>-28527.79</v>
      </c>
      <c r="I58" s="390">
        <f>-VLOOKUP(CONCATENATE($B$46,$B58),Riders!$A$12:$Q$357,'II-H-4.1 Monthly'!I$11,FALSE)</f>
        <v>-30374.36</v>
      </c>
      <c r="J58" s="390">
        <f>-VLOOKUP(CONCATENATE($B$46,$B58),Riders!$A$12:$Q$357,'II-H-4.1 Monthly'!J$11,FALSE)</f>
        <v>-28444.460000000003</v>
      </c>
      <c r="K58" s="390">
        <f>-VLOOKUP(CONCATENATE($B$46,$B58),Riders!$A$12:$Q$357,'II-H-4.1 Monthly'!K$11,FALSE)</f>
        <v>-31087.720000000005</v>
      </c>
      <c r="L58" s="390">
        <f>-VLOOKUP(CONCATENATE($B$46,$B58),Riders!$A$12:$Q$357,'II-H-4.1 Monthly'!L$11,FALSE)</f>
        <v>-31028.22</v>
      </c>
      <c r="M58" s="390">
        <f>-VLOOKUP(CONCATENATE($B$46,$B58),Riders!$A$12:$Q$357,'II-H-4.1 Monthly'!M$11,FALSE)</f>
        <v>-31946.46</v>
      </c>
      <c r="N58" s="390">
        <f>-VLOOKUP(CONCATENATE($B$46,$B58),Riders!$A$12:$Q$357,'II-H-4.1 Monthly'!N$11,FALSE)</f>
        <v>-31933.58</v>
      </c>
      <c r="O58" s="390">
        <f>-VLOOKUP(CONCATENATE($B$46,$B58),Riders!$A$12:$Q$357,'II-H-4.1 Monthly'!O$11,FALSE)</f>
        <v>-29666.629999999997</v>
      </c>
      <c r="P58" s="158">
        <f>SUM(D58:O58)</f>
        <v>-359059.31000000006</v>
      </c>
    </row>
    <row r="59" spans="1:16" ht="12.75" customHeight="1">
      <c r="A59" s="386">
        <v>8</v>
      </c>
      <c r="B59" s="87" t="s">
        <v>148</v>
      </c>
      <c r="C59" s="157" t="s">
        <v>5</v>
      </c>
      <c r="D59" s="390">
        <f>-VLOOKUP(CONCATENATE($B$46,$B59),Riders!$A$12:$Q$357,'II-H-4.1 Monthly'!D$11,FALSE)</f>
        <v>-70.66</v>
      </c>
      <c r="E59" s="390">
        <f>-VLOOKUP(CONCATENATE($B$46,$B59),Riders!$A$12:$Q$357,'II-H-4.1 Monthly'!E$11,FALSE)</f>
        <v>-69.609999999999985</v>
      </c>
      <c r="F59" s="390">
        <f>-VLOOKUP(CONCATENATE($B$46,$B59),Riders!$A$12:$Q$357,'II-H-4.1 Monthly'!F$11,FALSE)</f>
        <v>-66.66</v>
      </c>
      <c r="G59" s="390">
        <f>-VLOOKUP(CONCATENATE($B$46,$B59),Riders!$A$12:$Q$357,'II-H-4.1 Monthly'!G$11,FALSE)</f>
        <v>-65.37</v>
      </c>
      <c r="H59" s="390">
        <f>-VLOOKUP(CONCATENATE($B$46,$B59),Riders!$A$12:$Q$357,'II-H-4.1 Monthly'!H$11,FALSE)</f>
        <v>-65.709999999999994</v>
      </c>
      <c r="I59" s="390">
        <f>-VLOOKUP(CONCATENATE($B$46,$B59),Riders!$A$12:$Q$357,'II-H-4.1 Monthly'!I$11,FALSE)</f>
        <v>-64.3</v>
      </c>
      <c r="J59" s="390">
        <f>-VLOOKUP(CONCATENATE($B$46,$B59),Riders!$A$12:$Q$357,'II-H-4.1 Monthly'!J$11,FALSE)</f>
        <v>-65.41</v>
      </c>
      <c r="K59" s="390">
        <f>-VLOOKUP(CONCATENATE($B$46,$B59),Riders!$A$12:$Q$357,'II-H-4.1 Monthly'!K$11,FALSE)</f>
        <v>-70.02</v>
      </c>
      <c r="L59" s="390">
        <f>-VLOOKUP(CONCATENATE($B$46,$B59),Riders!$A$12:$Q$357,'II-H-4.1 Monthly'!L$11,FALSE)</f>
        <v>-70.58</v>
      </c>
      <c r="M59" s="390">
        <f>-VLOOKUP(CONCATENATE($B$46,$B59),Riders!$A$12:$Q$357,'II-H-4.1 Monthly'!M$11,FALSE)</f>
        <v>-69.52000000000001</v>
      </c>
      <c r="N59" s="390">
        <f>-VLOOKUP(CONCATENATE($B$46,$B59),Riders!$A$12:$Q$357,'II-H-4.1 Monthly'!N$11,FALSE)</f>
        <v>-69.760000000000005</v>
      </c>
      <c r="O59" s="390">
        <f>-VLOOKUP(CONCATENATE($B$46,$B59),Riders!$A$12:$Q$357,'II-H-4.1 Monthly'!O$11,FALSE)</f>
        <v>-66.930000000000007</v>
      </c>
      <c r="P59" s="158">
        <f t="shared" ref="P59:P60" si="7">SUM(D59:O59)</f>
        <v>-814.53</v>
      </c>
    </row>
    <row r="60" spans="1:16" ht="12.75" customHeight="1">
      <c r="A60" s="386">
        <v>9</v>
      </c>
      <c r="B60" s="87" t="s">
        <v>149</v>
      </c>
      <c r="C60" s="157" t="s">
        <v>5</v>
      </c>
      <c r="D60" s="390">
        <f>-VLOOKUP(CONCATENATE($B$46,$B60),Riders!$A$12:$Q$357,'II-H-4.1 Monthly'!D$11,FALSE)</f>
        <v>-7839.8399999999992</v>
      </c>
      <c r="E60" s="390">
        <f>-VLOOKUP(CONCATENATE($B$46,$B60),Riders!$A$12:$Q$357,'II-H-4.1 Monthly'!E$11,FALSE)</f>
        <v>-7854.0499999999993</v>
      </c>
      <c r="F60" s="390">
        <f>-VLOOKUP(CONCATENATE($B$46,$B60),Riders!$A$12:$Q$357,'II-H-4.1 Monthly'!F$11,FALSE)</f>
        <v>-7769.329999999999</v>
      </c>
      <c r="G60" s="390">
        <f>-VLOOKUP(CONCATENATE($B$46,$B60),Riders!$A$12:$Q$357,'II-H-4.1 Monthly'!G$11,FALSE)</f>
        <v>-7849.6000000000013</v>
      </c>
      <c r="H60" s="390">
        <f>-VLOOKUP(CONCATENATE($B$46,$B60),Riders!$A$12:$Q$357,'II-H-4.1 Monthly'!H$11,FALSE)</f>
        <v>-7725.8600000000006</v>
      </c>
      <c r="I60" s="390">
        <f>-VLOOKUP(CONCATENATE($B$46,$B60),Riders!$A$12:$Q$357,'II-H-4.1 Monthly'!I$11,FALSE)</f>
        <v>-7802.03</v>
      </c>
      <c r="J60" s="390">
        <f>-VLOOKUP(CONCATENATE($B$46,$B60),Riders!$A$12:$Q$357,'II-H-4.1 Monthly'!J$11,FALSE)</f>
        <v>-7689.95</v>
      </c>
      <c r="K60" s="390">
        <f>-VLOOKUP(CONCATENATE($B$46,$B60),Riders!$A$12:$Q$357,'II-H-4.1 Monthly'!K$11,FALSE)</f>
        <v>-7509.6499999999987</v>
      </c>
      <c r="L60" s="390">
        <f>-VLOOKUP(CONCATENATE($B$46,$B60),Riders!$A$12:$Q$357,'II-H-4.1 Monthly'!L$11,FALSE)</f>
        <v>-7729.7200000000012</v>
      </c>
      <c r="M60" s="390">
        <f>-VLOOKUP(CONCATENATE($B$46,$B60),Riders!$A$12:$Q$357,'II-H-4.1 Monthly'!M$11,FALSE)</f>
        <v>-7401.9700000000021</v>
      </c>
      <c r="N60" s="390">
        <f>-VLOOKUP(CONCATENATE($B$46,$B60),Riders!$A$12:$Q$357,'II-H-4.1 Monthly'!N$11,FALSE)</f>
        <v>-7408.489999999998</v>
      </c>
      <c r="O60" s="390">
        <f>-VLOOKUP(CONCATENATE($B$46,$B60),Riders!$A$12:$Q$357,'II-H-4.1 Monthly'!O$11,FALSE)</f>
        <v>-7497.2499999999991</v>
      </c>
      <c r="P60" s="158">
        <f t="shared" si="7"/>
        <v>-92077.739999999991</v>
      </c>
    </row>
    <row r="61" spans="1:16" ht="12.75" customHeight="1">
      <c r="A61" s="386">
        <v>10</v>
      </c>
      <c r="B61" s="87" t="s">
        <v>19</v>
      </c>
      <c r="C61" s="157"/>
      <c r="D61" s="391">
        <f>SUM(D57:D60)</f>
        <v>-40570.44</v>
      </c>
      <c r="E61" s="391">
        <f t="shared" ref="E61" si="8">SUM(E57:E60)</f>
        <v>-39577.599999999999</v>
      </c>
      <c r="F61" s="391">
        <f t="shared" ref="F61" si="9">SUM(F57:F60)</f>
        <v>-39825.090000000004</v>
      </c>
      <c r="G61" s="391">
        <f t="shared" ref="G61" si="10">SUM(G57:G60)</f>
        <v>-37826.329999999994</v>
      </c>
      <c r="H61" s="391">
        <f t="shared" ref="H61" si="11">SUM(H57:H60)</f>
        <v>-38892.39</v>
      </c>
      <c r="I61" s="391">
        <f t="shared" ref="I61" si="12">SUM(I57:I60)</f>
        <v>-41020.630000000005</v>
      </c>
      <c r="J61" s="391">
        <f t="shared" ref="J61" si="13">SUM(J57:J60)</f>
        <v>-39066.68</v>
      </c>
      <c r="K61" s="391">
        <f t="shared" ref="K61" si="14">SUM(K57:K60)</f>
        <v>-41589.530000000006</v>
      </c>
      <c r="L61" s="391">
        <f>SUM(L57:L60)</f>
        <v>-41514.61</v>
      </c>
      <c r="M61" s="391">
        <f t="shared" ref="M61" si="15">SUM(M57:M60)</f>
        <v>-42395.909999999996</v>
      </c>
      <c r="N61" s="391">
        <f t="shared" ref="N61" si="16">SUM(N57:N60)</f>
        <v>-42159.19</v>
      </c>
      <c r="O61" s="391">
        <f>SUM(O57:O60)</f>
        <v>-40023.599999999999</v>
      </c>
      <c r="P61" s="391">
        <f t="shared" ref="P61" si="17">SUM(P57:P60)</f>
        <v>-484462.00000000006</v>
      </c>
    </row>
    <row r="62" spans="1:16" ht="12.75" customHeight="1">
      <c r="A62" s="386"/>
      <c r="B62" s="87"/>
      <c r="C62" s="157"/>
      <c r="D62" s="177"/>
      <c r="E62" s="177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01"/>
    </row>
    <row r="63" spans="1:16" ht="12.75" customHeight="1">
      <c r="A63" s="386">
        <v>11</v>
      </c>
      <c r="B63" s="131" t="s">
        <v>86</v>
      </c>
      <c r="C63" s="157" t="s">
        <v>6</v>
      </c>
      <c r="D63" s="177">
        <f>-VLOOKUP(CONCATENATE($B$46,$B63),Riders!$A$12:$Q$357,'II-H-4.1 Monthly'!D$11,FALSE)</f>
        <v>0</v>
      </c>
      <c r="E63" s="177">
        <f>-VLOOKUP(CONCATENATE($B$46,$B63),Riders!$A$12:$Q$357,'II-H-4.1 Monthly'!E$11,FALSE)</f>
        <v>0</v>
      </c>
      <c r="F63" s="177">
        <f>-VLOOKUP(CONCATENATE($B$46,$B63),Riders!$A$12:$Q$357,'II-H-4.1 Monthly'!F$11,FALSE)</f>
        <v>0</v>
      </c>
      <c r="G63" s="177">
        <f>-VLOOKUP(CONCATENATE($B$46,$B63),Riders!$A$12:$Q$357,'II-H-4.1 Monthly'!G$11,FALSE)</f>
        <v>0</v>
      </c>
      <c r="H63" s="177">
        <f>-VLOOKUP(CONCATENATE($B$46,$B63),Riders!$A$12:$Q$357,'II-H-4.1 Monthly'!H$11,FALSE)</f>
        <v>0</v>
      </c>
      <c r="I63" s="177">
        <f>-VLOOKUP(CONCATENATE($B$46,$B63),Riders!$A$12:$Q$357,'II-H-4.1 Monthly'!I$11,FALSE)</f>
        <v>0</v>
      </c>
      <c r="J63" s="177">
        <f>-VLOOKUP(CONCATENATE($B$46,$B63),Riders!$A$12:$Q$357,'II-H-4.1 Monthly'!J$11,FALSE)</f>
        <v>0</v>
      </c>
      <c r="K63" s="177">
        <f>-VLOOKUP(CONCATENATE($B$46,$B63),Riders!$A$12:$Q$357,'II-H-4.1 Monthly'!K$11,FALSE)</f>
        <v>0</v>
      </c>
      <c r="L63" s="177">
        <f>-VLOOKUP(CONCATENATE($B$46,$B63),Riders!$A$12:$Q$357,'II-H-4.1 Monthly'!L$11,FALSE)</f>
        <v>0</v>
      </c>
      <c r="M63" s="177">
        <f>-VLOOKUP(CONCATENATE($B$46,$B63),Riders!$A$12:$Q$357,'II-H-4.1 Monthly'!M$11,FALSE)</f>
        <v>0</v>
      </c>
      <c r="N63" s="177">
        <f>-VLOOKUP(CONCATENATE($B$46,$B63),Riders!$A$12:$Q$357,'II-H-4.1 Monthly'!N$11,FALSE)</f>
        <v>0</v>
      </c>
      <c r="O63" s="177">
        <f>-VLOOKUP(CONCATENATE($B$46,$B63),Riders!$A$12:$Q$357,'II-H-4.1 Monthly'!O$11,FALSE)</f>
        <v>0</v>
      </c>
      <c r="P63" s="101">
        <f>SUM(D63:O63)</f>
        <v>0</v>
      </c>
    </row>
    <row r="64" spans="1:16" ht="12.75" customHeight="1">
      <c r="B64" s="87"/>
      <c r="C64" s="99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  <c r="O64" s="177"/>
      <c r="P64" s="177"/>
    </row>
    <row r="65" spans="1:145" ht="12.75" customHeight="1">
      <c r="A65" s="386">
        <v>12</v>
      </c>
      <c r="B65" s="89" t="s">
        <v>21</v>
      </c>
      <c r="C65" s="157" t="s">
        <v>4</v>
      </c>
      <c r="D65" s="429">
        <f>-VLOOKUP(CONCATENATE($B$46,$B65),Riders!$A$12:$Q$357,'II-H-4.1 Monthly'!D$11,FALSE)</f>
        <v>-5450.9200000000028</v>
      </c>
      <c r="E65" s="429">
        <f>-VLOOKUP(CONCATENATE($B$46,$B65),Riders!$A$12:$Q$357,'II-H-4.1 Monthly'!E$11,FALSE)</f>
        <v>-5472.8500000000022</v>
      </c>
      <c r="F65" s="429">
        <f>-VLOOKUP(CONCATENATE($B$46,$B65),Riders!$A$12:$Q$357,'II-H-4.1 Monthly'!F$11,FALSE)</f>
        <v>-5428.1400000000021</v>
      </c>
      <c r="G65" s="429">
        <f>-VLOOKUP(CONCATENATE($B$46,$B65),Riders!$A$12:$Q$357,'II-H-4.1 Monthly'!G$11,FALSE)</f>
        <v>-5438.8200000000052</v>
      </c>
      <c r="H65" s="429">
        <f>-VLOOKUP(CONCATENATE($B$46,$B65),Riders!$A$12:$Q$357,'II-H-4.1 Monthly'!H$11,FALSE)</f>
        <v>-5408.1300000000047</v>
      </c>
      <c r="I65" s="429">
        <f>-VLOOKUP(CONCATENATE($B$46,$B65),Riders!$A$12:$Q$357,'II-H-4.1 Monthly'!I$11,FALSE)</f>
        <v>-5421.52</v>
      </c>
      <c r="J65" s="429">
        <f>-VLOOKUP(CONCATENATE($B$46,$B65),Riders!$A$12:$Q$357,'II-H-4.1 Monthly'!J$11,FALSE)</f>
        <v>-5414.41</v>
      </c>
      <c r="K65" s="429">
        <f>-VLOOKUP(CONCATENATE($B$46,$B65),Riders!$A$12:$Q$357,'II-H-4.1 Monthly'!K$11,FALSE)</f>
        <v>-5411.2800000000025</v>
      </c>
      <c r="L65" s="429">
        <f>-VLOOKUP(CONCATENATE($B$46,$B65),Riders!$A$12:$Q$357,'II-H-4.1 Monthly'!L$11,FALSE)</f>
        <v>-5390.5300000000034</v>
      </c>
      <c r="M65" s="429">
        <f>-VLOOKUP(CONCATENATE($B$46,$B65),Riders!$A$12:$Q$357,'II-H-4.1 Monthly'!M$11,FALSE)</f>
        <v>-5405.5700000000024</v>
      </c>
      <c r="N65" s="429">
        <f>-VLOOKUP(CONCATENATE($B$46,$B65),Riders!$A$12:$Q$357,'II-H-4.1 Monthly'!N$11,FALSE)</f>
        <v>-5367.840000000002</v>
      </c>
      <c r="O65" s="429">
        <f>-VLOOKUP(CONCATENATE($B$46,$B65),Riders!$A$12:$Q$357,'II-H-4.1 Monthly'!O$11,FALSE)</f>
        <v>-5373.17</v>
      </c>
      <c r="P65" s="101">
        <f>SUM(D65:O65)</f>
        <v>-64983.180000000029</v>
      </c>
      <c r="Q65" s="430"/>
    </row>
    <row r="66" spans="1:145" ht="12.75" customHeight="1">
      <c r="A66" s="386"/>
      <c r="B66" s="87"/>
      <c r="C66" s="99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430"/>
    </row>
    <row r="67" spans="1:145" ht="12.75" customHeight="1">
      <c r="A67" s="386">
        <v>13</v>
      </c>
      <c r="B67" s="393" t="s">
        <v>22</v>
      </c>
      <c r="C67" s="362"/>
      <c r="D67" s="394">
        <f>D65+D63+D61+D55+D51+D49</f>
        <v>-431567.43000000005</v>
      </c>
      <c r="E67" s="394">
        <f>E65+E63+E61+E55+E51+E49</f>
        <v>-371702.01</v>
      </c>
      <c r="F67" s="394">
        <f t="shared" ref="F67:P67" si="18">F65+F63+F61+F55+F51+F49</f>
        <v>-407178.33999999997</v>
      </c>
      <c r="G67" s="394">
        <f t="shared" si="18"/>
        <v>-422049.15999999992</v>
      </c>
      <c r="H67" s="394">
        <f t="shared" si="18"/>
        <v>-394102.85</v>
      </c>
      <c r="I67" s="394">
        <f t="shared" si="18"/>
        <v>-377929.03</v>
      </c>
      <c r="J67" s="394">
        <f t="shared" si="18"/>
        <v>-370160.72</v>
      </c>
      <c r="K67" s="394">
        <f t="shared" si="18"/>
        <v>-388377.01</v>
      </c>
      <c r="L67" s="394">
        <f t="shared" si="18"/>
        <v>-466146.97000000003</v>
      </c>
      <c r="M67" s="394">
        <f t="shared" si="18"/>
        <v>-559189.65000000014</v>
      </c>
      <c r="N67" s="394">
        <f t="shared" si="18"/>
        <v>-565591.06999999995</v>
      </c>
      <c r="O67" s="394">
        <f t="shared" si="18"/>
        <v>-554014.86</v>
      </c>
      <c r="P67" s="394">
        <f t="shared" si="18"/>
        <v>-5308009.0999999996</v>
      </c>
      <c r="Q67" s="419"/>
    </row>
    <row r="68" spans="1:145" ht="12.75" customHeight="1">
      <c r="B68" s="362"/>
      <c r="C68" s="362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</row>
    <row r="69" spans="1:145" ht="12.75" customHeight="1">
      <c r="A69" s="386">
        <v>14</v>
      </c>
      <c r="B69" s="89" t="s">
        <v>69</v>
      </c>
      <c r="C69" s="157" t="s">
        <v>5</v>
      </c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01">
        <f>SUM(D69:O69)</f>
        <v>0</v>
      </c>
    </row>
    <row r="70" spans="1:145" ht="12.75" customHeight="1">
      <c r="A70" s="386">
        <v>15</v>
      </c>
      <c r="B70" s="89" t="s">
        <v>70</v>
      </c>
      <c r="C70" s="157" t="s">
        <v>6</v>
      </c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425">
        <f>SUM(D70:O70)</f>
        <v>0</v>
      </c>
    </row>
    <row r="71" spans="1:145" ht="12.75" customHeight="1">
      <c r="A71" s="386">
        <v>16</v>
      </c>
      <c r="B71" s="393" t="s">
        <v>23</v>
      </c>
      <c r="C71" s="361"/>
      <c r="D71" s="101">
        <f t="shared" ref="D71:P71" si="19">SUM(D69:D70)</f>
        <v>0</v>
      </c>
      <c r="E71" s="101">
        <f t="shared" si="19"/>
        <v>0</v>
      </c>
      <c r="F71" s="101">
        <f t="shared" si="19"/>
        <v>0</v>
      </c>
      <c r="G71" s="101">
        <f t="shared" si="19"/>
        <v>0</v>
      </c>
      <c r="H71" s="101">
        <f t="shared" si="19"/>
        <v>0</v>
      </c>
      <c r="I71" s="101">
        <f t="shared" si="19"/>
        <v>0</v>
      </c>
      <c r="J71" s="101">
        <f t="shared" si="19"/>
        <v>0</v>
      </c>
      <c r="K71" s="101">
        <f t="shared" si="19"/>
        <v>0</v>
      </c>
      <c r="L71" s="101">
        <f t="shared" si="19"/>
        <v>0</v>
      </c>
      <c r="M71" s="101">
        <f t="shared" si="19"/>
        <v>0</v>
      </c>
      <c r="N71" s="101">
        <f t="shared" si="19"/>
        <v>0</v>
      </c>
      <c r="O71" s="101">
        <f t="shared" si="19"/>
        <v>0</v>
      </c>
      <c r="P71" s="101">
        <f t="shared" si="19"/>
        <v>0</v>
      </c>
    </row>
    <row r="72" spans="1:145" ht="12.75" customHeight="1">
      <c r="A72" s="386"/>
      <c r="B72" s="87"/>
      <c r="C72" s="396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</row>
    <row r="73" spans="1:145" ht="13.5" customHeight="1" thickBot="1">
      <c r="A73" s="386">
        <v>17</v>
      </c>
      <c r="B73" s="147" t="s">
        <v>92</v>
      </c>
      <c r="C73" s="361"/>
      <c r="D73" s="426">
        <f t="shared" ref="D73:P73" si="20">+D71+D67</f>
        <v>-431567.43000000005</v>
      </c>
      <c r="E73" s="426">
        <f>+E71+E67</f>
        <v>-371702.01</v>
      </c>
      <c r="F73" s="426">
        <f t="shared" si="20"/>
        <v>-407178.33999999997</v>
      </c>
      <c r="G73" s="426">
        <f t="shared" si="20"/>
        <v>-422049.15999999992</v>
      </c>
      <c r="H73" s="426">
        <f t="shared" si="20"/>
        <v>-394102.85</v>
      </c>
      <c r="I73" s="426">
        <f t="shared" si="20"/>
        <v>-377929.03</v>
      </c>
      <c r="J73" s="426">
        <f t="shared" si="20"/>
        <v>-370160.72</v>
      </c>
      <c r="K73" s="426">
        <f t="shared" si="20"/>
        <v>-388377.01</v>
      </c>
      <c r="L73" s="426">
        <f t="shared" si="20"/>
        <v>-466146.97000000003</v>
      </c>
      <c r="M73" s="426">
        <f t="shared" si="20"/>
        <v>-559189.65000000014</v>
      </c>
      <c r="N73" s="426">
        <f t="shared" si="20"/>
        <v>-565591.06999999995</v>
      </c>
      <c r="O73" s="426">
        <f t="shared" si="20"/>
        <v>-554014.86</v>
      </c>
      <c r="P73" s="426">
        <f t="shared" si="20"/>
        <v>-5308009.0999999996</v>
      </c>
      <c r="Q73" s="194"/>
    </row>
    <row r="74" spans="1:145" ht="12.75" customHeight="1" thickTop="1">
      <c r="A74" s="386"/>
      <c r="B74" s="14"/>
      <c r="C74" s="359"/>
      <c r="D74" s="431"/>
      <c r="E74" s="431"/>
      <c r="F74" s="431"/>
      <c r="G74" s="431"/>
      <c r="H74" s="431"/>
      <c r="I74" s="431"/>
      <c r="J74" s="431"/>
      <c r="K74" s="431"/>
      <c r="L74" s="431"/>
      <c r="M74" s="431"/>
      <c r="N74" s="431"/>
      <c r="O74" s="431"/>
      <c r="P74" s="431"/>
    </row>
    <row r="75" spans="1:145">
      <c r="A75" s="386"/>
      <c r="B75" s="131"/>
      <c r="C75" s="359"/>
      <c r="D75" s="431"/>
      <c r="E75" s="431"/>
      <c r="F75" s="431"/>
      <c r="G75" s="431"/>
      <c r="H75" s="431"/>
      <c r="I75" s="431"/>
      <c r="J75" s="431"/>
      <c r="K75" s="431"/>
      <c r="L75" s="431"/>
      <c r="M75" s="431"/>
      <c r="N75" s="431"/>
      <c r="O75" s="431"/>
      <c r="P75" s="431"/>
    </row>
    <row r="76" spans="1:145" ht="14.25" customHeight="1">
      <c r="B76" s="371" t="s">
        <v>91</v>
      </c>
      <c r="C76" s="371"/>
      <c r="D76" s="371"/>
      <c r="E76" s="371"/>
      <c r="F76" s="371"/>
      <c r="G76" s="371"/>
      <c r="H76" s="371"/>
      <c r="I76" s="371"/>
      <c r="J76" s="371"/>
      <c r="K76" s="371"/>
      <c r="L76" s="371"/>
      <c r="M76" s="371"/>
      <c r="N76" s="371"/>
      <c r="O76" s="371"/>
      <c r="P76" s="422"/>
    </row>
    <row r="77" spans="1:145" s="87" customFormat="1">
      <c r="B77" s="371" t="s">
        <v>59</v>
      </c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88" t="s">
        <v>1</v>
      </c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  <c r="AR77" s="89"/>
      <c r="AS77" s="89"/>
      <c r="AT77" s="89"/>
      <c r="AU77" s="89"/>
      <c r="AV77" s="89"/>
      <c r="AW77" s="89"/>
      <c r="AX77" s="89"/>
      <c r="AY77" s="89"/>
      <c r="AZ77" s="89"/>
      <c r="BA77" s="89"/>
      <c r="BB77" s="89"/>
      <c r="BC77" s="89"/>
      <c r="BD77" s="89"/>
      <c r="BE77" s="89"/>
      <c r="BF77" s="89"/>
      <c r="BG77" s="89"/>
      <c r="BH77" s="89"/>
      <c r="BI77" s="89"/>
      <c r="BJ77" s="89"/>
      <c r="BK77" s="89"/>
      <c r="BL77" s="89"/>
      <c r="BM77" s="89"/>
      <c r="BN77" s="89"/>
      <c r="BO77" s="89"/>
      <c r="BP77" s="89"/>
      <c r="BQ77" s="89"/>
      <c r="BR77" s="89"/>
      <c r="BS77" s="89"/>
      <c r="BT77" s="89"/>
      <c r="BU77" s="89"/>
      <c r="BV77" s="89"/>
      <c r="BW77" s="89"/>
      <c r="BX77" s="89"/>
      <c r="BY77" s="89"/>
      <c r="BZ77" s="89"/>
      <c r="CA77" s="89"/>
      <c r="CB77" s="89"/>
      <c r="CC77" s="89"/>
      <c r="CD77" s="89"/>
      <c r="CE77" s="89"/>
      <c r="CF77" s="89"/>
      <c r="CG77" s="89"/>
      <c r="CH77" s="89"/>
      <c r="CI77" s="89"/>
      <c r="CJ77" s="89"/>
      <c r="CK77" s="89"/>
      <c r="CL77" s="89"/>
      <c r="CM77" s="89"/>
      <c r="CN77" s="89"/>
      <c r="CO77" s="89"/>
      <c r="CP77" s="89"/>
      <c r="CQ77" s="89"/>
      <c r="CR77" s="89"/>
      <c r="CS77" s="89"/>
      <c r="CT77" s="89"/>
      <c r="CU77" s="89"/>
      <c r="CV77" s="89"/>
      <c r="CW77" s="89"/>
      <c r="CX77" s="89"/>
      <c r="CY77" s="89"/>
      <c r="CZ77" s="89"/>
      <c r="DA77" s="89"/>
      <c r="DB77" s="89"/>
      <c r="DC77" s="89"/>
      <c r="DD77" s="89"/>
      <c r="DE77" s="89"/>
      <c r="DF77" s="89"/>
      <c r="DG77" s="89"/>
      <c r="DH77" s="89"/>
      <c r="DI77" s="89"/>
      <c r="DJ77" s="89"/>
      <c r="DK77" s="89"/>
      <c r="DL77" s="89"/>
      <c r="DM77" s="89"/>
      <c r="DN77" s="89"/>
      <c r="DO77" s="89"/>
      <c r="DP77" s="89"/>
      <c r="DQ77" s="89"/>
      <c r="DR77" s="89"/>
      <c r="DS77" s="89"/>
      <c r="DT77" s="89"/>
      <c r="DU77" s="89"/>
      <c r="DV77" s="89"/>
      <c r="DW77" s="89"/>
      <c r="DX77" s="89"/>
      <c r="DY77" s="89"/>
      <c r="DZ77" s="89"/>
      <c r="EA77" s="89"/>
      <c r="EB77" s="89"/>
      <c r="EC77" s="89"/>
      <c r="ED77" s="89"/>
      <c r="EE77" s="89"/>
      <c r="EF77" s="89"/>
      <c r="EG77" s="89"/>
      <c r="EH77" s="89"/>
      <c r="EI77" s="89"/>
      <c r="EJ77" s="89"/>
      <c r="EK77" s="89"/>
      <c r="EL77" s="89"/>
      <c r="EM77" s="89"/>
      <c r="EN77" s="89"/>
      <c r="EO77" s="89"/>
    </row>
    <row r="78" spans="1:145">
      <c r="B78" s="371" t="str">
        <f>B10</f>
        <v>FOR TEST YEAR ENDED SEPTEMBER 30, 2023</v>
      </c>
      <c r="C78" s="371"/>
      <c r="D78" s="371"/>
      <c r="E78" s="371"/>
      <c r="F78" s="371"/>
      <c r="G78" s="371"/>
      <c r="H78" s="371"/>
      <c r="I78" s="371"/>
      <c r="J78" s="371"/>
      <c r="K78" s="371"/>
      <c r="L78" s="371"/>
      <c r="M78" s="371"/>
      <c r="N78" s="371"/>
      <c r="O78" s="371"/>
      <c r="P78" s="4" t="s">
        <v>1</v>
      </c>
    </row>
    <row r="79" spans="1:145">
      <c r="B79" s="14"/>
      <c r="C79" s="359"/>
      <c r="D79" s="359"/>
      <c r="E79" s="359"/>
      <c r="F79" s="359"/>
      <c r="G79" s="359"/>
      <c r="H79" s="359"/>
      <c r="I79" s="359"/>
      <c r="J79" s="359"/>
      <c r="K79" s="359"/>
      <c r="L79" s="359"/>
      <c r="M79" s="359"/>
      <c r="N79" s="359"/>
      <c r="O79" s="359"/>
      <c r="P79" s="4"/>
    </row>
    <row r="80" spans="1:145">
      <c r="B80" s="147" t="str">
        <f>Riders!C69</f>
        <v>EECR</v>
      </c>
      <c r="C80" s="99"/>
      <c r="D80" s="428"/>
      <c r="E80" s="405"/>
      <c r="F80" s="405"/>
      <c r="G80" s="428"/>
      <c r="H80" s="177"/>
      <c r="I80" s="177"/>
      <c r="J80" s="177"/>
      <c r="K80" s="177"/>
      <c r="L80" s="177"/>
      <c r="M80" s="177"/>
      <c r="N80" s="177"/>
      <c r="O80" s="177"/>
      <c r="P80" s="405"/>
    </row>
    <row r="81" spans="1:16">
      <c r="A81" s="359" t="s">
        <v>8</v>
      </c>
      <c r="B81" s="361" t="s">
        <v>0</v>
      </c>
      <c r="C81" s="361" t="s">
        <v>7</v>
      </c>
      <c r="D81" s="406" t="str">
        <f>$D$13</f>
        <v>Oct-22</v>
      </c>
      <c r="E81" s="406" t="str">
        <f>$E$13</f>
        <v>Nov-22</v>
      </c>
      <c r="F81" s="406" t="str">
        <f>$F$13</f>
        <v>Dec-22</v>
      </c>
      <c r="G81" s="406" t="str">
        <f>$G$13</f>
        <v>Jan-23</v>
      </c>
      <c r="H81" s="406" t="str">
        <f>$H$13</f>
        <v>Feb-23</v>
      </c>
      <c r="I81" s="406" t="str">
        <f>$I$13</f>
        <v>Mar-23</v>
      </c>
      <c r="J81" s="406" t="str">
        <f>$J$13</f>
        <v>Apr-23</v>
      </c>
      <c r="K81" s="406" t="str">
        <f>$K$13</f>
        <v>May-23</v>
      </c>
      <c r="L81" s="406" t="str">
        <f>$L$13</f>
        <v>Jun-23</v>
      </c>
      <c r="M81" s="406" t="str">
        <f>$M$13</f>
        <v>Jul-23</v>
      </c>
      <c r="N81" s="406" t="str">
        <f>$N$13</f>
        <v>Aug-23</v>
      </c>
      <c r="O81" s="406" t="str">
        <f>$O$13</f>
        <v>Sep-23</v>
      </c>
      <c r="P81" s="406" t="s">
        <v>2</v>
      </c>
    </row>
    <row r="82" spans="1:16">
      <c r="B82" s="361"/>
      <c r="C82" s="361"/>
      <c r="D82" s="406"/>
      <c r="E82" s="406"/>
      <c r="F82" s="406"/>
      <c r="G82" s="406"/>
      <c r="H82" s="406"/>
      <c r="I82" s="406"/>
      <c r="J82" s="406"/>
      <c r="K82" s="406"/>
      <c r="L82" s="406"/>
      <c r="M82" s="406"/>
      <c r="N82" s="406"/>
      <c r="O82" s="406"/>
      <c r="P82" s="406"/>
    </row>
    <row r="83" spans="1:16">
      <c r="A83" s="386" t="s">
        <v>9</v>
      </c>
      <c r="B83" s="87" t="s">
        <v>17</v>
      </c>
      <c r="C83" s="99" t="s">
        <v>4</v>
      </c>
      <c r="D83" s="424">
        <f>-VLOOKUP(CONCATENATE($B$80,$B83),Riders!$A$14:$Q$357,'II-H-4.1 Monthly'!D$11,FALSE)</f>
        <v>-1238036.48</v>
      </c>
      <c r="E83" s="424">
        <f>-VLOOKUP(CONCATENATE($B$80,$B83),Riders!$A$14:$Q$357,'II-H-4.1 Monthly'!E$11,FALSE)</f>
        <v>-955747.88</v>
      </c>
      <c r="F83" s="424">
        <f>-VLOOKUP(CONCATENATE($B$80,$B83),Riders!$A$14:$Q$357,'II-H-4.1 Monthly'!F$11,FALSE)</f>
        <v>-1112249.43</v>
      </c>
      <c r="G83" s="424">
        <f>-VLOOKUP(CONCATENATE($B$80,$B83),Riders!$A$14:$Q$357,'II-H-4.1 Monthly'!G$11,FALSE)</f>
        <v>-1192858.27</v>
      </c>
      <c r="H83" s="424">
        <f>-VLOOKUP(CONCATENATE($B$80,$B83),Riders!$A$14:$Q$357,'II-H-4.1 Monthly'!H$11,FALSE)</f>
        <v>-1049851.93</v>
      </c>
      <c r="I83" s="424">
        <f>-VLOOKUP(CONCATENATE($B$80,$B83),Riders!$A$14:$Q$357,'II-H-4.1 Monthly'!I$11,FALSE)</f>
        <v>-852214.80999999994</v>
      </c>
      <c r="J83" s="424">
        <f>-VLOOKUP(CONCATENATE($B$80,$B83),Riders!$A$14:$Q$357,'II-H-4.1 Monthly'!J$11,FALSE)</f>
        <v>-839735.04</v>
      </c>
      <c r="K83" s="424">
        <f>-VLOOKUP(CONCATENATE($B$80,$B83),Riders!$A$14:$Q$357,'II-H-4.1 Monthly'!K$11,FALSE)</f>
        <v>-916881.64999999991</v>
      </c>
      <c r="L83" s="424">
        <f>-VLOOKUP(CONCATENATE($B$80,$B83),Riders!$A$14:$Q$357,'II-H-4.1 Monthly'!L$11,FALSE)</f>
        <v>-1238649.04</v>
      </c>
      <c r="M83" s="424">
        <f>-VLOOKUP(CONCATENATE($B$80,$B83),Riders!$A$14:$Q$357,'II-H-4.1 Monthly'!M$11,FALSE)</f>
        <v>-1617749.3299999998</v>
      </c>
      <c r="N83" s="424">
        <f>-VLOOKUP(CONCATENATE($B$80,$B83),Riders!$A$14:$Q$357,'II-H-4.1 Monthly'!N$11,FALSE)</f>
        <v>-1633966.15</v>
      </c>
      <c r="O83" s="424">
        <f>-VLOOKUP(CONCATENATE($B$80,$B83),Riders!$A$14:$Q$357,'II-H-4.1 Monthly'!O$11,FALSE)</f>
        <v>-1584846.7000000002</v>
      </c>
      <c r="P83" s="424">
        <f>SUM(D83:O83)</f>
        <v>-14232786.710000001</v>
      </c>
    </row>
    <row r="84" spans="1:16">
      <c r="B84" s="87"/>
      <c r="C84" s="99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</row>
    <row r="85" spans="1:16">
      <c r="A85" s="386">
        <v>2</v>
      </c>
      <c r="B85" s="87" t="s">
        <v>20</v>
      </c>
      <c r="C85" s="99" t="s">
        <v>4</v>
      </c>
      <c r="D85" s="177">
        <f>-VLOOKUP(CONCATENATE($B$80,$B85),Riders!$A$14:$Q$357,'II-H-4.1 Monthly'!D$11,FALSE)</f>
        <v>-59343.25</v>
      </c>
      <c r="E85" s="177">
        <f>-VLOOKUP(CONCATENATE($B$80,$B85),Riders!$A$14:$Q$357,'II-H-4.1 Monthly'!E$11,FALSE)</f>
        <v>-52530.240000000005</v>
      </c>
      <c r="F85" s="177">
        <f>-VLOOKUP(CONCATENATE($B$80,$B85),Riders!$A$14:$Q$357,'II-H-4.1 Monthly'!F$11,FALSE)</f>
        <v>-55678.840000000004</v>
      </c>
      <c r="G85" s="177">
        <f>-VLOOKUP(CONCATENATE($B$80,$B85),Riders!$A$14:$Q$357,'II-H-4.1 Monthly'!G$11,FALSE)</f>
        <v>-56356.270000000004</v>
      </c>
      <c r="H85" s="177">
        <f>-VLOOKUP(CONCATENATE($B$80,$B85),Riders!$A$14:$Q$357,'II-H-4.1 Monthly'!H$11,FALSE)</f>
        <v>-51619.65</v>
      </c>
      <c r="I85" s="177">
        <f>-VLOOKUP(CONCATENATE($B$80,$B85),Riders!$A$14:$Q$357,'II-H-4.1 Monthly'!I$11,FALSE)</f>
        <v>-41584.559999999998</v>
      </c>
      <c r="J85" s="177">
        <f>-VLOOKUP(CONCATENATE($B$80,$B85),Riders!$A$14:$Q$357,'II-H-4.1 Monthly'!J$11,FALSE)</f>
        <v>-41330.89</v>
      </c>
      <c r="K85" s="177">
        <f>-VLOOKUP(CONCATENATE($B$80,$B85),Riders!$A$14:$Q$357,'II-H-4.1 Monthly'!K$11,FALSE)</f>
        <v>-43295.68</v>
      </c>
      <c r="L85" s="177">
        <f>-VLOOKUP(CONCATENATE($B$80,$B85),Riders!$A$14:$Q$357,'II-H-4.1 Monthly'!L$11,FALSE)</f>
        <v>-49499.380000000005</v>
      </c>
      <c r="M85" s="177">
        <f>-VLOOKUP(CONCATENATE($B$80,$B85),Riders!$A$14:$Q$357,'II-H-4.1 Monthly'!M$11,FALSE)</f>
        <v>-57710.58</v>
      </c>
      <c r="N85" s="177">
        <f>-VLOOKUP(CONCATENATE($B$80,$B85),Riders!$A$14:$Q$357,'II-H-4.1 Monthly'!N$11,FALSE)</f>
        <v>-59674.32</v>
      </c>
      <c r="O85" s="177">
        <f>-VLOOKUP(CONCATENATE($B$80,$B85),Riders!$A$14:$Q$357,'II-H-4.1 Monthly'!O$11,FALSE)</f>
        <v>-59114.34</v>
      </c>
      <c r="P85" s="101">
        <f>SUM(D85:O85)</f>
        <v>-627738</v>
      </c>
    </row>
    <row r="86" spans="1:16">
      <c r="A86" s="386"/>
      <c r="B86" s="87"/>
      <c r="C86" s="99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77"/>
      <c r="O86" s="177"/>
      <c r="P86" s="101"/>
    </row>
    <row r="87" spans="1:16">
      <c r="A87" s="386">
        <v>3</v>
      </c>
      <c r="B87" s="87" t="s">
        <v>81</v>
      </c>
      <c r="C87" s="157" t="s">
        <v>4</v>
      </c>
      <c r="D87" s="390">
        <f>-VLOOKUP(CONCATENATE($B$80,$B87),Riders!$A$14:$Q$357,'II-H-4.1 Monthly'!D$11,FALSE)</f>
        <v>-772879.07999999984</v>
      </c>
      <c r="E87" s="390">
        <f>-VLOOKUP(CONCATENATE($B$80,$B87),Riders!$A$14:$Q$357,'II-H-4.1 Monthly'!E$11,FALSE)</f>
        <v>-663295.70000000019</v>
      </c>
      <c r="F87" s="390">
        <f>-VLOOKUP(CONCATENATE($B$80,$B87),Riders!$A$14:$Q$357,'II-H-4.1 Monthly'!F$11,FALSE)</f>
        <v>-666360.06999999995</v>
      </c>
      <c r="G87" s="390">
        <f>-VLOOKUP(CONCATENATE($B$80,$B87),Riders!$A$14:$Q$357,'II-H-4.1 Monthly'!G$11,FALSE)</f>
        <v>-668749.16999999993</v>
      </c>
      <c r="H87" s="390">
        <f>-VLOOKUP(CONCATENATE($B$80,$B87),Riders!$A$14:$Q$357,'II-H-4.1 Monthly'!H$11,FALSE)</f>
        <v>-610872.43000000005</v>
      </c>
      <c r="I87" s="390">
        <f>-VLOOKUP(CONCATENATE($B$80,$B87),Riders!$A$14:$Q$357,'II-H-4.1 Monthly'!I$11,FALSE)</f>
        <v>-540613.80999999994</v>
      </c>
      <c r="J87" s="390">
        <f>-VLOOKUP(CONCATENATE($B$80,$B87),Riders!$A$14:$Q$357,'II-H-4.1 Monthly'!J$11,FALSE)</f>
        <v>-555774.11999999988</v>
      </c>
      <c r="K87" s="390">
        <f>-VLOOKUP(CONCATENATE($B$80,$B87),Riders!$A$14:$Q$357,'II-H-4.1 Monthly'!K$11,FALSE)</f>
        <v>-586696.75</v>
      </c>
      <c r="L87" s="390">
        <f>-VLOOKUP(CONCATENATE($B$80,$B87),Riders!$A$14:$Q$357,'II-H-4.1 Monthly'!L$11,FALSE)</f>
        <v>-685613.79000000015</v>
      </c>
      <c r="M87" s="390">
        <f>-VLOOKUP(CONCATENATE($B$80,$B87),Riders!$A$14:$Q$357,'II-H-4.1 Monthly'!M$11,FALSE)</f>
        <v>-794254.8899999999</v>
      </c>
      <c r="N87" s="390">
        <f>-VLOOKUP(CONCATENATE($B$80,$B87),Riders!$A$14:$Q$357,'II-H-4.1 Monthly'!N$11,FALSE)</f>
        <v>-805852.25000000012</v>
      </c>
      <c r="O87" s="390">
        <f>-VLOOKUP(CONCATENATE($B$80,$B87),Riders!$A$14:$Q$357,'II-H-4.1 Monthly'!O$11,FALSE)</f>
        <v>-811342.10000000009</v>
      </c>
      <c r="P87" s="101">
        <f>SUM(D87:O87)</f>
        <v>-8162304.1600000001</v>
      </c>
    </row>
    <row r="88" spans="1:16">
      <c r="A88" s="386">
        <v>4</v>
      </c>
      <c r="B88" s="87" t="s">
        <v>85</v>
      </c>
      <c r="C88" s="157" t="s">
        <v>4</v>
      </c>
      <c r="D88" s="388">
        <f>-VLOOKUP(CONCATENATE($B$80,$B88),Riders!$A$14:$Q$357,'II-H-4.1 Monthly'!D$11,FALSE)</f>
        <v>-128164.57999999999</v>
      </c>
      <c r="E88" s="388">
        <f>-VLOOKUP(CONCATENATE($B$80,$B88),Riders!$A$14:$Q$357,'II-H-4.1 Monthly'!E$11,FALSE)</f>
        <v>-115049.15000000001</v>
      </c>
      <c r="F88" s="388">
        <f>-VLOOKUP(CONCATENATE($B$80,$B88),Riders!$A$14:$Q$357,'II-H-4.1 Monthly'!F$11,FALSE)</f>
        <v>-118271.59999999998</v>
      </c>
      <c r="G88" s="388">
        <f>-VLOOKUP(CONCATENATE($B$80,$B88),Riders!$A$14:$Q$357,'II-H-4.1 Monthly'!G$11,FALSE)</f>
        <v>-112842.44</v>
      </c>
      <c r="H88" s="388">
        <f>-VLOOKUP(CONCATENATE($B$80,$B88),Riders!$A$14:$Q$357,'II-H-4.1 Monthly'!H$11,FALSE)</f>
        <v>-103137.51</v>
      </c>
      <c r="I88" s="388">
        <f>-VLOOKUP(CONCATENATE($B$80,$B88),Riders!$A$14:$Q$357,'II-H-4.1 Monthly'!I$11,FALSE)</f>
        <v>-91098.98</v>
      </c>
      <c r="J88" s="388">
        <f>-VLOOKUP(CONCATENATE($B$80,$B88),Riders!$A$14:$Q$357,'II-H-4.1 Monthly'!J$11,FALSE)</f>
        <v>-96399.98000000001</v>
      </c>
      <c r="K88" s="388">
        <f>-VLOOKUP(CONCATENATE($B$80,$B88),Riders!$A$14:$Q$357,'II-H-4.1 Monthly'!K$11,FALSE)</f>
        <v>-97832.040000000008</v>
      </c>
      <c r="L88" s="388">
        <f>-VLOOKUP(CONCATENATE($B$80,$B88),Riders!$A$14:$Q$357,'II-H-4.1 Monthly'!L$11,FALSE)</f>
        <v>-109665.72</v>
      </c>
      <c r="M88" s="388">
        <f>-VLOOKUP(CONCATENATE($B$80,$B88),Riders!$A$14:$Q$357,'II-H-4.1 Monthly'!M$11,FALSE)</f>
        <v>-118879.15</v>
      </c>
      <c r="N88" s="388">
        <f>-VLOOKUP(CONCATENATE($B$80,$B88),Riders!$A$14:$Q$357,'II-H-4.1 Monthly'!N$11,FALSE)</f>
        <v>-123056.49</v>
      </c>
      <c r="O88" s="388">
        <f>-VLOOKUP(CONCATENATE($B$80,$B88),Riders!$A$14:$Q$357,'II-H-4.1 Monthly'!O$11,FALSE)</f>
        <v>-132703.93</v>
      </c>
      <c r="P88" s="388">
        <f>SUM(D88:O88)</f>
        <v>-1347101.5699999998</v>
      </c>
    </row>
    <row r="89" spans="1:16">
      <c r="A89" s="386">
        <v>5</v>
      </c>
      <c r="B89" s="131" t="s">
        <v>18</v>
      </c>
      <c r="C89" s="99"/>
      <c r="D89" s="177">
        <f>SUM(D87:D88)</f>
        <v>-901043.6599999998</v>
      </c>
      <c r="E89" s="177">
        <f t="shared" ref="E89:O89" si="21">SUM(E87:E88)</f>
        <v>-778344.85000000021</v>
      </c>
      <c r="F89" s="177">
        <f t="shared" si="21"/>
        <v>-784631.66999999993</v>
      </c>
      <c r="G89" s="177">
        <f t="shared" si="21"/>
        <v>-781591.60999999987</v>
      </c>
      <c r="H89" s="177">
        <f t="shared" si="21"/>
        <v>-714009.94000000006</v>
      </c>
      <c r="I89" s="177">
        <f t="shared" si="21"/>
        <v>-631712.78999999992</v>
      </c>
      <c r="J89" s="177">
        <f t="shared" si="21"/>
        <v>-652174.09999999986</v>
      </c>
      <c r="K89" s="177">
        <f t="shared" si="21"/>
        <v>-684528.79</v>
      </c>
      <c r="L89" s="177">
        <f t="shared" si="21"/>
        <v>-795279.51000000013</v>
      </c>
      <c r="M89" s="177">
        <f t="shared" si="21"/>
        <v>-913134.03999999992</v>
      </c>
      <c r="N89" s="177">
        <f t="shared" si="21"/>
        <v>-928908.74000000011</v>
      </c>
      <c r="O89" s="177">
        <f t="shared" si="21"/>
        <v>-944046.03</v>
      </c>
      <c r="P89" s="177">
        <f>SUM(P87:P88)</f>
        <v>-9509405.7300000004</v>
      </c>
    </row>
    <row r="90" spans="1:16">
      <c r="B90" s="147"/>
      <c r="C90" s="99"/>
      <c r="D90" s="177"/>
      <c r="E90" s="177"/>
      <c r="F90" s="177"/>
      <c r="G90" s="177"/>
      <c r="H90" s="177"/>
      <c r="I90" s="177"/>
      <c r="J90" s="177"/>
      <c r="K90" s="177"/>
      <c r="L90" s="177"/>
      <c r="M90" s="177"/>
      <c r="N90" s="177"/>
      <c r="O90" s="177"/>
      <c r="P90" s="177"/>
    </row>
    <row r="91" spans="1:16" ht="12.75" customHeight="1">
      <c r="A91" s="386">
        <v>6</v>
      </c>
      <c r="B91" s="87" t="s">
        <v>82</v>
      </c>
      <c r="C91" s="157" t="s">
        <v>5</v>
      </c>
      <c r="D91" s="177">
        <f>-VLOOKUP(CONCATENATE($B$80,$B91),Riders!$A$14:$Q$357,'II-H-4.1 Monthly'!D$11,FALSE)</f>
        <v>-4881.74</v>
      </c>
      <c r="E91" s="177">
        <f>-VLOOKUP(CONCATENATE($B$80,$B91),Riders!$A$14:$Q$357,'II-H-4.1 Monthly'!E$11,FALSE)</f>
        <v>-4807.42</v>
      </c>
      <c r="F91" s="177">
        <f>-VLOOKUP(CONCATENATE($B$80,$B91),Riders!$A$14:$Q$357,'II-H-4.1 Monthly'!F$11,FALSE)</f>
        <v>-5287.01</v>
      </c>
      <c r="G91" s="177">
        <f>-VLOOKUP(CONCATENATE($B$80,$B91),Riders!$A$14:$Q$357,'II-H-4.1 Monthly'!G$11,FALSE)</f>
        <v>-4854.0600000000004</v>
      </c>
      <c r="H91" s="177">
        <f>-VLOOKUP(CONCATENATE($B$80,$B91),Riders!$A$14:$Q$357,'II-H-4.1 Monthly'!H$11,FALSE)</f>
        <v>-4832.1900000000005</v>
      </c>
      <c r="I91" s="177">
        <f>-VLOOKUP(CONCATENATE($B$80,$B91),Riders!$A$14:$Q$357,'II-H-4.1 Monthly'!I$11,FALSE)</f>
        <v>-9235.1</v>
      </c>
      <c r="J91" s="177">
        <f>-VLOOKUP(CONCATENATE($B$80,$B91),Riders!$A$14:$Q$357,'II-H-4.1 Monthly'!J$11,FALSE)</f>
        <v>-9963.25</v>
      </c>
      <c r="K91" s="177">
        <f>-VLOOKUP(CONCATENATE($B$80,$B91),Riders!$A$14:$Q$357,'II-H-4.1 Monthly'!K$11,FALSE)</f>
        <v>-10943.810000000001</v>
      </c>
      <c r="L91" s="177">
        <f>-VLOOKUP(CONCATENATE($B$80,$B91),Riders!$A$14:$Q$357,'II-H-4.1 Monthly'!L$11,FALSE)</f>
        <v>-10307.94</v>
      </c>
      <c r="M91" s="177">
        <f>-VLOOKUP(CONCATENATE($B$80,$B91),Riders!$A$14:$Q$357,'II-H-4.1 Monthly'!M$11,FALSE)</f>
        <v>-10802.16</v>
      </c>
      <c r="N91" s="177">
        <f>-VLOOKUP(CONCATENATE($B$80,$B91),Riders!$A$14:$Q$357,'II-H-4.1 Monthly'!N$11,FALSE)</f>
        <v>-10874.660000000002</v>
      </c>
      <c r="O91" s="177">
        <f>-VLOOKUP(CONCATENATE($B$80,$B91),Riders!$A$14:$Q$357,'II-H-4.1 Monthly'!O$11,FALSE)</f>
        <v>-11212.869999999999</v>
      </c>
      <c r="P91" s="101">
        <f>SUM(D91:O91)</f>
        <v>-98002.21</v>
      </c>
    </row>
    <row r="92" spans="1:16" ht="12.75" customHeight="1">
      <c r="A92" s="386">
        <v>7</v>
      </c>
      <c r="B92" s="87" t="s">
        <v>83</v>
      </c>
      <c r="C92" s="157" t="s">
        <v>5</v>
      </c>
      <c r="D92" s="390">
        <f>-VLOOKUP(CONCATENATE($B$80,$B92),Riders!$A$14:$Q$357,'II-H-4.1 Monthly'!D$11,FALSE)</f>
        <v>-67000.070000000007</v>
      </c>
      <c r="E92" s="390">
        <f>-VLOOKUP(CONCATENATE($B$80,$B92),Riders!$A$14:$Q$357,'II-H-4.1 Monthly'!E$11,FALSE)</f>
        <v>-65507.19</v>
      </c>
      <c r="F92" s="390">
        <f>-VLOOKUP(CONCATENATE($B$80,$B92),Riders!$A$14:$Q$357,'II-H-4.1 Monthly'!F$11,FALSE)</f>
        <v>-66426.900000000009</v>
      </c>
      <c r="G92" s="390">
        <f>-VLOOKUP(CONCATENATE($B$80,$B92),Riders!$A$14:$Q$357,'II-H-4.1 Monthly'!G$11,FALSE)</f>
        <v>-67169.19</v>
      </c>
      <c r="H92" s="390">
        <f>-VLOOKUP(CONCATENATE($B$80,$B92),Riders!$A$14:$Q$357,'II-H-4.1 Monthly'!H$11,FALSE)</f>
        <v>-61798.259999999995</v>
      </c>
      <c r="I92" s="390">
        <f>-VLOOKUP(CONCATENATE($B$80,$B92),Riders!$A$14:$Q$357,'II-H-4.1 Monthly'!I$11,FALSE)</f>
        <v>-107305.75</v>
      </c>
      <c r="J92" s="390">
        <f>-VLOOKUP(CONCATENATE($B$80,$B92),Riders!$A$14:$Q$357,'II-H-4.1 Monthly'!J$11,FALSE)</f>
        <v>-114001.19</v>
      </c>
      <c r="K92" s="390">
        <f>-VLOOKUP(CONCATENATE($B$80,$B92),Riders!$A$14:$Q$357,'II-H-4.1 Monthly'!K$11,FALSE)</f>
        <v>-122546.26000000002</v>
      </c>
      <c r="L92" s="390">
        <f>-VLOOKUP(CONCATENATE($B$80,$B92),Riders!$A$14:$Q$357,'II-H-4.1 Monthly'!L$11,FALSE)</f>
        <v>-126753.93000000002</v>
      </c>
      <c r="M92" s="390">
        <f>-VLOOKUP(CONCATENATE($B$80,$B92),Riders!$A$14:$Q$357,'II-H-4.1 Monthly'!M$11,FALSE)</f>
        <v>-131267.99</v>
      </c>
      <c r="N92" s="390">
        <f>-VLOOKUP(CONCATENATE($B$80,$B92),Riders!$A$14:$Q$357,'II-H-4.1 Monthly'!N$11,FALSE)</f>
        <v>-133034.65</v>
      </c>
      <c r="O92" s="390">
        <f>-VLOOKUP(CONCATENATE($B$80,$B92),Riders!$A$14:$Q$357,'II-H-4.1 Monthly'!O$11,FALSE)</f>
        <v>-131435.9</v>
      </c>
      <c r="P92" s="158">
        <f>SUM(D92:O92)</f>
        <v>-1194247.28</v>
      </c>
    </row>
    <row r="93" spans="1:16" ht="12.75" customHeight="1">
      <c r="A93" s="386">
        <v>8</v>
      </c>
      <c r="B93" s="87" t="s">
        <v>148</v>
      </c>
      <c r="C93" s="157" t="s">
        <v>5</v>
      </c>
      <c r="D93" s="390">
        <f>-VLOOKUP(CONCATENATE($B$80,$B93),Riders!$A$14:$Q$357,'II-H-4.1 Monthly'!D$11,FALSE)</f>
        <v>-110.01</v>
      </c>
      <c r="E93" s="390">
        <f>-VLOOKUP(CONCATENATE($B$80,$B93),Riders!$A$14:$Q$357,'II-H-4.1 Monthly'!E$11,FALSE)</f>
        <v>-104.66</v>
      </c>
      <c r="F93" s="390">
        <f>-VLOOKUP(CONCATENATE($B$80,$B93),Riders!$A$14:$Q$357,'II-H-4.1 Monthly'!F$11,FALSE)</f>
        <v>-119.08000000000001</v>
      </c>
      <c r="G93" s="390">
        <f>-VLOOKUP(CONCATENATE($B$80,$B93),Riders!$A$14:$Q$357,'II-H-4.1 Monthly'!G$11,FALSE)</f>
        <v>-93.539999999999992</v>
      </c>
      <c r="H93" s="390">
        <f>-VLOOKUP(CONCATENATE($B$80,$B93),Riders!$A$14:$Q$357,'II-H-4.1 Monthly'!H$11,FALSE)</f>
        <v>-94.69</v>
      </c>
      <c r="I93" s="390">
        <f>-VLOOKUP(CONCATENATE($B$80,$B93),Riders!$A$14:$Q$357,'II-H-4.1 Monthly'!I$11,FALSE)</f>
        <v>-210.6</v>
      </c>
      <c r="J93" s="390">
        <f>-VLOOKUP(CONCATENATE($B$80,$B93),Riders!$A$14:$Q$357,'II-H-4.1 Monthly'!J$11,FALSE)</f>
        <v>-220.95000000000002</v>
      </c>
      <c r="K93" s="390">
        <f>-VLOOKUP(CONCATENATE($B$80,$B93),Riders!$A$14:$Q$357,'II-H-4.1 Monthly'!K$11,FALSE)</f>
        <v>-245.47000000000003</v>
      </c>
      <c r="L93" s="390">
        <f>-VLOOKUP(CONCATENATE($B$80,$B93),Riders!$A$14:$Q$357,'II-H-4.1 Monthly'!L$11,FALSE)</f>
        <v>-264.39</v>
      </c>
      <c r="M93" s="390">
        <f>-VLOOKUP(CONCATENATE($B$80,$B93),Riders!$A$14:$Q$357,'II-H-4.1 Monthly'!M$11,FALSE)</f>
        <v>-263.83</v>
      </c>
      <c r="N93" s="390">
        <f>-VLOOKUP(CONCATENATE($B$80,$B93),Riders!$A$14:$Q$357,'II-H-4.1 Monthly'!N$11,FALSE)</f>
        <v>-246.70999999999998</v>
      </c>
      <c r="O93" s="390">
        <f>-VLOOKUP(CONCATENATE($B$80,$B93),Riders!$A$14:$Q$357,'II-H-4.1 Monthly'!O$11,FALSE)</f>
        <v>-257.77999999999997</v>
      </c>
      <c r="P93" s="158">
        <f t="shared" ref="P93:P94" si="22">SUM(D93:O93)</f>
        <v>-2231.71</v>
      </c>
    </row>
    <row r="94" spans="1:16" ht="12.75" customHeight="1">
      <c r="A94" s="386">
        <v>9</v>
      </c>
      <c r="B94" s="87" t="s">
        <v>149</v>
      </c>
      <c r="C94" s="157" t="s">
        <v>5</v>
      </c>
      <c r="D94" s="390">
        <f>-VLOOKUP(CONCATENATE($B$80,$B94),Riders!$A$14:$Q$357,'II-H-4.1 Monthly'!D$11,FALSE)</f>
        <v>-17989.009999999998</v>
      </c>
      <c r="E94" s="390">
        <f>-VLOOKUP(CONCATENATE($B$80,$B94),Riders!$A$14:$Q$357,'II-H-4.1 Monthly'!E$11,FALSE)</f>
        <v>-17191.580000000002</v>
      </c>
      <c r="F94" s="390">
        <f>-VLOOKUP(CONCATENATE($B$80,$B94),Riders!$A$14:$Q$357,'II-H-4.1 Monthly'!F$11,FALSE)</f>
        <v>-17388.060000000001</v>
      </c>
      <c r="G94" s="390">
        <f>-VLOOKUP(CONCATENATE($B$80,$B94),Riders!$A$14:$Q$357,'II-H-4.1 Monthly'!G$11,FALSE)</f>
        <v>-20034.709999999995</v>
      </c>
      <c r="H94" s="390">
        <f>-VLOOKUP(CONCATENATE($B$80,$B94),Riders!$A$14:$Q$357,'II-H-4.1 Monthly'!H$11,FALSE)</f>
        <v>-18352.64</v>
      </c>
      <c r="I94" s="390">
        <f>-VLOOKUP(CONCATENATE($B$80,$B94),Riders!$A$14:$Q$357,'II-H-4.1 Monthly'!I$11,FALSE)</f>
        <v>-30047.290000000015</v>
      </c>
      <c r="J94" s="390">
        <f>-VLOOKUP(CONCATENATE($B$80,$B94),Riders!$A$14:$Q$357,'II-H-4.1 Monthly'!J$11,FALSE)</f>
        <v>-32735.329999999994</v>
      </c>
      <c r="K94" s="390">
        <f>-VLOOKUP(CONCATENATE($B$80,$B94),Riders!$A$14:$Q$357,'II-H-4.1 Monthly'!K$11,FALSE)</f>
        <v>-28974.589999999978</v>
      </c>
      <c r="L94" s="390">
        <f>-VLOOKUP(CONCATENATE($B$80,$B94),Riders!$A$14:$Q$357,'II-H-4.1 Monthly'!L$11,FALSE)</f>
        <v>-28763.989999999994</v>
      </c>
      <c r="M94" s="390">
        <f>-VLOOKUP(CONCATENATE($B$80,$B94),Riders!$A$14:$Q$357,'II-H-4.1 Monthly'!M$11,FALSE)</f>
        <v>-24392.580000000009</v>
      </c>
      <c r="N94" s="390">
        <f>-VLOOKUP(CONCATENATE($B$80,$B94),Riders!$A$14:$Q$357,'II-H-4.1 Monthly'!N$11,FALSE)</f>
        <v>-25809.75</v>
      </c>
      <c r="O94" s="390">
        <f>-VLOOKUP(CONCATENATE($B$80,$B94),Riders!$A$14:$Q$357,'II-H-4.1 Monthly'!O$11,FALSE)</f>
        <v>-26943.759999999998</v>
      </c>
      <c r="P94" s="158">
        <f t="shared" si="22"/>
        <v>-288623.28999999998</v>
      </c>
    </row>
    <row r="95" spans="1:16" ht="12.75" customHeight="1">
      <c r="A95" s="386">
        <v>10</v>
      </c>
      <c r="B95" s="87" t="s">
        <v>19</v>
      </c>
      <c r="C95" s="157"/>
      <c r="D95" s="391">
        <f>SUM(D91:D94)</f>
        <v>-89980.83</v>
      </c>
      <c r="E95" s="391">
        <f t="shared" ref="E95" si="23">SUM(E91:E94)</f>
        <v>-87610.85</v>
      </c>
      <c r="F95" s="391">
        <f t="shared" ref="F95" si="24">SUM(F91:F94)</f>
        <v>-89221.05</v>
      </c>
      <c r="G95" s="391">
        <f t="shared" ref="G95" si="25">SUM(G91:G94)</f>
        <v>-92151.499999999985</v>
      </c>
      <c r="H95" s="391">
        <f t="shared" ref="H95" si="26">SUM(H91:H94)</f>
        <v>-85077.78</v>
      </c>
      <c r="I95" s="391">
        <f t="shared" ref="I95" si="27">SUM(I91:I94)</f>
        <v>-146798.74000000002</v>
      </c>
      <c r="J95" s="391">
        <f t="shared" ref="J95" si="28">SUM(J91:J94)</f>
        <v>-156920.72</v>
      </c>
      <c r="K95" s="391">
        <f t="shared" ref="K95" si="29">SUM(K91:K94)</f>
        <v>-162710.13</v>
      </c>
      <c r="L95" s="391">
        <f>SUM(L91:L94)</f>
        <v>-166090.25000000003</v>
      </c>
      <c r="M95" s="391">
        <f t="shared" ref="M95" si="30">SUM(M91:M94)</f>
        <v>-166726.56</v>
      </c>
      <c r="N95" s="391">
        <f t="shared" ref="N95" si="31">SUM(N91:N94)</f>
        <v>-169965.77</v>
      </c>
      <c r="O95" s="391">
        <f>SUM(O91:O94)</f>
        <v>-169850.31</v>
      </c>
      <c r="P95" s="391">
        <f t="shared" ref="P95" si="32">SUM(P91:P94)</f>
        <v>-1583104.49</v>
      </c>
    </row>
    <row r="96" spans="1:16" ht="12.75" customHeight="1">
      <c r="A96" s="386"/>
      <c r="B96" s="87"/>
      <c r="C96" s="15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  <c r="O96" s="177"/>
      <c r="P96" s="101"/>
    </row>
    <row r="97" spans="1:145" ht="12.75" customHeight="1">
      <c r="A97" s="386">
        <v>11</v>
      </c>
      <c r="B97" s="131" t="s">
        <v>86</v>
      </c>
      <c r="C97" s="157" t="s">
        <v>6</v>
      </c>
      <c r="D97" s="177">
        <f>-VLOOKUP(CONCATENATE($B$80,$B97),Riders!$A$14:$Q$357,'II-H-4.1 Monthly'!D$11,FALSE)</f>
        <v>-732.80000000000007</v>
      </c>
      <c r="E97" s="177">
        <f>-VLOOKUP(CONCATENATE($B$80,$B97),Riders!$A$14:$Q$357,'II-H-4.1 Monthly'!E$11,FALSE)</f>
        <v>-822.91000000000008</v>
      </c>
      <c r="F97" s="177">
        <f>-VLOOKUP(CONCATENATE($B$80,$B97),Riders!$A$14:$Q$357,'II-H-4.1 Monthly'!F$11,FALSE)</f>
        <v>-860.63000000000011</v>
      </c>
      <c r="G97" s="177">
        <f>-VLOOKUP(CONCATENATE($B$80,$B97),Riders!$A$14:$Q$357,'II-H-4.1 Monthly'!G$11,FALSE)</f>
        <v>-832.06000000000006</v>
      </c>
      <c r="H97" s="177">
        <f>-VLOOKUP(CONCATENATE($B$80,$B97),Riders!$A$14:$Q$357,'II-H-4.1 Monthly'!H$11,FALSE)</f>
        <v>-818.32999999999993</v>
      </c>
      <c r="I97" s="177">
        <f>-VLOOKUP(CONCATENATE($B$80,$B97),Riders!$A$14:$Q$357,'II-H-4.1 Monthly'!I$11,FALSE)</f>
        <v>-236.54</v>
      </c>
      <c r="J97" s="177">
        <f>-VLOOKUP(CONCATENATE($B$80,$B97),Riders!$A$14:$Q$357,'II-H-4.1 Monthly'!J$11,FALSE)</f>
        <v>0</v>
      </c>
      <c r="K97" s="177">
        <f>-VLOOKUP(CONCATENATE($B$80,$B97),Riders!$A$14:$Q$357,'II-H-4.1 Monthly'!K$11,FALSE)</f>
        <v>0</v>
      </c>
      <c r="L97" s="177">
        <f>-VLOOKUP(CONCATENATE($B$80,$B97),Riders!$A$14:$Q$357,'II-H-4.1 Monthly'!L$11,FALSE)</f>
        <v>0</v>
      </c>
      <c r="M97" s="177">
        <f>-VLOOKUP(CONCATENATE($B$80,$B97),Riders!$A$14:$Q$357,'II-H-4.1 Monthly'!M$11,FALSE)</f>
        <v>0</v>
      </c>
      <c r="N97" s="177">
        <f>-VLOOKUP(CONCATENATE($B$80,$B97),Riders!$A$14:$Q$357,'II-H-4.1 Monthly'!N$11,FALSE)</f>
        <v>0</v>
      </c>
      <c r="O97" s="177">
        <f>-VLOOKUP(CONCATENATE($B$80,$B97),Riders!$A$14:$Q$357,'II-H-4.1 Monthly'!O$11,FALSE)</f>
        <v>0</v>
      </c>
      <c r="P97" s="101">
        <f>SUM(D97:O97)</f>
        <v>-4303.2700000000004</v>
      </c>
      <c r="Q97" s="430"/>
    </row>
    <row r="98" spans="1:145" ht="12.75" customHeight="1">
      <c r="B98" s="87"/>
      <c r="C98" s="99"/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  <c r="O98" s="177"/>
      <c r="P98" s="177"/>
      <c r="Q98" s="430"/>
    </row>
    <row r="99" spans="1:145" ht="12.75" customHeight="1">
      <c r="A99" s="386">
        <v>12</v>
      </c>
      <c r="B99" s="89" t="s">
        <v>21</v>
      </c>
      <c r="C99" s="157" t="s">
        <v>4</v>
      </c>
      <c r="D99" s="429">
        <f>-VLOOKUP(CONCATENATE($B$80,$B99),Riders!$A$14:$Q$357,'II-H-4.1 Monthly'!D$11,FALSE)</f>
        <v>0</v>
      </c>
      <c r="E99" s="429">
        <f>-VLOOKUP(CONCATENATE($B$80,$B99),Riders!$A$14:$Q$357,'II-H-4.1 Monthly'!E$11,FALSE)</f>
        <v>0</v>
      </c>
      <c r="F99" s="429">
        <f>-VLOOKUP(CONCATENATE($B$80,$B99),Riders!$A$14:$Q$357,'II-H-4.1 Monthly'!F$11,FALSE)</f>
        <v>0</v>
      </c>
      <c r="G99" s="429">
        <f>-VLOOKUP(CONCATENATE($B$80,$B99),Riders!$A$14:$Q$357,'II-H-4.1 Monthly'!G$11,FALSE)</f>
        <v>0</v>
      </c>
      <c r="H99" s="429">
        <f>-VLOOKUP(CONCATENATE($B$80,$B99),Riders!$A$14:$Q$357,'II-H-4.1 Monthly'!H$11,FALSE)</f>
        <v>0</v>
      </c>
      <c r="I99" s="429">
        <f>-VLOOKUP(CONCATENATE($B$80,$B99),Riders!$A$14:$Q$357,'II-H-4.1 Monthly'!I$11,FALSE)</f>
        <v>0</v>
      </c>
      <c r="J99" s="429">
        <f>-VLOOKUP(CONCATENATE($B$80,$B99),Riders!$A$14:$Q$357,'II-H-4.1 Monthly'!J$11,FALSE)</f>
        <v>0</v>
      </c>
      <c r="K99" s="429">
        <f>-VLOOKUP(CONCATENATE($B$80,$B99),Riders!$A$14:$Q$357,'II-H-4.1 Monthly'!K$11,FALSE)</f>
        <v>0</v>
      </c>
      <c r="L99" s="429">
        <f>-VLOOKUP(CONCATENATE($B$80,$B99),Riders!$A$14:$Q$357,'II-H-4.1 Monthly'!L$11,FALSE)</f>
        <v>0</v>
      </c>
      <c r="M99" s="429">
        <f>-VLOOKUP(CONCATENATE($B$80,$B99),Riders!$A$14:$Q$357,'II-H-4.1 Monthly'!M$11,FALSE)</f>
        <v>0</v>
      </c>
      <c r="N99" s="429">
        <f>-VLOOKUP(CONCATENATE($B$80,$B99),Riders!$A$14:$Q$357,'II-H-4.1 Monthly'!N$11,FALSE)</f>
        <v>0</v>
      </c>
      <c r="O99" s="429">
        <f>-VLOOKUP(CONCATENATE($B$80,$B99),Riders!$A$14:$Q$357,'II-H-4.1 Monthly'!O$11,FALSE)</f>
        <v>-0.31</v>
      </c>
      <c r="P99" s="101">
        <f>SUM(D99:O99)</f>
        <v>-0.31</v>
      </c>
      <c r="Q99" s="419"/>
    </row>
    <row r="100" spans="1:145" ht="12.75" customHeight="1">
      <c r="A100" s="386"/>
      <c r="B100" s="87"/>
      <c r="C100" s="99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</row>
    <row r="101" spans="1:145" ht="12.75" customHeight="1">
      <c r="A101" s="386">
        <v>13</v>
      </c>
      <c r="B101" s="393" t="s">
        <v>22</v>
      </c>
      <c r="C101" s="362"/>
      <c r="D101" s="394">
        <f>D99+D97+D95+D89+D85+D83</f>
        <v>-2289137.0199999996</v>
      </c>
      <c r="E101" s="394">
        <f>E99+E97+E95+E89+E85+E83</f>
        <v>-1875056.7300000002</v>
      </c>
      <c r="F101" s="394">
        <f t="shared" ref="F101:P101" si="33">F99+F97+F95+F89+F85+F83</f>
        <v>-2042641.6199999999</v>
      </c>
      <c r="G101" s="394">
        <f t="shared" si="33"/>
        <v>-2123789.71</v>
      </c>
      <c r="H101" s="394">
        <f t="shared" si="33"/>
        <v>-1901377.63</v>
      </c>
      <c r="I101" s="394">
        <f t="shared" si="33"/>
        <v>-1672547.44</v>
      </c>
      <c r="J101" s="394">
        <f t="shared" si="33"/>
        <v>-1690160.75</v>
      </c>
      <c r="K101" s="394">
        <f t="shared" si="33"/>
        <v>-1807416.25</v>
      </c>
      <c r="L101" s="394">
        <f t="shared" si="33"/>
        <v>-2249518.1800000002</v>
      </c>
      <c r="M101" s="394">
        <f t="shared" si="33"/>
        <v>-2755320.51</v>
      </c>
      <c r="N101" s="394">
        <f t="shared" si="33"/>
        <v>-2792514.98</v>
      </c>
      <c r="O101" s="394">
        <f t="shared" si="33"/>
        <v>-2757857.6900000004</v>
      </c>
      <c r="P101" s="394">
        <f t="shared" si="33"/>
        <v>-25957338.510000002</v>
      </c>
    </row>
    <row r="102" spans="1:145" ht="12.75" customHeight="1">
      <c r="B102" s="362"/>
      <c r="C102" s="362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</row>
    <row r="103" spans="1:145" ht="12.75" customHeight="1">
      <c r="A103" s="386">
        <v>14</v>
      </c>
      <c r="B103" s="89" t="s">
        <v>69</v>
      </c>
      <c r="C103" s="157" t="s">
        <v>5</v>
      </c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/>
      <c r="P103" s="101">
        <f>SUM(D103:O103)</f>
        <v>0</v>
      </c>
    </row>
    <row r="104" spans="1:145" ht="12.75" customHeight="1">
      <c r="A104" s="386">
        <v>15</v>
      </c>
      <c r="B104" s="89" t="s">
        <v>70</v>
      </c>
      <c r="C104" s="157" t="s">
        <v>6</v>
      </c>
      <c r="D104" s="388"/>
      <c r="E104" s="388"/>
      <c r="F104" s="388"/>
      <c r="G104" s="388"/>
      <c r="H104" s="388"/>
      <c r="I104" s="388"/>
      <c r="J104" s="388"/>
      <c r="K104" s="388"/>
      <c r="L104" s="388"/>
      <c r="M104" s="388"/>
      <c r="N104" s="388"/>
      <c r="O104" s="388"/>
      <c r="P104" s="425">
        <f>SUM(D104:O104)</f>
        <v>0</v>
      </c>
    </row>
    <row r="105" spans="1:145" ht="13.5" customHeight="1">
      <c r="A105" s="386">
        <v>16</v>
      </c>
      <c r="B105" s="393" t="s">
        <v>23</v>
      </c>
      <c r="C105" s="361"/>
      <c r="D105" s="101">
        <f t="shared" ref="D105:P105" si="34">SUM(D103:D104)</f>
        <v>0</v>
      </c>
      <c r="E105" s="101">
        <f t="shared" si="34"/>
        <v>0</v>
      </c>
      <c r="F105" s="101">
        <f t="shared" si="34"/>
        <v>0</v>
      </c>
      <c r="G105" s="101">
        <f t="shared" si="34"/>
        <v>0</v>
      </c>
      <c r="H105" s="101">
        <f t="shared" si="34"/>
        <v>0</v>
      </c>
      <c r="I105" s="101">
        <f t="shared" si="34"/>
        <v>0</v>
      </c>
      <c r="J105" s="101">
        <f t="shared" si="34"/>
        <v>0</v>
      </c>
      <c r="K105" s="101">
        <f t="shared" si="34"/>
        <v>0</v>
      </c>
      <c r="L105" s="101">
        <f t="shared" si="34"/>
        <v>0</v>
      </c>
      <c r="M105" s="101">
        <f t="shared" si="34"/>
        <v>0</v>
      </c>
      <c r="N105" s="101">
        <f t="shared" si="34"/>
        <v>0</v>
      </c>
      <c r="O105" s="101">
        <f t="shared" si="34"/>
        <v>0</v>
      </c>
      <c r="P105" s="101">
        <f t="shared" si="34"/>
        <v>0</v>
      </c>
      <c r="Q105" s="194"/>
    </row>
    <row r="106" spans="1:145" ht="12.75" customHeight="1">
      <c r="A106" s="386"/>
      <c r="B106" s="87"/>
      <c r="C106" s="396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  <c r="O106" s="177"/>
      <c r="P106" s="177"/>
    </row>
    <row r="107" spans="1:145" ht="12" thickBot="1">
      <c r="A107" s="386">
        <v>17</v>
      </c>
      <c r="B107" s="147" t="s">
        <v>92</v>
      </c>
      <c r="C107" s="361"/>
      <c r="D107" s="426">
        <f t="shared" ref="D107" si="35">+D105+D101</f>
        <v>-2289137.0199999996</v>
      </c>
      <c r="E107" s="426">
        <f>+E105+E101</f>
        <v>-1875056.7300000002</v>
      </c>
      <c r="F107" s="426">
        <f t="shared" ref="F107:P107" si="36">+F105+F101</f>
        <v>-2042641.6199999999</v>
      </c>
      <c r="G107" s="426">
        <f t="shared" si="36"/>
        <v>-2123789.71</v>
      </c>
      <c r="H107" s="426">
        <f t="shared" si="36"/>
        <v>-1901377.63</v>
      </c>
      <c r="I107" s="426">
        <f t="shared" si="36"/>
        <v>-1672547.44</v>
      </c>
      <c r="J107" s="426">
        <f t="shared" si="36"/>
        <v>-1690160.75</v>
      </c>
      <c r="K107" s="426">
        <f t="shared" si="36"/>
        <v>-1807416.25</v>
      </c>
      <c r="L107" s="426">
        <f t="shared" si="36"/>
        <v>-2249518.1800000002</v>
      </c>
      <c r="M107" s="426">
        <f t="shared" si="36"/>
        <v>-2755320.51</v>
      </c>
      <c r="N107" s="426">
        <f t="shared" si="36"/>
        <v>-2792514.98</v>
      </c>
      <c r="O107" s="426">
        <f t="shared" si="36"/>
        <v>-2757857.6900000004</v>
      </c>
      <c r="P107" s="426">
        <f t="shared" si="36"/>
        <v>-25957338.510000002</v>
      </c>
    </row>
    <row r="108" spans="1:145" ht="12" thickTop="1">
      <c r="A108" s="386"/>
      <c r="B108" s="131"/>
      <c r="C108" s="361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</row>
    <row r="109" spans="1:145">
      <c r="A109" s="386"/>
      <c r="B109" s="131"/>
      <c r="C109" s="361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</row>
    <row r="110" spans="1:145" ht="12.75" customHeight="1">
      <c r="B110" s="371" t="s">
        <v>91</v>
      </c>
      <c r="C110" s="371"/>
      <c r="D110" s="371"/>
      <c r="E110" s="371"/>
      <c r="F110" s="371"/>
      <c r="G110" s="371"/>
      <c r="H110" s="371"/>
      <c r="I110" s="371"/>
      <c r="J110" s="371"/>
      <c r="K110" s="371"/>
      <c r="L110" s="371"/>
      <c r="M110" s="371"/>
      <c r="N110" s="371"/>
      <c r="O110" s="371"/>
      <c r="P110" s="427"/>
    </row>
    <row r="111" spans="1:145" s="87" customFormat="1">
      <c r="B111" s="371" t="s">
        <v>60</v>
      </c>
      <c r="C111" s="371"/>
      <c r="D111" s="371"/>
      <c r="E111" s="371"/>
      <c r="F111" s="371"/>
      <c r="G111" s="371"/>
      <c r="H111" s="371"/>
      <c r="I111" s="371"/>
      <c r="J111" s="371"/>
      <c r="K111" s="371"/>
      <c r="L111" s="371"/>
      <c r="M111" s="371"/>
      <c r="N111" s="371"/>
      <c r="O111" s="371"/>
      <c r="P111" s="88" t="s">
        <v>1</v>
      </c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89"/>
      <c r="AO111" s="89"/>
      <c r="AP111" s="89"/>
      <c r="AQ111" s="89"/>
      <c r="AR111" s="89"/>
      <c r="AS111" s="89"/>
      <c r="AT111" s="89"/>
      <c r="AU111" s="89"/>
      <c r="AV111" s="89"/>
      <c r="AW111" s="89"/>
      <c r="AX111" s="89"/>
      <c r="AY111" s="89"/>
      <c r="AZ111" s="89"/>
      <c r="BA111" s="89"/>
      <c r="BB111" s="89"/>
      <c r="BC111" s="89"/>
      <c r="BD111" s="89"/>
      <c r="BE111" s="89"/>
      <c r="BF111" s="89"/>
      <c r="BG111" s="89"/>
      <c r="BH111" s="89"/>
      <c r="BI111" s="89"/>
      <c r="BJ111" s="89"/>
      <c r="BK111" s="89"/>
      <c r="BL111" s="89"/>
      <c r="BM111" s="89"/>
      <c r="BN111" s="89"/>
      <c r="BO111" s="89"/>
      <c r="BP111" s="89"/>
      <c r="BQ111" s="89"/>
      <c r="BR111" s="89"/>
      <c r="BS111" s="89"/>
      <c r="BT111" s="89"/>
      <c r="BU111" s="89"/>
      <c r="BV111" s="89"/>
      <c r="BW111" s="89"/>
      <c r="BX111" s="89"/>
      <c r="BY111" s="89"/>
      <c r="BZ111" s="89"/>
      <c r="CA111" s="89"/>
      <c r="CB111" s="89"/>
      <c r="CC111" s="89"/>
      <c r="CD111" s="89"/>
      <c r="CE111" s="89"/>
      <c r="CF111" s="89"/>
      <c r="CG111" s="89"/>
      <c r="CH111" s="89"/>
      <c r="CI111" s="89"/>
      <c r="CJ111" s="89"/>
      <c r="CK111" s="89"/>
      <c r="CL111" s="89"/>
      <c r="CM111" s="89"/>
      <c r="CN111" s="89"/>
      <c r="CO111" s="89"/>
      <c r="CP111" s="89"/>
      <c r="CQ111" s="89"/>
      <c r="CR111" s="89"/>
      <c r="CS111" s="89"/>
      <c r="CT111" s="89"/>
      <c r="CU111" s="89"/>
      <c r="CV111" s="89"/>
      <c r="CW111" s="89"/>
      <c r="CX111" s="89"/>
      <c r="CY111" s="89"/>
      <c r="CZ111" s="89"/>
      <c r="DA111" s="89"/>
      <c r="DB111" s="89"/>
      <c r="DC111" s="89"/>
      <c r="DD111" s="89"/>
      <c r="DE111" s="89"/>
      <c r="DF111" s="89"/>
      <c r="DG111" s="89"/>
      <c r="DH111" s="89"/>
      <c r="DI111" s="89"/>
      <c r="DJ111" s="89"/>
      <c r="DK111" s="89"/>
      <c r="DL111" s="89"/>
      <c r="DM111" s="89"/>
      <c r="DN111" s="89"/>
      <c r="DO111" s="89"/>
      <c r="DP111" s="89"/>
      <c r="DQ111" s="89"/>
      <c r="DR111" s="89"/>
      <c r="DS111" s="89"/>
      <c r="DT111" s="89"/>
      <c r="DU111" s="89"/>
      <c r="DV111" s="89"/>
      <c r="DW111" s="89"/>
      <c r="DX111" s="89"/>
      <c r="DY111" s="89"/>
      <c r="DZ111" s="89"/>
      <c r="EA111" s="89"/>
      <c r="EB111" s="89"/>
      <c r="EC111" s="89"/>
      <c r="ED111" s="89"/>
      <c r="EE111" s="89"/>
      <c r="EF111" s="89"/>
      <c r="EG111" s="89"/>
      <c r="EH111" s="89"/>
      <c r="EI111" s="89"/>
      <c r="EJ111" s="89"/>
      <c r="EK111" s="89"/>
      <c r="EL111" s="89"/>
      <c r="EM111" s="89"/>
      <c r="EN111" s="89"/>
      <c r="EO111" s="89"/>
    </row>
    <row r="112" spans="1:145">
      <c r="B112" s="371" t="str">
        <f>B10</f>
        <v>FOR TEST YEAR ENDED SEPTEMBER 30, 2023</v>
      </c>
      <c r="C112" s="371"/>
      <c r="D112" s="371"/>
      <c r="E112" s="371"/>
      <c r="F112" s="371"/>
      <c r="G112" s="371"/>
      <c r="H112" s="371"/>
      <c r="I112" s="371"/>
      <c r="J112" s="371"/>
      <c r="K112" s="371"/>
      <c r="L112" s="371"/>
      <c r="M112" s="371"/>
      <c r="N112" s="371"/>
      <c r="O112" s="371"/>
      <c r="P112" s="87" t="s">
        <v>1</v>
      </c>
    </row>
    <row r="113" spans="1:18">
      <c r="B113" s="147"/>
      <c r="C113" s="361"/>
      <c r="D113" s="361"/>
      <c r="E113" s="361"/>
      <c r="F113" s="361"/>
      <c r="G113" s="361"/>
      <c r="H113" s="361"/>
      <c r="I113" s="361"/>
      <c r="J113" s="361"/>
      <c r="K113" s="361"/>
      <c r="L113" s="361"/>
      <c r="M113" s="361"/>
      <c r="N113" s="361"/>
      <c r="O113" s="361"/>
      <c r="P113" s="87"/>
    </row>
    <row r="114" spans="1:18">
      <c r="B114" s="147" t="str">
        <f>Riders!C185</f>
        <v>TC3</v>
      </c>
      <c r="C114" s="432" t="s">
        <v>301</v>
      </c>
      <c r="D114" s="428"/>
      <c r="E114" s="405"/>
      <c r="F114" s="405"/>
      <c r="G114" s="428"/>
      <c r="H114" s="177"/>
      <c r="I114" s="177"/>
      <c r="J114" s="177"/>
      <c r="K114" s="177"/>
      <c r="L114" s="177"/>
      <c r="M114" s="177"/>
      <c r="N114" s="177"/>
      <c r="O114" s="177"/>
      <c r="P114" s="405"/>
    </row>
    <row r="115" spans="1:18">
      <c r="A115" s="359" t="s">
        <v>8</v>
      </c>
      <c r="B115" s="361" t="s">
        <v>0</v>
      </c>
      <c r="C115" s="361" t="s">
        <v>7</v>
      </c>
      <c r="D115" s="406" t="str">
        <f>$D$13</f>
        <v>Oct-22</v>
      </c>
      <c r="E115" s="406" t="str">
        <f>$E$13</f>
        <v>Nov-22</v>
      </c>
      <c r="F115" s="406" t="str">
        <f>$F$13</f>
        <v>Dec-22</v>
      </c>
      <c r="G115" s="406" t="str">
        <f>$G$13</f>
        <v>Jan-23</v>
      </c>
      <c r="H115" s="406" t="str">
        <f>$H$13</f>
        <v>Feb-23</v>
      </c>
      <c r="I115" s="406" t="str">
        <f>$I$13</f>
        <v>Mar-23</v>
      </c>
      <c r="J115" s="406" t="str">
        <f>$J$13</f>
        <v>Apr-23</v>
      </c>
      <c r="K115" s="406" t="str">
        <f>$K$13</f>
        <v>May-23</v>
      </c>
      <c r="L115" s="406" t="str">
        <f>$L$13</f>
        <v>Jun-23</v>
      </c>
      <c r="M115" s="406" t="str">
        <f>$M$13</f>
        <v>Jul-23</v>
      </c>
      <c r="N115" s="406" t="str">
        <f>$N$13</f>
        <v>Aug-23</v>
      </c>
      <c r="O115" s="406" t="str">
        <f>$O$13</f>
        <v>Sep-23</v>
      </c>
      <c r="P115" s="406" t="s">
        <v>2</v>
      </c>
    </row>
    <row r="116" spans="1:18">
      <c r="B116" s="361"/>
      <c r="C116" s="361"/>
      <c r="D116" s="406"/>
      <c r="E116" s="406"/>
      <c r="F116" s="406"/>
      <c r="G116" s="406"/>
      <c r="H116" s="406"/>
      <c r="I116" s="406"/>
      <c r="J116" s="406"/>
      <c r="K116" s="406"/>
      <c r="L116" s="406"/>
      <c r="M116" s="406"/>
      <c r="N116" s="406"/>
      <c r="O116" s="406"/>
      <c r="P116" s="406"/>
    </row>
    <row r="117" spans="1:18">
      <c r="A117" s="386" t="s">
        <v>9</v>
      </c>
      <c r="B117" s="87" t="s">
        <v>17</v>
      </c>
      <c r="C117" s="99" t="s">
        <v>4</v>
      </c>
      <c r="D117" s="424">
        <f>-VLOOKUP(CONCATENATE($B$114,$B117),Riders!$A$14:$Q$357,'II-H-4.1 Monthly'!D$11,FALSE)</f>
        <v>-2460044.15</v>
      </c>
      <c r="E117" s="424">
        <f>-VLOOKUP(CONCATENATE($B$114,$B117),Riders!$A$14:$Q$357,'II-H-4.1 Monthly'!E$11,FALSE)</f>
        <v>-1920994.57</v>
      </c>
      <c r="F117" s="424">
        <f>-VLOOKUP(CONCATENATE($B$114,$B117),Riders!$A$14:$Q$357,'II-H-4.1 Monthly'!F$11,FALSE)</f>
        <v>-2162699.94</v>
      </c>
      <c r="G117" s="424">
        <f>-VLOOKUP(CONCATENATE($B$114,$B117),Riders!$A$14:$Q$357,'II-H-4.1 Monthly'!G$11,FALSE)</f>
        <v>-2298131.29</v>
      </c>
      <c r="H117" s="424">
        <f>-VLOOKUP(CONCATENATE($B$114,$B117),Riders!$A$14:$Q$357,'II-H-4.1 Monthly'!H$11,FALSE)</f>
        <v>-1983416.2400000002</v>
      </c>
      <c r="I117" s="424">
        <f>-VLOOKUP(CONCATENATE($B$114,$B117),Riders!$A$14:$Q$357,'II-H-4.1 Monthly'!I$11,FALSE)</f>
        <v>-1674560.31</v>
      </c>
      <c r="J117" s="424">
        <f>-VLOOKUP(CONCATENATE($B$114,$B117),Riders!$A$14:$Q$357,'II-H-4.1 Monthly'!J$11,FALSE)</f>
        <v>-1683467.92</v>
      </c>
      <c r="K117" s="424">
        <f>-VLOOKUP(CONCATENATE($B$114,$B117),Riders!$A$14:$Q$357,'II-H-4.1 Monthly'!K$11,FALSE)</f>
        <v>-1838311.24</v>
      </c>
      <c r="L117" s="424">
        <f>-VLOOKUP(CONCATENATE($B$114,$B117),Riders!$A$14:$Q$357,'II-H-4.1 Monthly'!L$11,FALSE)</f>
        <v>-2493759.29</v>
      </c>
      <c r="M117" s="424">
        <f>-VLOOKUP(CONCATENATE($B$114,$B117),Riders!$A$14:$Q$357,'II-H-4.1 Monthly'!M$11,FALSE)</f>
        <v>-3193921.58</v>
      </c>
      <c r="N117" s="424">
        <f>-VLOOKUP(CONCATENATE($B$114,$B117),Riders!$A$14:$Q$357,'II-H-4.1 Monthly'!N$11,FALSE)</f>
        <v>-3179397.32</v>
      </c>
      <c r="O117" s="424">
        <f>-VLOOKUP(CONCATENATE($B$114,$B117),Riders!$A$14:$Q$357,'II-H-4.1 Monthly'!O$11,FALSE)</f>
        <v>-3108468.39</v>
      </c>
      <c r="P117" s="424">
        <f>SUM(D117:O117)</f>
        <v>-27997172.240000002</v>
      </c>
      <c r="R117" s="194"/>
    </row>
    <row r="118" spans="1:18">
      <c r="B118" s="87"/>
      <c r="C118" s="99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</row>
    <row r="119" spans="1:18">
      <c r="A119" s="386">
        <v>2</v>
      </c>
      <c r="B119" s="87" t="s">
        <v>20</v>
      </c>
      <c r="C119" s="99" t="s">
        <v>4</v>
      </c>
      <c r="D119" s="177">
        <f>-VLOOKUP(CONCATENATE($B$114,$B119),Riders!$A$14:$Q$357,'II-H-4.1 Monthly'!D$11,FALSE)</f>
        <v>-353368.24</v>
      </c>
      <c r="E119" s="177">
        <f>-VLOOKUP(CONCATENATE($B$114,$B119),Riders!$A$14:$Q$357,'II-H-4.1 Monthly'!E$11,FALSE)</f>
        <v>-314988.55</v>
      </c>
      <c r="F119" s="177">
        <f>-VLOOKUP(CONCATENATE($B$114,$B119),Riders!$A$14:$Q$357,'II-H-4.1 Monthly'!F$11,FALSE)</f>
        <v>-323699.4800000001</v>
      </c>
      <c r="G119" s="177">
        <f>-VLOOKUP(CONCATENATE($B$114,$B119),Riders!$A$14:$Q$357,'II-H-4.1 Monthly'!G$11,FALSE)</f>
        <v>-322833.56</v>
      </c>
      <c r="H119" s="177">
        <f>-VLOOKUP(CONCATENATE($B$114,$B119),Riders!$A$14:$Q$357,'II-H-4.1 Monthly'!H$11,FALSE)</f>
        <v>-290662.69</v>
      </c>
      <c r="I119" s="177">
        <f>-VLOOKUP(CONCATENATE($B$114,$B119),Riders!$A$14:$Q$357,'II-H-4.1 Monthly'!I$11,FALSE)</f>
        <v>-331301.74000000005</v>
      </c>
      <c r="J119" s="177">
        <f>-VLOOKUP(CONCATENATE($B$114,$B119),Riders!$A$14:$Q$357,'II-H-4.1 Monthly'!J$11,FALSE)</f>
        <v>-334298.57</v>
      </c>
      <c r="K119" s="177">
        <f>-VLOOKUP(CONCATENATE($B$114,$B119),Riders!$A$14:$Q$357,'II-H-4.1 Monthly'!K$11,FALSE)</f>
        <v>-357230.7699999999</v>
      </c>
      <c r="L119" s="177">
        <f>-VLOOKUP(CONCATENATE($B$114,$B119),Riders!$A$14:$Q$357,'II-H-4.1 Monthly'!L$11,FALSE)</f>
        <v>-419512.80999999994</v>
      </c>
      <c r="M119" s="177">
        <f>-VLOOKUP(CONCATENATE($B$114,$B119),Riders!$A$14:$Q$357,'II-H-4.1 Monthly'!M$11,FALSE)</f>
        <v>-481804.82</v>
      </c>
      <c r="N119" s="177">
        <f>-VLOOKUP(CONCATENATE($B$114,$B119),Riders!$A$14:$Q$357,'II-H-4.1 Monthly'!N$11,FALSE)</f>
        <v>-490542.72</v>
      </c>
      <c r="O119" s="177">
        <f>-VLOOKUP(CONCATENATE($B$114,$B119),Riders!$A$14:$Q$357,'II-H-4.1 Monthly'!O$11,FALSE)</f>
        <v>-492225.5</v>
      </c>
      <c r="P119" s="101">
        <f>SUM(D119:O119)</f>
        <v>-4512469.45</v>
      </c>
    </row>
    <row r="120" spans="1:18">
      <c r="A120" s="386"/>
      <c r="B120" s="87"/>
      <c r="C120" s="99"/>
      <c r="D120" s="177"/>
      <c r="E120" s="177"/>
      <c r="F120" s="177"/>
      <c r="G120" s="177"/>
      <c r="H120" s="177"/>
      <c r="I120" s="177"/>
      <c r="J120" s="177"/>
      <c r="K120" s="177"/>
      <c r="L120" s="177"/>
      <c r="M120" s="177"/>
      <c r="N120" s="177"/>
      <c r="O120" s="177"/>
      <c r="P120" s="101"/>
    </row>
    <row r="121" spans="1:18">
      <c r="A121" s="386">
        <v>3</v>
      </c>
      <c r="B121" s="87" t="s">
        <v>81</v>
      </c>
      <c r="C121" s="157" t="s">
        <v>4</v>
      </c>
      <c r="D121" s="390">
        <f>-VLOOKUP(CONCATENATE($B$114,$B121),Riders!$A$14:$Q$357,'II-H-4.1 Monthly'!D$11,FALSE)</f>
        <v>-2200690.84</v>
      </c>
      <c r="E121" s="390">
        <f>-VLOOKUP(CONCATENATE($B$114,$B121),Riders!$A$14:$Q$357,'II-H-4.1 Monthly'!E$11,FALSE)</f>
        <v>-2034732.63</v>
      </c>
      <c r="F121" s="390">
        <f>-VLOOKUP(CONCATENATE($B$114,$B121),Riders!$A$14:$Q$357,'II-H-4.1 Monthly'!F$11,FALSE)</f>
        <v>-2028738.94</v>
      </c>
      <c r="G121" s="390">
        <f>-VLOOKUP(CONCATENATE($B$114,$B121),Riders!$A$14:$Q$357,'II-H-4.1 Monthly'!G$11,FALSE)</f>
        <v>-2054230.02</v>
      </c>
      <c r="H121" s="390">
        <f>-VLOOKUP(CONCATENATE($B$114,$B121),Riders!$A$14:$Q$357,'II-H-4.1 Monthly'!H$11,FALSE)</f>
        <v>-1989679.58</v>
      </c>
      <c r="I121" s="390">
        <f>-VLOOKUP(CONCATENATE($B$114,$B121),Riders!$A$14:$Q$357,'II-H-4.1 Monthly'!I$11,FALSE)</f>
        <v>-2106690.44</v>
      </c>
      <c r="J121" s="390">
        <f>-VLOOKUP(CONCATENATE($B$114,$B121),Riders!$A$14:$Q$357,'II-H-4.1 Monthly'!J$11,FALSE)</f>
        <v>-2095475.82</v>
      </c>
      <c r="K121" s="390">
        <f>-VLOOKUP(CONCATENATE($B$114,$B121),Riders!$A$14:$Q$357,'II-H-4.1 Monthly'!K$11,FALSE)</f>
        <v>-2149330.89</v>
      </c>
      <c r="L121" s="390">
        <f>-VLOOKUP(CONCATENATE($B$114,$B121),Riders!$A$14:$Q$357,'II-H-4.1 Monthly'!L$11,FALSE)</f>
        <v>-2374693.37</v>
      </c>
      <c r="M121" s="390">
        <f>-VLOOKUP(CONCATENATE($B$114,$B121),Riders!$A$14:$Q$357,'II-H-4.1 Monthly'!M$11,FALSE)</f>
        <v>-2633288.9299999997</v>
      </c>
      <c r="N121" s="390">
        <f>-VLOOKUP(CONCATENATE($B$114,$B121),Riders!$A$14:$Q$357,'II-H-4.1 Monthly'!N$11,FALSE)</f>
        <v>-2665719.6900000004</v>
      </c>
      <c r="O121" s="390">
        <f>-VLOOKUP(CONCATENATE($B$114,$B121),Riders!$A$14:$Q$357,'II-H-4.1 Monthly'!O$11,FALSE)</f>
        <v>-2672171.54</v>
      </c>
      <c r="P121" s="101">
        <f>SUM(D121:O121)</f>
        <v>-27005442.690000001</v>
      </c>
    </row>
    <row r="122" spans="1:18">
      <c r="A122" s="386">
        <v>4</v>
      </c>
      <c r="B122" s="87" t="s">
        <v>85</v>
      </c>
      <c r="C122" s="157" t="s">
        <v>4</v>
      </c>
      <c r="D122" s="388">
        <f>-VLOOKUP(CONCATENATE($B$114,$B122),Riders!$A$14:$Q$357,'II-H-4.1 Monthly'!D$11,FALSE)</f>
        <v>-212543.73999999996</v>
      </c>
      <c r="E122" s="388">
        <f>-VLOOKUP(CONCATENATE($B$114,$B122),Riders!$A$14:$Q$357,'II-H-4.1 Monthly'!E$11,FALSE)</f>
        <v>-200879.90000000002</v>
      </c>
      <c r="F122" s="388">
        <f>-VLOOKUP(CONCATENATE($B$114,$B122),Riders!$A$14:$Q$357,'II-H-4.1 Monthly'!F$11,FALSE)</f>
        <v>-194204.07</v>
      </c>
      <c r="G122" s="388">
        <f>-VLOOKUP(CONCATENATE($B$114,$B122),Riders!$A$14:$Q$357,'II-H-4.1 Monthly'!G$11,FALSE)</f>
        <v>-191586.61</v>
      </c>
      <c r="H122" s="388">
        <f>-VLOOKUP(CONCATENATE($B$114,$B122),Riders!$A$14:$Q$357,'II-H-4.1 Monthly'!H$11,FALSE)</f>
        <v>-191509.28</v>
      </c>
      <c r="I122" s="388">
        <f>-VLOOKUP(CONCATENATE($B$114,$B122),Riders!$A$14:$Q$357,'II-H-4.1 Monthly'!I$11,FALSE)</f>
        <v>-203617.25000000003</v>
      </c>
      <c r="J122" s="388">
        <f>-VLOOKUP(CONCATENATE($B$114,$B122),Riders!$A$14:$Q$357,'II-H-4.1 Monthly'!J$11,FALSE)</f>
        <v>-201094.71000000002</v>
      </c>
      <c r="K122" s="388">
        <f>-VLOOKUP(CONCATENATE($B$114,$B122),Riders!$A$14:$Q$357,'II-H-4.1 Monthly'!K$11,FALSE)</f>
        <v>-200120.83000000002</v>
      </c>
      <c r="L122" s="388">
        <f>-VLOOKUP(CONCATENATE($B$114,$B122),Riders!$A$14:$Q$357,'II-H-4.1 Monthly'!L$11,FALSE)</f>
        <v>-208590.17</v>
      </c>
      <c r="M122" s="388">
        <f>-VLOOKUP(CONCATENATE($B$114,$B122),Riders!$A$14:$Q$357,'II-H-4.1 Monthly'!M$11,FALSE)</f>
        <v>-228641.14</v>
      </c>
      <c r="N122" s="388">
        <f>-VLOOKUP(CONCATENATE($B$114,$B122),Riders!$A$14:$Q$357,'II-H-4.1 Monthly'!N$11,FALSE)</f>
        <v>-239773.13</v>
      </c>
      <c r="O122" s="388">
        <f>-VLOOKUP(CONCATENATE($B$114,$B122),Riders!$A$14:$Q$357,'II-H-4.1 Monthly'!O$11,FALSE)</f>
        <v>-268963.7</v>
      </c>
      <c r="P122" s="388">
        <f>SUM(D122:O122)</f>
        <v>-2541524.5300000003</v>
      </c>
    </row>
    <row r="123" spans="1:18">
      <c r="A123" s="386">
        <v>5</v>
      </c>
      <c r="B123" s="131" t="s">
        <v>18</v>
      </c>
      <c r="C123" s="99"/>
      <c r="D123" s="177">
        <f>SUM(D121:D122)</f>
        <v>-2413234.5799999996</v>
      </c>
      <c r="E123" s="177">
        <f t="shared" ref="E123:O123" si="37">SUM(E121:E122)</f>
        <v>-2235612.5299999998</v>
      </c>
      <c r="F123" s="177">
        <f t="shared" si="37"/>
        <v>-2222943.0099999998</v>
      </c>
      <c r="G123" s="177">
        <f t="shared" si="37"/>
        <v>-2245816.63</v>
      </c>
      <c r="H123" s="177">
        <f t="shared" si="37"/>
        <v>-2181188.86</v>
      </c>
      <c r="I123" s="177">
        <f t="shared" si="37"/>
        <v>-2310307.69</v>
      </c>
      <c r="J123" s="177">
        <f t="shared" si="37"/>
        <v>-2296570.5300000003</v>
      </c>
      <c r="K123" s="177">
        <f t="shared" si="37"/>
        <v>-2349451.7200000002</v>
      </c>
      <c r="L123" s="177">
        <f t="shared" si="37"/>
        <v>-2583283.54</v>
      </c>
      <c r="M123" s="177">
        <f t="shared" si="37"/>
        <v>-2861930.07</v>
      </c>
      <c r="N123" s="177">
        <f t="shared" si="37"/>
        <v>-2905492.8200000003</v>
      </c>
      <c r="O123" s="177">
        <f t="shared" si="37"/>
        <v>-2941135.24</v>
      </c>
      <c r="P123" s="177">
        <f>SUM(P121:P122)</f>
        <v>-29546967.220000003</v>
      </c>
    </row>
    <row r="124" spans="1:18">
      <c r="B124" s="147"/>
      <c r="C124" s="99"/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</row>
    <row r="125" spans="1:18" ht="12.75" customHeight="1">
      <c r="A125" s="386">
        <v>6</v>
      </c>
      <c r="B125" s="87" t="s">
        <v>82</v>
      </c>
      <c r="C125" s="157" t="s">
        <v>5</v>
      </c>
      <c r="D125" s="177">
        <f>-VLOOKUP(CONCATENATE($B$114,$B125),Riders!$A$14:$Q$357,'II-H-4.1 Monthly'!D$11,FALSE)</f>
        <v>-32664.379999999997</v>
      </c>
      <c r="E125" s="177">
        <f>-VLOOKUP(CONCATENATE($B$114,$B125),Riders!$A$14:$Q$357,'II-H-4.1 Monthly'!E$11,FALSE)</f>
        <v>-33641.050000000003</v>
      </c>
      <c r="F125" s="177">
        <f>-VLOOKUP(CONCATENATE($B$114,$B125),Riders!$A$14:$Q$357,'II-H-4.1 Monthly'!F$11,FALSE)</f>
        <v>-34025.65</v>
      </c>
      <c r="G125" s="177">
        <f>-VLOOKUP(CONCATENATE($B$114,$B125),Riders!$A$14:$Q$357,'II-H-4.1 Monthly'!G$11,FALSE)</f>
        <v>-32384.739999999998</v>
      </c>
      <c r="H125" s="177">
        <f>-VLOOKUP(CONCATENATE($B$114,$B125),Riders!$A$14:$Q$357,'II-H-4.1 Monthly'!H$11,FALSE)</f>
        <v>-34290.239999999998</v>
      </c>
      <c r="I125" s="177">
        <f>-VLOOKUP(CONCATENATE($B$114,$B125),Riders!$A$14:$Q$357,'II-H-4.1 Monthly'!I$11,FALSE)</f>
        <v>-40064.57</v>
      </c>
      <c r="J125" s="177">
        <f>-VLOOKUP(CONCATENATE($B$114,$B125),Riders!$A$14:$Q$357,'II-H-4.1 Monthly'!J$11,FALSE)</f>
        <v>-42285.89</v>
      </c>
      <c r="K125" s="177">
        <f>-VLOOKUP(CONCATENATE($B$114,$B125),Riders!$A$14:$Q$357,'II-H-4.1 Monthly'!K$11,FALSE)</f>
        <v>-41537.17</v>
      </c>
      <c r="L125" s="177">
        <f>-VLOOKUP(CONCATENATE($B$114,$B125),Riders!$A$14:$Q$357,'II-H-4.1 Monthly'!L$11,FALSE)</f>
        <v>-35686.39</v>
      </c>
      <c r="M125" s="177">
        <f>-VLOOKUP(CONCATENATE($B$114,$B125),Riders!$A$14:$Q$357,'II-H-4.1 Monthly'!M$11,FALSE)</f>
        <v>-41507.439999999995</v>
      </c>
      <c r="N125" s="177">
        <f>-VLOOKUP(CONCATENATE($B$114,$B125),Riders!$A$14:$Q$357,'II-H-4.1 Monthly'!N$11,FALSE)</f>
        <v>-42287.97</v>
      </c>
      <c r="O125" s="177">
        <f>-VLOOKUP(CONCATENATE($B$114,$B125),Riders!$A$14:$Q$357,'II-H-4.1 Monthly'!O$11,FALSE)</f>
        <v>-42212.71</v>
      </c>
      <c r="P125" s="101">
        <f>SUM(D125:O125)</f>
        <v>-452588.2</v>
      </c>
    </row>
    <row r="126" spans="1:18" ht="12.75" customHeight="1">
      <c r="A126" s="386">
        <v>7</v>
      </c>
      <c r="B126" s="87" t="s">
        <v>83</v>
      </c>
      <c r="C126" s="157" t="s">
        <v>5</v>
      </c>
      <c r="D126" s="390">
        <f>-VLOOKUP(CONCATENATE($B$114,$B126),Riders!$A$14:$Q$357,'II-H-4.1 Monthly'!D$11,FALSE)</f>
        <v>-417510.87</v>
      </c>
      <c r="E126" s="390">
        <f>-VLOOKUP(CONCATENATE($B$114,$B126),Riders!$A$14:$Q$357,'II-H-4.1 Monthly'!E$11,FALSE)</f>
        <v>-410744.07999999996</v>
      </c>
      <c r="F126" s="390">
        <f>-VLOOKUP(CONCATENATE($B$114,$B126),Riders!$A$14:$Q$357,'II-H-4.1 Monthly'!F$11,FALSE)</f>
        <v>-392642.22</v>
      </c>
      <c r="G126" s="390">
        <f>-VLOOKUP(CONCATENATE($B$114,$B126),Riders!$A$14:$Q$357,'II-H-4.1 Monthly'!G$11,FALSE)</f>
        <v>-400519.52999999997</v>
      </c>
      <c r="H126" s="390">
        <f>-VLOOKUP(CONCATENATE($B$114,$B126),Riders!$A$14:$Q$357,'II-H-4.1 Monthly'!H$11,FALSE)</f>
        <v>-376225.41</v>
      </c>
      <c r="I126" s="390">
        <f>-VLOOKUP(CONCATENATE($B$114,$B126),Riders!$A$14:$Q$357,'II-H-4.1 Monthly'!I$11,FALSE)</f>
        <v>-405599.02999999997</v>
      </c>
      <c r="J126" s="390">
        <f>-VLOOKUP(CONCATENATE($B$114,$B126),Riders!$A$14:$Q$357,'II-H-4.1 Monthly'!J$11,FALSE)</f>
        <v>-368113.47</v>
      </c>
      <c r="K126" s="390">
        <f>-VLOOKUP(CONCATENATE($B$114,$B126),Riders!$A$14:$Q$357,'II-H-4.1 Monthly'!K$11,FALSE)</f>
        <v>-406213.38</v>
      </c>
      <c r="L126" s="390">
        <f>-VLOOKUP(CONCATENATE($B$114,$B126),Riders!$A$14:$Q$357,'II-H-4.1 Monthly'!L$11,FALSE)</f>
        <v>-416563.11</v>
      </c>
      <c r="M126" s="390">
        <f>-VLOOKUP(CONCATENATE($B$114,$B126),Riders!$A$14:$Q$357,'II-H-4.1 Monthly'!M$11,FALSE)</f>
        <v>-438444.32999999996</v>
      </c>
      <c r="N126" s="390">
        <f>-VLOOKUP(CONCATENATE($B$114,$B126),Riders!$A$14:$Q$357,'II-H-4.1 Monthly'!N$11,FALSE)</f>
        <v>-442200.13999999996</v>
      </c>
      <c r="O126" s="390">
        <f>-VLOOKUP(CONCATENATE($B$114,$B126),Riders!$A$14:$Q$357,'II-H-4.1 Monthly'!O$11,FALSE)</f>
        <v>-426789.07</v>
      </c>
      <c r="P126" s="158">
        <f>SUM(D126:O126)</f>
        <v>-4901564.6399999997</v>
      </c>
    </row>
    <row r="127" spans="1:18" ht="12.75" customHeight="1">
      <c r="A127" s="386">
        <v>8</v>
      </c>
      <c r="B127" s="87" t="s">
        <v>148</v>
      </c>
      <c r="C127" s="157" t="s">
        <v>5</v>
      </c>
      <c r="D127" s="390">
        <f>-VLOOKUP(CONCATENATE($B$114,$B127),Riders!$A$14:$Q$357,'II-H-4.1 Monthly'!D$11,FALSE)</f>
        <v>-635.43000000000006</v>
      </c>
      <c r="E127" s="390">
        <f>-VLOOKUP(CONCATENATE($B$114,$B127),Riders!$A$14:$Q$357,'II-H-4.1 Monthly'!E$11,FALSE)</f>
        <v>-610.16999999999996</v>
      </c>
      <c r="F127" s="390">
        <f>-VLOOKUP(CONCATENATE($B$114,$B127),Riders!$A$14:$Q$357,'II-H-4.1 Monthly'!F$11,FALSE)</f>
        <v>-562.83000000000004</v>
      </c>
      <c r="G127" s="390">
        <f>-VLOOKUP(CONCATENATE($B$114,$B127),Riders!$A$14:$Q$357,'II-H-4.1 Monthly'!G$11,FALSE)</f>
        <v>-520.08000000000004</v>
      </c>
      <c r="H127" s="390">
        <f>-VLOOKUP(CONCATENATE($B$114,$B127),Riders!$A$14:$Q$357,'II-H-4.1 Monthly'!H$11,FALSE)</f>
        <v>-522.94000000000005</v>
      </c>
      <c r="I127" s="390">
        <f>-VLOOKUP(CONCATENATE($B$114,$B127),Riders!$A$14:$Q$357,'II-H-4.1 Monthly'!I$11,FALSE)</f>
        <v>-515.5</v>
      </c>
      <c r="J127" s="390">
        <f>-VLOOKUP(CONCATENATE($B$114,$B127),Riders!$A$14:$Q$357,'II-H-4.1 Monthly'!J$11,FALSE)</f>
        <v>-525.12</v>
      </c>
      <c r="K127" s="390">
        <f>-VLOOKUP(CONCATENATE($B$114,$B127),Riders!$A$14:$Q$357,'II-H-4.1 Monthly'!K$11,FALSE)</f>
        <v>-559.09999999999991</v>
      </c>
      <c r="L127" s="390">
        <f>-VLOOKUP(CONCATENATE($B$114,$B127),Riders!$A$14:$Q$357,'II-H-4.1 Monthly'!L$11,FALSE)</f>
        <v>-578.18000000000006</v>
      </c>
      <c r="M127" s="390">
        <f>-VLOOKUP(CONCATENATE($B$114,$B127),Riders!$A$14:$Q$357,'II-H-4.1 Monthly'!M$11,FALSE)</f>
        <v>-581.91000000000008</v>
      </c>
      <c r="N127" s="390">
        <f>-VLOOKUP(CONCATENATE($B$114,$B127),Riders!$A$14:$Q$357,'II-H-4.1 Monthly'!N$11,FALSE)</f>
        <v>-573.06999999999994</v>
      </c>
      <c r="O127" s="390">
        <f>-VLOOKUP(CONCATENATE($B$114,$B127),Riders!$A$14:$Q$357,'II-H-4.1 Monthly'!O$11,FALSE)</f>
        <v>-549.31999999999994</v>
      </c>
      <c r="P127" s="158">
        <f t="shared" ref="P127:P128" si="38">SUM(D127:O127)</f>
        <v>-6733.65</v>
      </c>
    </row>
    <row r="128" spans="1:18" ht="12.75" customHeight="1">
      <c r="A128" s="386">
        <v>9</v>
      </c>
      <c r="B128" s="87" t="s">
        <v>149</v>
      </c>
      <c r="C128" s="157" t="s">
        <v>5</v>
      </c>
      <c r="D128" s="390">
        <f>-VLOOKUP(CONCATENATE($B$114,$B128),Riders!$A$14:$Q$357,'II-H-4.1 Monthly'!D$11,FALSE)</f>
        <v>-57858.710000000006</v>
      </c>
      <c r="E128" s="390">
        <f>-VLOOKUP(CONCATENATE($B$114,$B128),Riders!$A$14:$Q$357,'II-H-4.1 Monthly'!E$11,FALSE)</f>
        <v>-57858.710000000006</v>
      </c>
      <c r="F128" s="390">
        <f>-VLOOKUP(CONCATENATE($B$114,$B128),Riders!$A$14:$Q$357,'II-H-4.1 Monthly'!F$11,FALSE)</f>
        <v>-57858.710000000006</v>
      </c>
      <c r="G128" s="390">
        <f>-VLOOKUP(CONCATENATE($B$114,$B128),Riders!$A$14:$Q$357,'II-H-4.1 Monthly'!G$11,FALSE)</f>
        <v>-57858.710000000006</v>
      </c>
      <c r="H128" s="390">
        <f>-VLOOKUP(CONCATENATE($B$114,$B128),Riders!$A$14:$Q$357,'II-H-4.1 Monthly'!H$11,FALSE)</f>
        <v>-57858.710000000006</v>
      </c>
      <c r="I128" s="390">
        <f>-VLOOKUP(CONCATENATE($B$114,$B128),Riders!$A$14:$Q$357,'II-H-4.1 Monthly'!I$11,FALSE)</f>
        <v>-57858.710000000006</v>
      </c>
      <c r="J128" s="390">
        <f>-VLOOKUP(CONCATENATE($B$114,$B128),Riders!$A$14:$Q$357,'II-H-4.1 Monthly'!J$11,FALSE)</f>
        <v>-57858.710000000006</v>
      </c>
      <c r="K128" s="390">
        <f>-VLOOKUP(CONCATENATE($B$114,$B128),Riders!$A$14:$Q$357,'II-H-4.1 Monthly'!K$11,FALSE)</f>
        <v>-57858.710000000006</v>
      </c>
      <c r="L128" s="390">
        <f>-VLOOKUP(CONCATENATE($B$114,$B128),Riders!$A$14:$Q$357,'II-H-4.1 Monthly'!L$11,FALSE)</f>
        <v>-57858.710000000006</v>
      </c>
      <c r="M128" s="390">
        <f>-VLOOKUP(CONCATENATE($B$114,$B128),Riders!$A$14:$Q$357,'II-H-4.1 Monthly'!M$11,FALSE)</f>
        <v>-57858.710000000006</v>
      </c>
      <c r="N128" s="390">
        <f>-VLOOKUP(CONCATENATE($B$114,$B128),Riders!$A$14:$Q$357,'II-H-4.1 Monthly'!N$11,FALSE)</f>
        <v>-57858.710000000006</v>
      </c>
      <c r="O128" s="390">
        <f>-VLOOKUP(CONCATENATE($B$114,$B128),Riders!$A$14:$Q$357,'II-H-4.1 Monthly'!O$11,FALSE)</f>
        <v>-57858.710000000006</v>
      </c>
      <c r="P128" s="158">
        <f t="shared" si="38"/>
        <v>-694304.52</v>
      </c>
    </row>
    <row r="129" spans="1:17" ht="12.75" customHeight="1">
      <c r="A129" s="386">
        <v>10</v>
      </c>
      <c r="B129" s="87" t="s">
        <v>19</v>
      </c>
      <c r="C129" s="157"/>
      <c r="D129" s="391">
        <f>SUM(D125:D128)</f>
        <v>-508669.39</v>
      </c>
      <c r="E129" s="391">
        <f t="shared" ref="E129" si="39">SUM(E125:E128)</f>
        <v>-502854.00999999995</v>
      </c>
      <c r="F129" s="391">
        <f t="shared" ref="F129" si="40">SUM(F125:F128)</f>
        <v>-485089.41000000003</v>
      </c>
      <c r="G129" s="391">
        <f t="shared" ref="G129" si="41">SUM(G125:G128)</f>
        <v>-491283.06</v>
      </c>
      <c r="H129" s="391">
        <f t="shared" ref="H129" si="42">SUM(H125:H128)</f>
        <v>-468897.3</v>
      </c>
      <c r="I129" s="391">
        <f t="shared" ref="I129" si="43">SUM(I125:I128)</f>
        <v>-504037.81</v>
      </c>
      <c r="J129" s="391">
        <f t="shared" ref="J129" si="44">SUM(J125:J128)</f>
        <v>-468783.19</v>
      </c>
      <c r="K129" s="391">
        <f t="shared" ref="K129" si="45">SUM(K125:K128)</f>
        <v>-506168.36</v>
      </c>
      <c r="L129" s="391">
        <f>SUM(L125:L128)</f>
        <v>-510686.39</v>
      </c>
      <c r="M129" s="391">
        <f t="shared" ref="M129" si="46">SUM(M125:M128)</f>
        <v>-538392.3899999999</v>
      </c>
      <c r="N129" s="391">
        <f t="shared" ref="N129" si="47">SUM(N125:N128)</f>
        <v>-542919.89</v>
      </c>
      <c r="O129" s="391">
        <f>SUM(O125:O128)</f>
        <v>-527409.81000000006</v>
      </c>
      <c r="P129" s="391">
        <f t="shared" ref="P129" si="48">SUM(P125:P128)</f>
        <v>-6055191.0099999998</v>
      </c>
    </row>
    <row r="130" spans="1:17" ht="12.75" customHeight="1">
      <c r="A130" s="386"/>
      <c r="B130" s="87"/>
      <c r="C130" s="157"/>
      <c r="D130" s="177"/>
      <c r="E130" s="177"/>
      <c r="F130" s="177"/>
      <c r="G130" s="177"/>
      <c r="H130" s="177"/>
      <c r="I130" s="177"/>
      <c r="J130" s="177"/>
      <c r="K130" s="177"/>
      <c r="L130" s="177"/>
      <c r="M130" s="177"/>
      <c r="N130" s="177"/>
      <c r="O130" s="177"/>
      <c r="P130" s="101"/>
    </row>
    <row r="131" spans="1:17" ht="12.75" customHeight="1">
      <c r="A131" s="386">
        <v>11</v>
      </c>
      <c r="B131" s="131" t="s">
        <v>86</v>
      </c>
      <c r="C131" s="157" t="s">
        <v>6</v>
      </c>
      <c r="D131" s="177">
        <f>-VLOOKUP(CONCATENATE($B$114,$B131),Riders!$A$14:$Q$357,'II-H-4.1 Monthly'!D$11,FALSE)</f>
        <v>-428092.55000000005</v>
      </c>
      <c r="E131" s="177">
        <f>-VLOOKUP(CONCATENATE($B$114,$B131),Riders!$A$14:$Q$357,'II-H-4.1 Monthly'!E$11,FALSE)</f>
        <v>-448600.51000000007</v>
      </c>
      <c r="F131" s="177">
        <f>-VLOOKUP(CONCATENATE($B$114,$B131),Riders!$A$14:$Q$357,'II-H-4.1 Monthly'!F$11,FALSE)</f>
        <v>-484131.9</v>
      </c>
      <c r="G131" s="177">
        <f>-VLOOKUP(CONCATENATE($B$114,$B131),Riders!$A$14:$Q$357,'II-H-4.1 Monthly'!G$11,FALSE)</f>
        <v>-462922.17</v>
      </c>
      <c r="H131" s="177">
        <f>-VLOOKUP(CONCATENATE($B$114,$B131),Riders!$A$14:$Q$357,'II-H-4.1 Monthly'!H$11,FALSE)</f>
        <v>-448278.25</v>
      </c>
      <c r="I131" s="177">
        <f>-VLOOKUP(CONCATENATE($B$114,$B131),Riders!$A$14:$Q$357,'II-H-4.1 Monthly'!I$11,FALSE)</f>
        <v>-361359.06000000006</v>
      </c>
      <c r="J131" s="177">
        <f>-VLOOKUP(CONCATENATE($B$114,$B131),Riders!$A$14:$Q$357,'II-H-4.1 Monthly'!J$11,FALSE)</f>
        <v>-257349.4</v>
      </c>
      <c r="K131" s="177">
        <f>-VLOOKUP(CONCATENATE($B$114,$B131),Riders!$A$14:$Q$357,'II-H-4.1 Monthly'!K$11,FALSE)</f>
        <v>-272172.3</v>
      </c>
      <c r="L131" s="177">
        <f>-VLOOKUP(CONCATENATE($B$114,$B131),Riders!$A$14:$Q$357,'II-H-4.1 Monthly'!L$11,FALSE)</f>
        <v>-256266.24000000002</v>
      </c>
      <c r="M131" s="177">
        <f>-VLOOKUP(CONCATENATE($B$114,$B131),Riders!$A$14:$Q$357,'II-H-4.1 Monthly'!M$11,FALSE)</f>
        <v>-268760.24</v>
      </c>
      <c r="N131" s="177">
        <f>-VLOOKUP(CONCATENATE($B$114,$B131),Riders!$A$14:$Q$357,'II-H-4.1 Monthly'!N$11,FALSE)</f>
        <v>-228295.46</v>
      </c>
      <c r="O131" s="177">
        <f>-VLOOKUP(CONCATENATE($B$114,$B131),Riders!$A$14:$Q$357,'II-H-4.1 Monthly'!O$11,FALSE)</f>
        <v>-194591.08</v>
      </c>
      <c r="P131" s="101">
        <f>SUM(D131:O131)</f>
        <v>-4110819.16</v>
      </c>
      <c r="Q131" s="430"/>
    </row>
    <row r="132" spans="1:17" ht="12.75" customHeight="1">
      <c r="B132" s="87"/>
      <c r="C132" s="99"/>
      <c r="D132" s="177"/>
      <c r="E132" s="177"/>
      <c r="F132" s="177"/>
      <c r="G132" s="177"/>
      <c r="H132" s="177"/>
      <c r="I132" s="177"/>
      <c r="J132" s="177"/>
      <c r="K132" s="177"/>
      <c r="L132" s="177"/>
      <c r="M132" s="177"/>
      <c r="N132" s="177"/>
      <c r="O132" s="177"/>
      <c r="P132" s="177"/>
      <c r="Q132" s="430"/>
    </row>
    <row r="133" spans="1:17" ht="12.75" customHeight="1">
      <c r="A133" s="386">
        <v>12</v>
      </c>
      <c r="B133" s="89" t="s">
        <v>21</v>
      </c>
      <c r="C133" s="157" t="s">
        <v>4</v>
      </c>
      <c r="D133" s="429">
        <f>-VLOOKUP(CONCATENATE($B$114,$B133),Riders!$A$14:$Q$357,'II-H-4.1 Monthly'!D$11,FALSE)</f>
        <v>-100903.39</v>
      </c>
      <c r="E133" s="429">
        <f>-VLOOKUP(CONCATENATE($B$114,$B133),Riders!$A$14:$Q$357,'II-H-4.1 Monthly'!E$11,FALSE)</f>
        <v>-101295.82</v>
      </c>
      <c r="F133" s="429">
        <f>-VLOOKUP(CONCATENATE($B$114,$B133),Riders!$A$14:$Q$357,'II-H-4.1 Monthly'!F$11,FALSE)</f>
        <v>-100532.03000000003</v>
      </c>
      <c r="G133" s="429">
        <f>-VLOOKUP(CONCATENATE($B$114,$B133),Riders!$A$14:$Q$357,'II-H-4.1 Monthly'!G$11,FALSE)</f>
        <v>-100761.34999999999</v>
      </c>
      <c r="H133" s="429">
        <f>-VLOOKUP(CONCATENATE($B$114,$B133),Riders!$A$14:$Q$357,'II-H-4.1 Monthly'!H$11,FALSE)</f>
        <v>-99387.760000000024</v>
      </c>
      <c r="I133" s="429">
        <f>-VLOOKUP(CONCATENATE($B$114,$B133),Riders!$A$14:$Q$357,'II-H-4.1 Monthly'!I$11,FALSE)</f>
        <v>-107545.71999999996</v>
      </c>
      <c r="J133" s="429">
        <f>-VLOOKUP(CONCATENATE($B$114,$B133),Riders!$A$14:$Q$357,'II-H-4.1 Monthly'!J$11,FALSE)</f>
        <v>-107462.10000000002</v>
      </c>
      <c r="K133" s="429">
        <f>-VLOOKUP(CONCATENATE($B$114,$B133),Riders!$A$14:$Q$357,'II-H-4.1 Monthly'!K$11,FALSE)</f>
        <v>-107502.89000000001</v>
      </c>
      <c r="L133" s="429">
        <f>-VLOOKUP(CONCATENATE($B$114,$B133),Riders!$A$14:$Q$357,'II-H-4.1 Monthly'!L$11,FALSE)</f>
        <v>-106828.71000000002</v>
      </c>
      <c r="M133" s="429">
        <f>-VLOOKUP(CONCATENATE($B$114,$B133),Riders!$A$14:$Q$357,'II-H-4.1 Monthly'!M$11,FALSE)</f>
        <v>-107205.41</v>
      </c>
      <c r="N133" s="429">
        <f>-VLOOKUP(CONCATENATE($B$114,$B133),Riders!$A$14:$Q$357,'II-H-4.1 Monthly'!N$11,FALSE)</f>
        <v>-106574.76999999999</v>
      </c>
      <c r="O133" s="429">
        <f>-VLOOKUP(CONCATENATE($B$114,$B133),Riders!$A$14:$Q$357,'II-H-4.1 Monthly'!O$11,FALSE)</f>
        <v>-106617.17</v>
      </c>
      <c r="P133" s="101">
        <f>SUM(D133:O133)</f>
        <v>-1252617.1199999999</v>
      </c>
      <c r="Q133" s="419"/>
    </row>
    <row r="134" spans="1:17" ht="12.75" customHeight="1">
      <c r="A134" s="386"/>
      <c r="B134" s="87"/>
      <c r="C134" s="99"/>
      <c r="D134" s="177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  <c r="O134" s="177"/>
      <c r="P134" s="177"/>
    </row>
    <row r="135" spans="1:17" ht="12.75" customHeight="1">
      <c r="A135" s="386">
        <v>13</v>
      </c>
      <c r="B135" s="393" t="s">
        <v>22</v>
      </c>
      <c r="C135" s="362"/>
      <c r="D135" s="394">
        <f>D133+D131+D129+D123+D119+D117</f>
        <v>-6264312.2999999989</v>
      </c>
      <c r="E135" s="394">
        <f>E133+E131+E129+E123+E119+E117</f>
        <v>-5524345.9900000002</v>
      </c>
      <c r="F135" s="394">
        <f t="shared" ref="F135:O135" si="49">F133+F131+F129+F123+F119+F117</f>
        <v>-5779095.7699999996</v>
      </c>
      <c r="G135" s="394">
        <f t="shared" si="49"/>
        <v>-5921748.0600000005</v>
      </c>
      <c r="H135" s="394">
        <f t="shared" si="49"/>
        <v>-5471831.0999999996</v>
      </c>
      <c r="I135" s="394">
        <f t="shared" si="49"/>
        <v>-5289112.33</v>
      </c>
      <c r="J135" s="394">
        <f t="shared" si="49"/>
        <v>-5147931.71</v>
      </c>
      <c r="K135" s="394">
        <f t="shared" si="49"/>
        <v>-5430837.2800000003</v>
      </c>
      <c r="L135" s="394">
        <f t="shared" si="49"/>
        <v>-6370336.9800000004</v>
      </c>
      <c r="M135" s="394">
        <f t="shared" si="49"/>
        <v>-7452014.5099999998</v>
      </c>
      <c r="N135" s="394">
        <f t="shared" si="49"/>
        <v>-7453222.9800000004</v>
      </c>
      <c r="O135" s="394">
        <f t="shared" si="49"/>
        <v>-7370447.1900000013</v>
      </c>
      <c r="P135" s="394">
        <f>P133+P131+P129+P123+P119+P117</f>
        <v>-73475236.200000018</v>
      </c>
    </row>
    <row r="136" spans="1:17" ht="12.75" customHeight="1">
      <c r="B136" s="362"/>
      <c r="C136" s="362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</row>
    <row r="137" spans="1:17" ht="12.75" customHeight="1">
      <c r="A137" s="386">
        <v>14</v>
      </c>
      <c r="B137" s="89" t="s">
        <v>69</v>
      </c>
      <c r="C137" s="157" t="s">
        <v>5</v>
      </c>
      <c r="D137" s="177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  <c r="O137" s="177"/>
      <c r="P137" s="101">
        <f>SUM(D137:O137)</f>
        <v>0</v>
      </c>
    </row>
    <row r="138" spans="1:17" ht="12.75" customHeight="1">
      <c r="A138" s="386">
        <v>15</v>
      </c>
      <c r="B138" s="89" t="s">
        <v>70</v>
      </c>
      <c r="C138" s="157" t="s">
        <v>6</v>
      </c>
      <c r="D138" s="388"/>
      <c r="E138" s="388"/>
      <c r="F138" s="388"/>
      <c r="G138" s="388"/>
      <c r="H138" s="388"/>
      <c r="I138" s="388"/>
      <c r="J138" s="388"/>
      <c r="K138" s="388"/>
      <c r="L138" s="388"/>
      <c r="M138" s="388"/>
      <c r="N138" s="388"/>
      <c r="O138" s="388"/>
      <c r="P138" s="425">
        <f>SUM(D138:O138)</f>
        <v>0</v>
      </c>
    </row>
    <row r="139" spans="1:17" ht="13.5" customHeight="1">
      <c r="A139" s="386">
        <v>16</v>
      </c>
      <c r="B139" s="393" t="s">
        <v>23</v>
      </c>
      <c r="C139" s="361"/>
      <c r="D139" s="101">
        <f t="shared" ref="D139:P139" si="50">SUM(D137:D138)</f>
        <v>0</v>
      </c>
      <c r="E139" s="101">
        <f t="shared" si="50"/>
        <v>0</v>
      </c>
      <c r="F139" s="101">
        <f t="shared" si="50"/>
        <v>0</v>
      </c>
      <c r="G139" s="101">
        <f t="shared" si="50"/>
        <v>0</v>
      </c>
      <c r="H139" s="101">
        <f t="shared" si="50"/>
        <v>0</v>
      </c>
      <c r="I139" s="101">
        <f t="shared" si="50"/>
        <v>0</v>
      </c>
      <c r="J139" s="101">
        <f t="shared" si="50"/>
        <v>0</v>
      </c>
      <c r="K139" s="101">
        <f t="shared" si="50"/>
        <v>0</v>
      </c>
      <c r="L139" s="101">
        <f t="shared" si="50"/>
        <v>0</v>
      </c>
      <c r="M139" s="101">
        <f t="shared" si="50"/>
        <v>0</v>
      </c>
      <c r="N139" s="101">
        <f t="shared" si="50"/>
        <v>0</v>
      </c>
      <c r="O139" s="101">
        <f t="shared" si="50"/>
        <v>0</v>
      </c>
      <c r="P139" s="101">
        <f t="shared" si="50"/>
        <v>0</v>
      </c>
      <c r="Q139" s="194"/>
    </row>
    <row r="140" spans="1:17" ht="12.75" customHeight="1">
      <c r="A140" s="386"/>
      <c r="B140" s="87"/>
      <c r="C140" s="396"/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  <c r="O140" s="177"/>
      <c r="P140" s="177"/>
    </row>
    <row r="141" spans="1:17" ht="12" thickBot="1">
      <c r="A141" s="386">
        <v>17</v>
      </c>
      <c r="B141" s="147" t="s">
        <v>92</v>
      </c>
      <c r="C141" s="361"/>
      <c r="D141" s="426">
        <f t="shared" ref="D141" si="51">+D139+D135</f>
        <v>-6264312.2999999989</v>
      </c>
      <c r="E141" s="426">
        <f>+E139+E135</f>
        <v>-5524345.9900000002</v>
      </c>
      <c r="F141" s="426">
        <f t="shared" ref="F141:O141" si="52">+F139+F135</f>
        <v>-5779095.7699999996</v>
      </c>
      <c r="G141" s="426">
        <f t="shared" si="52"/>
        <v>-5921748.0600000005</v>
      </c>
      <c r="H141" s="426">
        <f t="shared" si="52"/>
        <v>-5471831.0999999996</v>
      </c>
      <c r="I141" s="426">
        <f t="shared" si="52"/>
        <v>-5289112.33</v>
      </c>
      <c r="J141" s="426">
        <f t="shared" si="52"/>
        <v>-5147931.71</v>
      </c>
      <c r="K141" s="426">
        <f t="shared" si="52"/>
        <v>-5430837.2800000003</v>
      </c>
      <c r="L141" s="426">
        <f t="shared" si="52"/>
        <v>-6370336.9800000004</v>
      </c>
      <c r="M141" s="426">
        <f t="shared" si="52"/>
        <v>-7452014.5099999998</v>
      </c>
      <c r="N141" s="426">
        <f t="shared" si="52"/>
        <v>-7453222.9800000004</v>
      </c>
      <c r="O141" s="426">
        <f t="shared" si="52"/>
        <v>-7370447.1900000013</v>
      </c>
      <c r="P141" s="426">
        <f>+P139+P135</f>
        <v>-73475236.200000018</v>
      </c>
    </row>
    <row r="142" spans="1:17" ht="12" thickTop="1">
      <c r="A142" s="386"/>
      <c r="B142" s="147"/>
      <c r="C142" s="361"/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</row>
    <row r="143" spans="1:17">
      <c r="A143" s="386"/>
      <c r="B143" s="147"/>
      <c r="C143" s="361"/>
      <c r="D143" s="433"/>
      <c r="E143" s="433"/>
      <c r="F143" s="433"/>
      <c r="G143" s="433"/>
      <c r="H143" s="433"/>
      <c r="I143" s="433"/>
      <c r="J143" s="433"/>
      <c r="K143" s="433"/>
      <c r="L143" s="433"/>
      <c r="M143" s="433"/>
      <c r="N143" s="433"/>
      <c r="O143" s="433"/>
      <c r="P143" s="433"/>
      <c r="Q143" s="194"/>
    </row>
    <row r="144" spans="1:17" ht="20.25" customHeight="1">
      <c r="B144" s="371" t="s">
        <v>91</v>
      </c>
      <c r="C144" s="371"/>
      <c r="D144" s="371"/>
      <c r="E144" s="371"/>
      <c r="F144" s="371"/>
      <c r="G144" s="371"/>
      <c r="H144" s="371"/>
      <c r="I144" s="371"/>
      <c r="J144" s="371"/>
      <c r="K144" s="371"/>
      <c r="L144" s="371"/>
      <c r="M144" s="371"/>
      <c r="N144" s="371"/>
      <c r="O144" s="371"/>
      <c r="P144" s="427"/>
    </row>
    <row r="145" spans="1:145" s="87" customFormat="1">
      <c r="B145" s="371" t="s">
        <v>494</v>
      </c>
      <c r="C145" s="371"/>
      <c r="D145" s="371"/>
      <c r="E145" s="371"/>
      <c r="F145" s="371"/>
      <c r="G145" s="371"/>
      <c r="H145" s="371"/>
      <c r="I145" s="371"/>
      <c r="J145" s="371"/>
      <c r="K145" s="371"/>
      <c r="L145" s="371"/>
      <c r="M145" s="371"/>
      <c r="N145" s="371"/>
      <c r="O145" s="371"/>
      <c r="P145" s="88" t="s">
        <v>1</v>
      </c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  <c r="AP145" s="89"/>
      <c r="AQ145" s="89"/>
      <c r="AR145" s="89"/>
      <c r="AS145" s="89"/>
      <c r="AT145" s="89"/>
      <c r="AU145" s="89"/>
      <c r="AV145" s="89"/>
      <c r="AW145" s="89"/>
      <c r="AX145" s="89"/>
      <c r="AY145" s="89"/>
      <c r="AZ145" s="89"/>
      <c r="BA145" s="89"/>
      <c r="BB145" s="89"/>
      <c r="BC145" s="89"/>
      <c r="BD145" s="89"/>
      <c r="BE145" s="89"/>
      <c r="BF145" s="89"/>
      <c r="BG145" s="89"/>
      <c r="BH145" s="89"/>
      <c r="BI145" s="89"/>
      <c r="BJ145" s="89"/>
      <c r="BK145" s="89"/>
      <c r="BL145" s="89"/>
      <c r="BM145" s="89"/>
      <c r="BN145" s="89"/>
      <c r="BO145" s="89"/>
      <c r="BP145" s="89"/>
      <c r="BQ145" s="89"/>
      <c r="BR145" s="89"/>
      <c r="BS145" s="89"/>
      <c r="BT145" s="89"/>
      <c r="BU145" s="89"/>
      <c r="BV145" s="89"/>
      <c r="BW145" s="89"/>
      <c r="BX145" s="89"/>
      <c r="BY145" s="89"/>
      <c r="BZ145" s="89"/>
      <c r="CA145" s="89"/>
      <c r="CB145" s="89"/>
      <c r="CC145" s="89"/>
      <c r="CD145" s="89"/>
      <c r="CE145" s="89"/>
      <c r="CF145" s="89"/>
      <c r="CG145" s="89"/>
      <c r="CH145" s="89"/>
      <c r="CI145" s="89"/>
      <c r="CJ145" s="89"/>
      <c r="CK145" s="89"/>
      <c r="CL145" s="89"/>
      <c r="CM145" s="89"/>
      <c r="CN145" s="89"/>
      <c r="CO145" s="89"/>
      <c r="CP145" s="89"/>
      <c r="CQ145" s="89"/>
      <c r="CR145" s="89"/>
      <c r="CS145" s="89"/>
      <c r="CT145" s="89"/>
      <c r="CU145" s="89"/>
      <c r="CV145" s="89"/>
      <c r="CW145" s="89"/>
      <c r="CX145" s="89"/>
      <c r="CY145" s="89"/>
      <c r="CZ145" s="89"/>
      <c r="DA145" s="89"/>
      <c r="DB145" s="89"/>
      <c r="DC145" s="89"/>
      <c r="DD145" s="89"/>
      <c r="DE145" s="89"/>
      <c r="DF145" s="89"/>
      <c r="DG145" s="89"/>
      <c r="DH145" s="89"/>
      <c r="DI145" s="89"/>
      <c r="DJ145" s="89"/>
      <c r="DK145" s="89"/>
      <c r="DL145" s="89"/>
      <c r="DM145" s="89"/>
      <c r="DN145" s="89"/>
      <c r="DO145" s="89"/>
      <c r="DP145" s="89"/>
      <c r="DQ145" s="89"/>
      <c r="DR145" s="89"/>
      <c r="DS145" s="89"/>
      <c r="DT145" s="89"/>
      <c r="DU145" s="89"/>
      <c r="DV145" s="89"/>
      <c r="DW145" s="89"/>
      <c r="DX145" s="89"/>
      <c r="DY145" s="89"/>
      <c r="DZ145" s="89"/>
      <c r="EA145" s="89"/>
      <c r="EB145" s="89"/>
      <c r="EC145" s="89"/>
      <c r="ED145" s="89"/>
      <c r="EE145" s="89"/>
      <c r="EF145" s="89"/>
      <c r="EG145" s="89"/>
      <c r="EH145" s="89"/>
      <c r="EI145" s="89"/>
      <c r="EJ145" s="89"/>
      <c r="EK145" s="89"/>
      <c r="EL145" s="89"/>
      <c r="EM145" s="89"/>
      <c r="EN145" s="89"/>
      <c r="EO145" s="89"/>
    </row>
    <row r="146" spans="1:145">
      <c r="B146" s="371" t="str">
        <f>B10</f>
        <v>FOR TEST YEAR ENDED SEPTEMBER 30, 2023</v>
      </c>
      <c r="C146" s="371"/>
      <c r="D146" s="371"/>
      <c r="E146" s="371"/>
      <c r="F146" s="371"/>
      <c r="G146" s="371"/>
      <c r="H146" s="371"/>
      <c r="I146" s="371"/>
      <c r="J146" s="371"/>
      <c r="K146" s="371"/>
      <c r="L146" s="371"/>
      <c r="M146" s="371"/>
      <c r="N146" s="371"/>
      <c r="O146" s="371"/>
      <c r="P146" s="87" t="s">
        <v>1</v>
      </c>
    </row>
    <row r="147" spans="1:145">
      <c r="B147" s="131"/>
      <c r="C147" s="361"/>
      <c r="D147" s="361"/>
      <c r="E147" s="361"/>
      <c r="F147" s="361"/>
      <c r="G147" s="361"/>
      <c r="H147" s="361"/>
      <c r="I147" s="361"/>
      <c r="J147" s="361"/>
      <c r="K147" s="361"/>
      <c r="L147" s="361"/>
      <c r="M147" s="361"/>
      <c r="N147" s="361"/>
      <c r="O147" s="361"/>
      <c r="P147" s="87"/>
    </row>
    <row r="148" spans="1:145">
      <c r="B148" s="147" t="str">
        <f>Riders!C127</f>
        <v>MTEEE</v>
      </c>
      <c r="C148" s="432"/>
      <c r="D148" s="428"/>
      <c r="E148" s="405"/>
      <c r="F148" s="405"/>
      <c r="G148" s="428"/>
      <c r="H148" s="177"/>
      <c r="I148" s="177"/>
      <c r="J148" s="177"/>
      <c r="K148" s="177"/>
      <c r="L148" s="177"/>
      <c r="M148" s="177"/>
      <c r="N148" s="177"/>
      <c r="O148" s="177"/>
      <c r="P148" s="405"/>
    </row>
    <row r="149" spans="1:145">
      <c r="A149" s="359" t="s">
        <v>8</v>
      </c>
      <c r="B149" s="361" t="s">
        <v>0</v>
      </c>
      <c r="C149" s="361" t="s">
        <v>7</v>
      </c>
      <c r="D149" s="406" t="str">
        <f>$D$13</f>
        <v>Oct-22</v>
      </c>
      <c r="E149" s="406" t="str">
        <f>$E$13</f>
        <v>Nov-22</v>
      </c>
      <c r="F149" s="406" t="str">
        <f>$F$13</f>
        <v>Dec-22</v>
      </c>
      <c r="G149" s="406" t="str">
        <f>$G$13</f>
        <v>Jan-23</v>
      </c>
      <c r="H149" s="406" t="str">
        <f>$H$13</f>
        <v>Feb-23</v>
      </c>
      <c r="I149" s="406" t="str">
        <f>$I$13</f>
        <v>Mar-23</v>
      </c>
      <c r="J149" s="406" t="str">
        <f>$J$13</f>
        <v>Apr-23</v>
      </c>
      <c r="K149" s="406" t="str">
        <f>$K$13</f>
        <v>May-23</v>
      </c>
      <c r="L149" s="406" t="str">
        <f>$L$13</f>
        <v>Jun-23</v>
      </c>
      <c r="M149" s="406" t="str">
        <f>$M$13</f>
        <v>Jul-23</v>
      </c>
      <c r="N149" s="406" t="str">
        <f>$N$13</f>
        <v>Aug-23</v>
      </c>
      <c r="O149" s="406" t="str">
        <f>$O$13</f>
        <v>Sep-23</v>
      </c>
      <c r="P149" s="406" t="s">
        <v>2</v>
      </c>
    </row>
    <row r="150" spans="1:145">
      <c r="B150" s="361"/>
      <c r="C150" s="361"/>
      <c r="D150" s="406"/>
      <c r="E150" s="406"/>
      <c r="F150" s="406"/>
      <c r="G150" s="406"/>
      <c r="H150" s="406"/>
      <c r="I150" s="406"/>
      <c r="J150" s="406"/>
      <c r="K150" s="406"/>
      <c r="L150" s="406"/>
      <c r="M150" s="406"/>
      <c r="N150" s="406"/>
      <c r="O150" s="406"/>
      <c r="P150" s="406"/>
    </row>
    <row r="151" spans="1:145">
      <c r="A151" s="386" t="s">
        <v>9</v>
      </c>
      <c r="B151" s="87" t="s">
        <v>17</v>
      </c>
      <c r="C151" s="99" t="s">
        <v>4</v>
      </c>
      <c r="D151" s="424">
        <f>-VLOOKUP(CONCATENATE($B$148,$B151),Riders!$A$14:$Q$357,'II-H-4.1 Monthly'!D$11,FALSE)</f>
        <v>0</v>
      </c>
      <c r="E151" s="424">
        <f>-VLOOKUP(CONCATENATE($B$148,$B151),Riders!$A$14:$Q$357,'II-H-4.1 Monthly'!E$11,FALSE)</f>
        <v>0</v>
      </c>
      <c r="F151" s="424">
        <f>-VLOOKUP(CONCATENATE($B$148,$B151),Riders!$A$14:$Q$357,'II-H-4.1 Monthly'!F$11,FALSE)</f>
        <v>0</v>
      </c>
      <c r="G151" s="424">
        <f>-VLOOKUP(CONCATENATE($B$148,$B151),Riders!$A$14:$Q$357,'II-H-4.1 Monthly'!G$11,FALSE)</f>
        <v>0</v>
      </c>
      <c r="H151" s="424">
        <f>-VLOOKUP(CONCATENATE($B$148,$B151),Riders!$A$14:$Q$357,'II-H-4.1 Monthly'!H$11,FALSE)</f>
        <v>0</v>
      </c>
      <c r="I151" s="424">
        <f>-VLOOKUP(CONCATENATE($B$148,$B151),Riders!$A$14:$Q$357,'II-H-4.1 Monthly'!I$11,FALSE)</f>
        <v>0</v>
      </c>
      <c r="J151" s="424">
        <f>-VLOOKUP(CONCATENATE($B$148,$B151),Riders!$A$14:$Q$357,'II-H-4.1 Monthly'!J$11,FALSE)</f>
        <v>0</v>
      </c>
      <c r="K151" s="424">
        <f>-VLOOKUP(CONCATENATE($B$148,$B151),Riders!$A$14:$Q$357,'II-H-4.1 Monthly'!K$11,FALSE)</f>
        <v>0</v>
      </c>
      <c r="L151" s="424">
        <f>-VLOOKUP(CONCATENATE($B$148,$B151),Riders!$A$14:$Q$357,'II-H-4.1 Monthly'!L$11,FALSE)</f>
        <v>0</v>
      </c>
      <c r="M151" s="424">
        <f>-VLOOKUP(CONCATENATE($B$148,$B151),Riders!$A$14:$Q$357,'II-H-4.1 Monthly'!M$11,FALSE)</f>
        <v>0</v>
      </c>
      <c r="N151" s="424">
        <f>-VLOOKUP(CONCATENATE($B$148,$B151),Riders!$A$14:$Q$357,'II-H-4.1 Monthly'!N$11,FALSE)</f>
        <v>0</v>
      </c>
      <c r="O151" s="424">
        <f>-VLOOKUP(CONCATENATE($B$148,$B151),Riders!$A$14:$Q$357,'II-H-4.1 Monthly'!O$11,FALSE)</f>
        <v>-1232462.07</v>
      </c>
      <c r="P151" s="424">
        <f>SUM(D151:O151)</f>
        <v>-1232462.07</v>
      </c>
    </row>
    <row r="152" spans="1:145">
      <c r="B152" s="87"/>
      <c r="C152" s="99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</row>
    <row r="153" spans="1:145">
      <c r="A153" s="386">
        <v>2</v>
      </c>
      <c r="B153" s="87" t="s">
        <v>20</v>
      </c>
      <c r="C153" s="99" t="s">
        <v>4</v>
      </c>
      <c r="D153" s="177">
        <f>-VLOOKUP(CONCATENATE($B$148,$B153),Riders!$A$14:$Q$357,'II-H-4.1 Monthly'!D$11,FALSE)</f>
        <v>0</v>
      </c>
      <c r="E153" s="177">
        <f>-VLOOKUP(CONCATENATE($B$148,$B153),Riders!$A$14:$Q$357,'II-H-4.1 Monthly'!E$11,FALSE)</f>
        <v>0</v>
      </c>
      <c r="F153" s="177">
        <f>-VLOOKUP(CONCATENATE($B$148,$B153),Riders!$A$14:$Q$357,'II-H-4.1 Monthly'!F$11,FALSE)</f>
        <v>0</v>
      </c>
      <c r="G153" s="177">
        <f>-VLOOKUP(CONCATENATE($B$148,$B153),Riders!$A$14:$Q$357,'II-H-4.1 Monthly'!G$11,FALSE)</f>
        <v>0</v>
      </c>
      <c r="H153" s="177">
        <f>-VLOOKUP(CONCATENATE($B$148,$B153),Riders!$A$14:$Q$357,'II-H-4.1 Monthly'!H$11,FALSE)</f>
        <v>0</v>
      </c>
      <c r="I153" s="177">
        <f>-VLOOKUP(CONCATENATE($B$148,$B153),Riders!$A$14:$Q$357,'II-H-4.1 Monthly'!I$11,FALSE)</f>
        <v>0</v>
      </c>
      <c r="J153" s="177">
        <f>-VLOOKUP(CONCATENATE($B$148,$B153),Riders!$A$14:$Q$357,'II-H-4.1 Monthly'!J$11,FALSE)</f>
        <v>0</v>
      </c>
      <c r="K153" s="177">
        <f>-VLOOKUP(CONCATENATE($B$148,$B153),Riders!$A$14:$Q$357,'II-H-4.1 Monthly'!K$11,FALSE)</f>
        <v>0</v>
      </c>
      <c r="L153" s="177">
        <f>-VLOOKUP(CONCATENATE($B$148,$B153),Riders!$A$14:$Q$357,'II-H-4.1 Monthly'!L$11,FALSE)</f>
        <v>0</v>
      </c>
      <c r="M153" s="177">
        <f>-VLOOKUP(CONCATENATE($B$148,$B153),Riders!$A$14:$Q$357,'II-H-4.1 Monthly'!M$11,FALSE)</f>
        <v>0</v>
      </c>
      <c r="N153" s="177">
        <f>-VLOOKUP(CONCATENATE($B$148,$B153),Riders!$A$14:$Q$357,'II-H-4.1 Monthly'!N$11,FALSE)</f>
        <v>0</v>
      </c>
      <c r="O153" s="177">
        <f>-VLOOKUP(CONCATENATE($B$148,$B153),Riders!$A$14:$Q$357,'II-H-4.1 Monthly'!O$11,FALSE)</f>
        <v>-107094.36000000002</v>
      </c>
      <c r="P153" s="101">
        <f>SUM(D153:O153)</f>
        <v>-107094.36000000002</v>
      </c>
      <c r="Q153" s="434"/>
      <c r="R153" s="435"/>
    </row>
    <row r="154" spans="1:145">
      <c r="A154" s="386"/>
      <c r="B154" s="87"/>
      <c r="C154" s="99"/>
      <c r="D154" s="177"/>
      <c r="E154" s="177"/>
      <c r="F154" s="177"/>
      <c r="G154" s="177"/>
      <c r="H154" s="177"/>
      <c r="I154" s="177"/>
      <c r="J154" s="177"/>
      <c r="K154" s="177"/>
      <c r="L154" s="177"/>
      <c r="M154" s="177"/>
      <c r="N154" s="177"/>
      <c r="O154" s="177"/>
      <c r="P154" s="101"/>
      <c r="Q154" s="434"/>
      <c r="R154" s="435"/>
    </row>
    <row r="155" spans="1:145">
      <c r="A155" s="386">
        <v>3</v>
      </c>
      <c r="B155" s="87" t="s">
        <v>81</v>
      </c>
      <c r="C155" s="157" t="s">
        <v>4</v>
      </c>
      <c r="D155" s="390">
        <f>-VLOOKUP(CONCATENATE($B$148,$B155),Riders!$A$14:$Q$357,'II-H-4.1 Monthly'!D$11,FALSE)</f>
        <v>0</v>
      </c>
      <c r="E155" s="390">
        <f>-VLOOKUP(CONCATENATE($B$148,$B155),Riders!$A$14:$Q$357,'II-H-4.1 Monthly'!E$11,FALSE)</f>
        <v>0</v>
      </c>
      <c r="F155" s="390">
        <f>-VLOOKUP(CONCATENATE($B$148,$B155),Riders!$A$14:$Q$357,'II-H-4.1 Monthly'!F$11,FALSE)</f>
        <v>0</v>
      </c>
      <c r="G155" s="390">
        <f>-VLOOKUP(CONCATENATE($B$148,$B155),Riders!$A$14:$Q$357,'II-H-4.1 Monthly'!G$11,FALSE)</f>
        <v>0</v>
      </c>
      <c r="H155" s="390">
        <f>-VLOOKUP(CONCATENATE($B$148,$B155),Riders!$A$14:$Q$357,'II-H-4.1 Monthly'!H$11,FALSE)</f>
        <v>0</v>
      </c>
      <c r="I155" s="390">
        <f>-VLOOKUP(CONCATENATE($B$148,$B155),Riders!$A$14:$Q$357,'II-H-4.1 Monthly'!I$11,FALSE)</f>
        <v>0</v>
      </c>
      <c r="J155" s="390">
        <f>-VLOOKUP(CONCATENATE($B$148,$B155),Riders!$A$14:$Q$357,'II-H-4.1 Monthly'!J$11,FALSE)</f>
        <v>0</v>
      </c>
      <c r="K155" s="390">
        <f>-VLOOKUP(CONCATENATE($B$148,$B155),Riders!$A$14:$Q$357,'II-H-4.1 Monthly'!K$11,FALSE)</f>
        <v>0</v>
      </c>
      <c r="L155" s="390">
        <f>-VLOOKUP(CONCATENATE($B$148,$B155),Riders!$A$14:$Q$357,'II-H-4.1 Monthly'!L$11,FALSE)</f>
        <v>0</v>
      </c>
      <c r="M155" s="390">
        <f>-VLOOKUP(CONCATENATE($B$148,$B155),Riders!$A$14:$Q$357,'II-H-4.1 Monthly'!M$11,FALSE)</f>
        <v>0</v>
      </c>
      <c r="N155" s="390">
        <f>-VLOOKUP(CONCATENATE($B$148,$B155),Riders!$A$14:$Q$357,'II-H-4.1 Monthly'!N$11,FALSE)</f>
        <v>0</v>
      </c>
      <c r="O155" s="390">
        <f>-VLOOKUP(CONCATENATE($B$148,$B155),Riders!$A$14:$Q$357,'II-H-4.1 Monthly'!O$11,FALSE)</f>
        <v>-438124.11</v>
      </c>
      <c r="P155" s="101">
        <f>SUM(D155:O155)</f>
        <v>-438124.11</v>
      </c>
      <c r="Q155" s="87"/>
      <c r="R155" s="436"/>
      <c r="S155" s="89"/>
      <c r="T155" s="89"/>
    </row>
    <row r="156" spans="1:145">
      <c r="A156" s="386">
        <v>4</v>
      </c>
      <c r="B156" s="87" t="s">
        <v>85</v>
      </c>
      <c r="C156" s="157" t="s">
        <v>4</v>
      </c>
      <c r="D156" s="388">
        <f>-VLOOKUP(CONCATENATE($B$148,$B156),Riders!$A$14:$Q$357,'II-H-4.1 Monthly'!D$11,FALSE)</f>
        <v>0</v>
      </c>
      <c r="E156" s="388">
        <f>-VLOOKUP(CONCATENATE($B$148,$B156),Riders!$A$14:$Q$357,'II-H-4.1 Monthly'!E$11,FALSE)</f>
        <v>0</v>
      </c>
      <c r="F156" s="388">
        <f>-VLOOKUP(CONCATENATE($B$148,$B156),Riders!$A$14:$Q$357,'II-H-4.1 Monthly'!F$11,FALSE)</f>
        <v>0</v>
      </c>
      <c r="G156" s="388">
        <f>-VLOOKUP(CONCATENATE($B$148,$B156),Riders!$A$14:$Q$357,'II-H-4.1 Monthly'!G$11,FALSE)</f>
        <v>0</v>
      </c>
      <c r="H156" s="388">
        <f>-VLOOKUP(CONCATENATE($B$148,$B156),Riders!$A$14:$Q$357,'II-H-4.1 Monthly'!H$11,FALSE)</f>
        <v>0</v>
      </c>
      <c r="I156" s="388">
        <f>-VLOOKUP(CONCATENATE($B$148,$B156),Riders!$A$14:$Q$357,'II-H-4.1 Monthly'!I$11,FALSE)</f>
        <v>0</v>
      </c>
      <c r="J156" s="388">
        <f>-VLOOKUP(CONCATENATE($B$148,$B156),Riders!$A$14:$Q$357,'II-H-4.1 Monthly'!J$11,FALSE)</f>
        <v>0</v>
      </c>
      <c r="K156" s="388">
        <f>-VLOOKUP(CONCATENATE($B$148,$B156),Riders!$A$14:$Q$357,'II-H-4.1 Monthly'!K$11,FALSE)</f>
        <v>0</v>
      </c>
      <c r="L156" s="388">
        <f>-VLOOKUP(CONCATENATE($B$148,$B156),Riders!$A$14:$Q$357,'II-H-4.1 Monthly'!L$11,FALSE)</f>
        <v>0</v>
      </c>
      <c r="M156" s="388">
        <f>-VLOOKUP(CONCATENATE($B$148,$B156),Riders!$A$14:$Q$357,'II-H-4.1 Monthly'!M$11,FALSE)</f>
        <v>0</v>
      </c>
      <c r="N156" s="388">
        <f>-VLOOKUP(CONCATENATE($B$148,$B156),Riders!$A$14:$Q$357,'II-H-4.1 Monthly'!N$11,FALSE)</f>
        <v>0</v>
      </c>
      <c r="O156" s="388">
        <f>-VLOOKUP(CONCATENATE($B$148,$B156),Riders!$A$14:$Q$357,'II-H-4.1 Monthly'!O$11,FALSE)</f>
        <v>-58722.27</v>
      </c>
      <c r="P156" s="388">
        <f>SUM(D156:O156)</f>
        <v>-58722.27</v>
      </c>
      <c r="Q156" s="87"/>
      <c r="R156" s="436"/>
      <c r="S156" s="89"/>
      <c r="T156" s="89"/>
    </row>
    <row r="157" spans="1:145">
      <c r="A157" s="386">
        <v>5</v>
      </c>
      <c r="B157" s="131" t="s">
        <v>18</v>
      </c>
      <c r="C157" s="99"/>
      <c r="D157" s="177">
        <f>SUM(D155:D156)</f>
        <v>0</v>
      </c>
      <c r="E157" s="177">
        <f t="shared" ref="E157:O157" si="53">SUM(E155:E156)</f>
        <v>0</v>
      </c>
      <c r="F157" s="177">
        <f t="shared" si="53"/>
        <v>0</v>
      </c>
      <c r="G157" s="177">
        <f t="shared" si="53"/>
        <v>0</v>
      </c>
      <c r="H157" s="177">
        <f t="shared" si="53"/>
        <v>0</v>
      </c>
      <c r="I157" s="177">
        <f t="shared" si="53"/>
        <v>0</v>
      </c>
      <c r="J157" s="177">
        <f t="shared" si="53"/>
        <v>0</v>
      </c>
      <c r="K157" s="177">
        <f t="shared" si="53"/>
        <v>0</v>
      </c>
      <c r="L157" s="177">
        <f t="shared" si="53"/>
        <v>0</v>
      </c>
      <c r="M157" s="177">
        <f t="shared" si="53"/>
        <v>0</v>
      </c>
      <c r="N157" s="177">
        <f t="shared" si="53"/>
        <v>0</v>
      </c>
      <c r="O157" s="177">
        <f t="shared" si="53"/>
        <v>-496846.38</v>
      </c>
      <c r="P157" s="177">
        <f>SUM(P155:P156)</f>
        <v>-496846.38</v>
      </c>
      <c r="Q157" s="137"/>
      <c r="R157" s="436"/>
      <c r="S157" s="89"/>
      <c r="T157" s="89"/>
    </row>
    <row r="158" spans="1:145">
      <c r="B158" s="147"/>
      <c r="C158" s="99"/>
      <c r="D158" s="177"/>
      <c r="E158" s="177"/>
      <c r="F158" s="177"/>
      <c r="G158" s="177"/>
      <c r="H158" s="177"/>
      <c r="I158" s="177"/>
      <c r="J158" s="177"/>
      <c r="K158" s="177"/>
      <c r="L158" s="177"/>
      <c r="M158" s="177"/>
      <c r="N158" s="177"/>
      <c r="O158" s="177"/>
      <c r="P158" s="177"/>
      <c r="Q158" s="137"/>
      <c r="R158" s="436"/>
      <c r="S158" s="89"/>
      <c r="T158" s="89"/>
    </row>
    <row r="159" spans="1:145">
      <c r="A159" s="386">
        <v>6</v>
      </c>
      <c r="B159" s="87" t="s">
        <v>82</v>
      </c>
      <c r="C159" s="157" t="s">
        <v>5</v>
      </c>
      <c r="D159" s="177">
        <f>-VLOOKUP(CONCATENATE($B$148,$B159),Riders!$A$14:$Q$357,'II-H-4.1 Monthly'!D$11,FALSE)</f>
        <v>0</v>
      </c>
      <c r="E159" s="177">
        <f>-VLOOKUP(CONCATENATE($B$148,$B159),Riders!$A$14:$Q$357,'II-H-4.1 Monthly'!E$11,FALSE)</f>
        <v>0</v>
      </c>
      <c r="F159" s="177">
        <f>-VLOOKUP(CONCATENATE($B$148,$B159),Riders!$A$14:$Q$357,'II-H-4.1 Monthly'!F$11,FALSE)</f>
        <v>0</v>
      </c>
      <c r="G159" s="177">
        <f>-VLOOKUP(CONCATENATE($B$148,$B159),Riders!$A$14:$Q$357,'II-H-4.1 Monthly'!G$11,FALSE)</f>
        <v>0</v>
      </c>
      <c r="H159" s="177">
        <f>-VLOOKUP(CONCATENATE($B$148,$B159),Riders!$A$14:$Q$357,'II-H-4.1 Monthly'!H$11,FALSE)</f>
        <v>0</v>
      </c>
      <c r="I159" s="177">
        <f>-VLOOKUP(CONCATENATE($B$148,$B159),Riders!$A$14:$Q$357,'II-H-4.1 Monthly'!I$11,FALSE)</f>
        <v>0</v>
      </c>
      <c r="J159" s="177">
        <f>-VLOOKUP(CONCATENATE($B$148,$B159),Riders!$A$14:$Q$357,'II-H-4.1 Monthly'!J$11,FALSE)</f>
        <v>0</v>
      </c>
      <c r="K159" s="177">
        <f>-VLOOKUP(CONCATENATE($B$148,$B159),Riders!$A$14:$Q$357,'II-H-4.1 Monthly'!K$11,FALSE)</f>
        <v>0</v>
      </c>
      <c r="L159" s="177">
        <f>-VLOOKUP(CONCATENATE($B$148,$B159),Riders!$A$14:$Q$357,'II-H-4.1 Monthly'!L$11,FALSE)</f>
        <v>0</v>
      </c>
      <c r="M159" s="177">
        <f>-VLOOKUP(CONCATENATE($B$148,$B159),Riders!$A$14:$Q$357,'II-H-4.1 Monthly'!M$11,FALSE)</f>
        <v>0</v>
      </c>
      <c r="N159" s="177">
        <f>-VLOOKUP(CONCATENATE($B$148,$B159),Riders!$A$14:$Q$357,'II-H-4.1 Monthly'!N$11,FALSE)</f>
        <v>0</v>
      </c>
      <c r="O159" s="177">
        <f>-VLOOKUP(CONCATENATE($B$148,$B159),Riders!$A$14:$Q$357,'II-H-4.1 Monthly'!O$11,FALSE)</f>
        <v>-5785.0499999999993</v>
      </c>
      <c r="P159" s="101">
        <f>SUM(D159:O159)</f>
        <v>-5785.0499999999993</v>
      </c>
      <c r="Q159" s="137"/>
      <c r="R159" s="436"/>
      <c r="S159" s="89"/>
      <c r="T159" s="89"/>
    </row>
    <row r="160" spans="1:145">
      <c r="A160" s="386">
        <v>7</v>
      </c>
      <c r="B160" s="87" t="s">
        <v>83</v>
      </c>
      <c r="C160" s="157" t="s">
        <v>5</v>
      </c>
      <c r="D160" s="390">
        <f>-VLOOKUP(CONCATENATE($B$148,$B160),Riders!$A$14:$Q$357,'II-H-4.1 Monthly'!D$11,FALSE)</f>
        <v>0</v>
      </c>
      <c r="E160" s="390">
        <f>-VLOOKUP(CONCATENATE($B$148,$B160),Riders!$A$14:$Q$357,'II-H-4.1 Monthly'!E$11,FALSE)</f>
        <v>0</v>
      </c>
      <c r="F160" s="390">
        <f>-VLOOKUP(CONCATENATE($B$148,$B160),Riders!$A$14:$Q$357,'II-H-4.1 Monthly'!F$11,FALSE)</f>
        <v>0</v>
      </c>
      <c r="G160" s="390">
        <f>-VLOOKUP(CONCATENATE($B$148,$B160),Riders!$A$14:$Q$357,'II-H-4.1 Monthly'!G$11,FALSE)</f>
        <v>0</v>
      </c>
      <c r="H160" s="390">
        <f>-VLOOKUP(CONCATENATE($B$148,$B160),Riders!$A$14:$Q$357,'II-H-4.1 Monthly'!H$11,FALSE)</f>
        <v>0</v>
      </c>
      <c r="I160" s="390">
        <f>-VLOOKUP(CONCATENATE($B$148,$B160),Riders!$A$14:$Q$357,'II-H-4.1 Monthly'!I$11,FALSE)</f>
        <v>0</v>
      </c>
      <c r="J160" s="390">
        <f>-VLOOKUP(CONCATENATE($B$148,$B160),Riders!$A$14:$Q$357,'II-H-4.1 Monthly'!J$11,FALSE)</f>
        <v>0</v>
      </c>
      <c r="K160" s="390">
        <f>-VLOOKUP(CONCATENATE($B$148,$B160),Riders!$A$14:$Q$357,'II-H-4.1 Monthly'!K$11,FALSE)</f>
        <v>0</v>
      </c>
      <c r="L160" s="390">
        <f>-VLOOKUP(CONCATENATE($B$148,$B160),Riders!$A$14:$Q$357,'II-H-4.1 Monthly'!L$11,FALSE)</f>
        <v>0</v>
      </c>
      <c r="M160" s="390">
        <f>-VLOOKUP(CONCATENATE($B$148,$B160),Riders!$A$14:$Q$357,'II-H-4.1 Monthly'!M$11,FALSE)</f>
        <v>0</v>
      </c>
      <c r="N160" s="390">
        <f>-VLOOKUP(CONCATENATE($B$148,$B160),Riders!$A$14:$Q$357,'II-H-4.1 Monthly'!N$11,FALSE)</f>
        <v>0</v>
      </c>
      <c r="O160" s="390">
        <f>-VLOOKUP(CONCATENATE($B$148,$B160),Riders!$A$14:$Q$357,'II-H-4.1 Monthly'!O$11,FALSE)</f>
        <v>-73420.28</v>
      </c>
      <c r="P160" s="158">
        <f>SUM(D160:O160)</f>
        <v>-73420.28</v>
      </c>
      <c r="Q160" s="137"/>
      <c r="R160" s="436"/>
      <c r="S160" s="89"/>
      <c r="T160" s="89"/>
    </row>
    <row r="161" spans="1:20">
      <c r="A161" s="386">
        <v>8</v>
      </c>
      <c r="B161" s="87" t="s">
        <v>148</v>
      </c>
      <c r="C161" s="157" t="s">
        <v>5</v>
      </c>
      <c r="D161" s="390">
        <f>-VLOOKUP(CONCATENATE($B$148,$B161),Riders!$A$14:$Q$357,'II-H-4.1 Monthly'!D$11,FALSE)</f>
        <v>0</v>
      </c>
      <c r="E161" s="390">
        <f>-VLOOKUP(CONCATENATE($B$148,$B161),Riders!$A$14:$Q$357,'II-H-4.1 Monthly'!E$11,FALSE)</f>
        <v>0</v>
      </c>
      <c r="F161" s="390">
        <f>-VLOOKUP(CONCATENATE($B$148,$B161),Riders!$A$14:$Q$357,'II-H-4.1 Monthly'!F$11,FALSE)</f>
        <v>0</v>
      </c>
      <c r="G161" s="390">
        <f>-VLOOKUP(CONCATENATE($B$148,$B161),Riders!$A$14:$Q$357,'II-H-4.1 Monthly'!G$11,FALSE)</f>
        <v>0</v>
      </c>
      <c r="H161" s="390">
        <f>-VLOOKUP(CONCATENATE($B$148,$B161),Riders!$A$14:$Q$357,'II-H-4.1 Monthly'!H$11,FALSE)</f>
        <v>0</v>
      </c>
      <c r="I161" s="390">
        <f>-VLOOKUP(CONCATENATE($B$148,$B161),Riders!$A$14:$Q$357,'II-H-4.1 Monthly'!I$11,FALSE)</f>
        <v>0</v>
      </c>
      <c r="J161" s="390">
        <f>-VLOOKUP(CONCATENATE($B$148,$B161),Riders!$A$14:$Q$357,'II-H-4.1 Monthly'!J$11,FALSE)</f>
        <v>0</v>
      </c>
      <c r="K161" s="390">
        <f>-VLOOKUP(CONCATENATE($B$148,$B161),Riders!$A$14:$Q$357,'II-H-4.1 Monthly'!K$11,FALSE)</f>
        <v>0</v>
      </c>
      <c r="L161" s="390">
        <f>-VLOOKUP(CONCATENATE($B$148,$B161),Riders!$A$14:$Q$357,'II-H-4.1 Monthly'!L$11,FALSE)</f>
        <v>0</v>
      </c>
      <c r="M161" s="390">
        <f>-VLOOKUP(CONCATENATE($B$148,$B161),Riders!$A$14:$Q$357,'II-H-4.1 Monthly'!M$11,FALSE)</f>
        <v>0</v>
      </c>
      <c r="N161" s="390">
        <f>-VLOOKUP(CONCATENATE($B$148,$B161),Riders!$A$14:$Q$357,'II-H-4.1 Monthly'!N$11,FALSE)</f>
        <v>0</v>
      </c>
      <c r="O161" s="390">
        <f>-VLOOKUP(CONCATENATE($B$148,$B161),Riders!$A$14:$Q$357,'II-H-4.1 Monthly'!O$11,FALSE)</f>
        <v>-182.56</v>
      </c>
      <c r="P161" s="158">
        <f t="shared" ref="P161:P162" si="54">SUM(D161:O161)</f>
        <v>-182.56</v>
      </c>
      <c r="Q161" s="137"/>
      <c r="R161" s="436"/>
      <c r="S161" s="89"/>
      <c r="T161" s="89"/>
    </row>
    <row r="162" spans="1:20">
      <c r="A162" s="386">
        <v>9</v>
      </c>
      <c r="B162" s="87" t="s">
        <v>149</v>
      </c>
      <c r="C162" s="157" t="s">
        <v>5</v>
      </c>
      <c r="D162" s="390">
        <f>-VLOOKUP(CONCATENATE($B$148,$B162),Riders!$A$14:$Q$357,'II-H-4.1 Monthly'!D$11,FALSE)</f>
        <v>0</v>
      </c>
      <c r="E162" s="390">
        <f>-VLOOKUP(CONCATENATE($B$148,$B162),Riders!$A$14:$Q$357,'II-H-4.1 Monthly'!E$11,FALSE)</f>
        <v>0</v>
      </c>
      <c r="F162" s="390">
        <f>-VLOOKUP(CONCATENATE($B$148,$B162),Riders!$A$14:$Q$357,'II-H-4.1 Monthly'!F$11,FALSE)</f>
        <v>0</v>
      </c>
      <c r="G162" s="390">
        <f>-VLOOKUP(CONCATENATE($B$148,$B162),Riders!$A$14:$Q$357,'II-H-4.1 Monthly'!G$11,FALSE)</f>
        <v>0</v>
      </c>
      <c r="H162" s="390">
        <f>-VLOOKUP(CONCATENATE($B$148,$B162),Riders!$A$14:$Q$357,'II-H-4.1 Monthly'!H$11,FALSE)</f>
        <v>0</v>
      </c>
      <c r="I162" s="390">
        <f>-VLOOKUP(CONCATENATE($B$148,$B162),Riders!$A$14:$Q$357,'II-H-4.1 Monthly'!I$11,FALSE)</f>
        <v>0</v>
      </c>
      <c r="J162" s="390">
        <f>-VLOOKUP(CONCATENATE($B$148,$B162),Riders!$A$14:$Q$357,'II-H-4.1 Monthly'!J$11,FALSE)</f>
        <v>0</v>
      </c>
      <c r="K162" s="390">
        <f>-VLOOKUP(CONCATENATE($B$148,$B162),Riders!$A$14:$Q$357,'II-H-4.1 Monthly'!K$11,FALSE)</f>
        <v>0</v>
      </c>
      <c r="L162" s="390">
        <f>-VLOOKUP(CONCATENATE($B$148,$B162),Riders!$A$14:$Q$357,'II-H-4.1 Monthly'!L$11,FALSE)</f>
        <v>0</v>
      </c>
      <c r="M162" s="390">
        <f>-VLOOKUP(CONCATENATE($B$148,$B162),Riders!$A$14:$Q$357,'II-H-4.1 Monthly'!M$11,FALSE)</f>
        <v>0</v>
      </c>
      <c r="N162" s="390">
        <f>-VLOOKUP(CONCATENATE($B$148,$B162),Riders!$A$14:$Q$357,'II-H-4.1 Monthly'!N$11,FALSE)</f>
        <v>0</v>
      </c>
      <c r="O162" s="390">
        <f>-VLOOKUP(CONCATENATE($B$148,$B162),Riders!$A$14:$Q$357,'II-H-4.1 Monthly'!O$11,FALSE)</f>
        <v>-16763.850000000006</v>
      </c>
      <c r="P162" s="158">
        <f t="shared" si="54"/>
        <v>-16763.850000000006</v>
      </c>
      <c r="Q162" s="137"/>
      <c r="R162" s="436"/>
      <c r="S162" s="89"/>
      <c r="T162" s="89"/>
    </row>
    <row r="163" spans="1:20">
      <c r="A163" s="386">
        <v>10</v>
      </c>
      <c r="B163" s="87" t="s">
        <v>19</v>
      </c>
      <c r="C163" s="157"/>
      <c r="D163" s="391">
        <f>SUM(D159:D162)</f>
        <v>0</v>
      </c>
      <c r="E163" s="391">
        <f t="shared" ref="E163" si="55">SUM(E159:E162)</f>
        <v>0</v>
      </c>
      <c r="F163" s="391">
        <f t="shared" ref="F163" si="56">SUM(F159:F162)</f>
        <v>0</v>
      </c>
      <c r="G163" s="391">
        <f t="shared" ref="G163" si="57">SUM(G159:G162)</f>
        <v>0</v>
      </c>
      <c r="H163" s="391">
        <f t="shared" ref="H163" si="58">SUM(H159:H162)</f>
        <v>0</v>
      </c>
      <c r="I163" s="391">
        <f t="shared" ref="I163" si="59">SUM(I159:I162)</f>
        <v>0</v>
      </c>
      <c r="J163" s="391">
        <f t="shared" ref="J163" si="60">SUM(J159:J162)</f>
        <v>0</v>
      </c>
      <c r="K163" s="391">
        <f t="shared" ref="K163" si="61">SUM(K159:K162)</f>
        <v>0</v>
      </c>
      <c r="L163" s="391">
        <f>SUM(L159:L162)</f>
        <v>0</v>
      </c>
      <c r="M163" s="391">
        <f t="shared" ref="M163" si="62">SUM(M159:M162)</f>
        <v>0</v>
      </c>
      <c r="N163" s="391">
        <f t="shared" ref="N163" si="63">SUM(N159:N162)</f>
        <v>0</v>
      </c>
      <c r="O163" s="391">
        <f>SUM(O159:O162)</f>
        <v>-96151.74</v>
      </c>
      <c r="P163" s="391">
        <f t="shared" ref="P163" si="64">SUM(P159:P162)</f>
        <v>-96151.74</v>
      </c>
      <c r="Q163" s="89"/>
      <c r="R163" s="89"/>
      <c r="S163" s="89"/>
      <c r="T163" s="89"/>
    </row>
    <row r="164" spans="1:20">
      <c r="A164" s="386"/>
      <c r="B164" s="87"/>
      <c r="C164" s="157"/>
      <c r="D164" s="177"/>
      <c r="E164" s="177"/>
      <c r="F164" s="177"/>
      <c r="G164" s="177"/>
      <c r="H164" s="177"/>
      <c r="I164" s="177"/>
      <c r="J164" s="177"/>
      <c r="K164" s="177"/>
      <c r="L164" s="177"/>
      <c r="M164" s="177"/>
      <c r="N164" s="177"/>
      <c r="O164" s="177"/>
      <c r="P164" s="101"/>
      <c r="Q164" s="89"/>
      <c r="R164" s="89"/>
      <c r="S164" s="89"/>
      <c r="T164" s="89"/>
    </row>
    <row r="165" spans="1:20">
      <c r="A165" s="386">
        <v>11</v>
      </c>
      <c r="B165" s="131" t="s">
        <v>86</v>
      </c>
      <c r="C165" s="157" t="s">
        <v>6</v>
      </c>
      <c r="D165" s="177">
        <f>-VLOOKUP(CONCATENATE($B$148,$B165),Riders!$A$14:$Q$357,'II-H-4.1 Monthly'!D$11,FALSE)</f>
        <v>0</v>
      </c>
      <c r="E165" s="177">
        <f>-VLOOKUP(CONCATENATE($B$148,$B165),Riders!$A$14:$Q$357,'II-H-4.1 Monthly'!E$11,FALSE)</f>
        <v>0</v>
      </c>
      <c r="F165" s="177">
        <f>-VLOOKUP(CONCATENATE($B$148,$B165),Riders!$A$14:$Q$357,'II-H-4.1 Monthly'!F$11,FALSE)</f>
        <v>0</v>
      </c>
      <c r="G165" s="177">
        <f>-VLOOKUP(CONCATENATE($B$148,$B165),Riders!$A$14:$Q$357,'II-H-4.1 Monthly'!G$11,FALSE)</f>
        <v>0</v>
      </c>
      <c r="H165" s="177">
        <f>-VLOOKUP(CONCATENATE($B$148,$B165),Riders!$A$14:$Q$357,'II-H-4.1 Monthly'!H$11,FALSE)</f>
        <v>0</v>
      </c>
      <c r="I165" s="177">
        <f>-VLOOKUP(CONCATENATE($B$148,$B165),Riders!$A$14:$Q$357,'II-H-4.1 Monthly'!I$11,FALSE)</f>
        <v>0</v>
      </c>
      <c r="J165" s="177">
        <f>-VLOOKUP(CONCATENATE($B$148,$B165),Riders!$A$14:$Q$357,'II-H-4.1 Monthly'!J$11,FALSE)</f>
        <v>0</v>
      </c>
      <c r="K165" s="177">
        <f>-VLOOKUP(CONCATENATE($B$148,$B165),Riders!$A$14:$Q$357,'II-H-4.1 Monthly'!K$11,FALSE)</f>
        <v>0</v>
      </c>
      <c r="L165" s="177">
        <f>-VLOOKUP(CONCATENATE($B$148,$B165),Riders!$A$14:$Q$357,'II-H-4.1 Monthly'!L$11,FALSE)</f>
        <v>0</v>
      </c>
      <c r="M165" s="177">
        <f>-VLOOKUP(CONCATENATE($B$148,$B165),Riders!$A$14:$Q$357,'II-H-4.1 Monthly'!M$11,FALSE)</f>
        <v>0</v>
      </c>
      <c r="N165" s="177">
        <f>-VLOOKUP(CONCATENATE($B$148,$B165),Riders!$A$14:$Q$357,'II-H-4.1 Monthly'!N$11,FALSE)</f>
        <v>0</v>
      </c>
      <c r="O165" s="177">
        <f>-VLOOKUP(CONCATENATE($B$148,$B165),Riders!$A$14:$Q$357,'II-H-4.1 Monthly'!O$11,FALSE)</f>
        <v>0</v>
      </c>
      <c r="P165" s="101">
        <f>SUM(D165:O165)</f>
        <v>0</v>
      </c>
      <c r="Q165" s="89"/>
    </row>
    <row r="166" spans="1:20">
      <c r="B166" s="87"/>
      <c r="C166" s="99"/>
      <c r="D166" s="177"/>
      <c r="E166" s="177"/>
      <c r="F166" s="177"/>
      <c r="G166" s="177"/>
      <c r="H166" s="177"/>
      <c r="I166" s="177"/>
      <c r="J166" s="177"/>
      <c r="K166" s="177"/>
      <c r="L166" s="177"/>
      <c r="M166" s="177"/>
      <c r="N166" s="177"/>
      <c r="O166" s="177"/>
      <c r="P166" s="177"/>
    </row>
    <row r="167" spans="1:20">
      <c r="A167" s="386">
        <v>12</v>
      </c>
      <c r="B167" s="89" t="s">
        <v>21</v>
      </c>
      <c r="C167" s="157" t="s">
        <v>4</v>
      </c>
      <c r="D167" s="429">
        <f>-VLOOKUP(CONCATENATE($B$148,$B167),Riders!$A$14:$Q$357,'II-H-4.1 Monthly'!D$11,FALSE)</f>
        <v>0</v>
      </c>
      <c r="E167" s="429">
        <f>-VLOOKUP(CONCATENATE($B$148,$B167),Riders!$A$14:$Q$357,'II-H-4.1 Monthly'!E$11,FALSE)</f>
        <v>0</v>
      </c>
      <c r="F167" s="429">
        <f>-VLOOKUP(CONCATENATE($B$148,$B167),Riders!$A$14:$Q$357,'II-H-4.1 Monthly'!F$11,FALSE)</f>
        <v>0</v>
      </c>
      <c r="G167" s="429">
        <f>-VLOOKUP(CONCATENATE($B$148,$B167),Riders!$A$14:$Q$357,'II-H-4.1 Monthly'!G$11,FALSE)</f>
        <v>0</v>
      </c>
      <c r="H167" s="429">
        <f>-VLOOKUP(CONCATENATE($B$148,$B167),Riders!$A$14:$Q$357,'II-H-4.1 Monthly'!H$11,FALSE)</f>
        <v>0</v>
      </c>
      <c r="I167" s="429">
        <f>-VLOOKUP(CONCATENATE($B$148,$B167),Riders!$A$14:$Q$357,'II-H-4.1 Monthly'!I$11,FALSE)</f>
        <v>0</v>
      </c>
      <c r="J167" s="429">
        <f>-VLOOKUP(CONCATENATE($B$148,$B167),Riders!$A$14:$Q$357,'II-H-4.1 Monthly'!J$11,FALSE)</f>
        <v>0</v>
      </c>
      <c r="K167" s="429">
        <f>-VLOOKUP(CONCATENATE($B$148,$B167),Riders!$A$14:$Q$357,'II-H-4.1 Monthly'!K$11,FALSE)</f>
        <v>0</v>
      </c>
      <c r="L167" s="429">
        <f>-VLOOKUP(CONCATENATE($B$148,$B167),Riders!$A$14:$Q$357,'II-H-4.1 Monthly'!L$11,FALSE)</f>
        <v>0</v>
      </c>
      <c r="M167" s="429">
        <f>-VLOOKUP(CONCATENATE($B$148,$B167),Riders!$A$14:$Q$357,'II-H-4.1 Monthly'!M$11,FALSE)</f>
        <v>0</v>
      </c>
      <c r="N167" s="429">
        <f>-VLOOKUP(CONCATENATE($B$148,$B167),Riders!$A$14:$Q$357,'II-H-4.1 Monthly'!N$11,FALSE)</f>
        <v>0</v>
      </c>
      <c r="O167" s="429">
        <f>-VLOOKUP(CONCATENATE($B$148,$B167),Riders!$A$14:$Q$357,'II-H-4.1 Monthly'!O$11,FALSE)</f>
        <v>-27853.230000000003</v>
      </c>
      <c r="P167" s="101">
        <f>SUM(D167:O167)</f>
        <v>-27853.230000000003</v>
      </c>
    </row>
    <row r="168" spans="1:20">
      <c r="A168" s="386"/>
      <c r="B168" s="87"/>
      <c r="C168" s="99"/>
      <c r="D168" s="177"/>
      <c r="E168" s="177"/>
      <c r="F168" s="177"/>
      <c r="G168" s="177"/>
      <c r="H168" s="177"/>
      <c r="I168" s="177"/>
      <c r="J168" s="177"/>
      <c r="K168" s="177"/>
      <c r="L168" s="177"/>
      <c r="M168" s="177"/>
      <c r="N168" s="177"/>
      <c r="O168" s="177"/>
      <c r="P168" s="177"/>
    </row>
    <row r="169" spans="1:20">
      <c r="A169" s="386">
        <v>13</v>
      </c>
      <c r="B169" s="393" t="s">
        <v>22</v>
      </c>
      <c r="C169" s="362"/>
      <c r="D169" s="394">
        <f>D167+D165+D163+D157+D153+D151</f>
        <v>0</v>
      </c>
      <c r="E169" s="394">
        <f>E167+E165+E163+E157+E153+E151</f>
        <v>0</v>
      </c>
      <c r="F169" s="394">
        <f t="shared" ref="F169:O169" si="65">F167+F165+F163+F157+F153+F151</f>
        <v>0</v>
      </c>
      <c r="G169" s="394">
        <f t="shared" si="65"/>
        <v>0</v>
      </c>
      <c r="H169" s="394">
        <f t="shared" si="65"/>
        <v>0</v>
      </c>
      <c r="I169" s="394">
        <f t="shared" si="65"/>
        <v>0</v>
      </c>
      <c r="J169" s="394">
        <f t="shared" si="65"/>
        <v>0</v>
      </c>
      <c r="K169" s="394">
        <f t="shared" si="65"/>
        <v>0</v>
      </c>
      <c r="L169" s="394">
        <f t="shared" si="65"/>
        <v>0</v>
      </c>
      <c r="M169" s="394">
        <f t="shared" si="65"/>
        <v>0</v>
      </c>
      <c r="N169" s="394">
        <f t="shared" si="65"/>
        <v>0</v>
      </c>
      <c r="O169" s="394">
        <f t="shared" si="65"/>
        <v>-1960407.78</v>
      </c>
      <c r="P169" s="394">
        <f>P167+P165+P163+P157+P153+P151</f>
        <v>-1960407.78</v>
      </c>
    </row>
    <row r="170" spans="1:20">
      <c r="B170" s="362"/>
      <c r="C170" s="362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</row>
    <row r="171" spans="1:20">
      <c r="A171" s="386">
        <v>14</v>
      </c>
      <c r="B171" s="89" t="s">
        <v>69</v>
      </c>
      <c r="C171" s="157" t="s">
        <v>5</v>
      </c>
      <c r="D171" s="177"/>
      <c r="E171" s="177"/>
      <c r="F171" s="177"/>
      <c r="G171" s="177"/>
      <c r="H171" s="177"/>
      <c r="I171" s="177"/>
      <c r="J171" s="177"/>
      <c r="K171" s="177"/>
      <c r="L171" s="177"/>
      <c r="M171" s="177"/>
      <c r="N171" s="177"/>
      <c r="O171" s="177"/>
      <c r="P171" s="101">
        <f>SUM(D171:O171)</f>
        <v>0</v>
      </c>
    </row>
    <row r="172" spans="1:20">
      <c r="A172" s="386">
        <v>15</v>
      </c>
      <c r="B172" s="89" t="s">
        <v>70</v>
      </c>
      <c r="C172" s="157" t="s">
        <v>6</v>
      </c>
      <c r="D172" s="388"/>
      <c r="E172" s="388"/>
      <c r="F172" s="388"/>
      <c r="G172" s="388"/>
      <c r="H172" s="388"/>
      <c r="I172" s="388"/>
      <c r="J172" s="388"/>
      <c r="K172" s="388"/>
      <c r="L172" s="388"/>
      <c r="M172" s="388"/>
      <c r="N172" s="388"/>
      <c r="O172" s="388"/>
      <c r="P172" s="425">
        <f>SUM(D172:O172)</f>
        <v>0</v>
      </c>
    </row>
    <row r="173" spans="1:20">
      <c r="A173" s="386">
        <v>16</v>
      </c>
      <c r="B173" s="393" t="s">
        <v>23</v>
      </c>
      <c r="C173" s="361"/>
      <c r="D173" s="101">
        <f t="shared" ref="D173:P173" si="66">SUM(D171:D172)</f>
        <v>0</v>
      </c>
      <c r="E173" s="101">
        <f t="shared" si="66"/>
        <v>0</v>
      </c>
      <c r="F173" s="101">
        <f t="shared" si="66"/>
        <v>0</v>
      </c>
      <c r="G173" s="101">
        <f t="shared" si="66"/>
        <v>0</v>
      </c>
      <c r="H173" s="101">
        <f t="shared" si="66"/>
        <v>0</v>
      </c>
      <c r="I173" s="101">
        <f t="shared" si="66"/>
        <v>0</v>
      </c>
      <c r="J173" s="101">
        <f t="shared" si="66"/>
        <v>0</v>
      </c>
      <c r="K173" s="101">
        <f t="shared" si="66"/>
        <v>0</v>
      </c>
      <c r="L173" s="101">
        <f t="shared" si="66"/>
        <v>0</v>
      </c>
      <c r="M173" s="101">
        <f t="shared" si="66"/>
        <v>0</v>
      </c>
      <c r="N173" s="101">
        <f t="shared" si="66"/>
        <v>0</v>
      </c>
      <c r="O173" s="101">
        <f t="shared" si="66"/>
        <v>0</v>
      </c>
      <c r="P173" s="101">
        <f t="shared" si="66"/>
        <v>0</v>
      </c>
    </row>
    <row r="174" spans="1:20">
      <c r="A174" s="386"/>
      <c r="B174" s="87"/>
      <c r="C174" s="396"/>
      <c r="D174" s="177"/>
      <c r="E174" s="177"/>
      <c r="F174" s="177"/>
      <c r="G174" s="177"/>
      <c r="H174" s="177"/>
      <c r="I174" s="177"/>
      <c r="J174" s="177"/>
      <c r="K174" s="177"/>
      <c r="L174" s="177"/>
      <c r="M174" s="177"/>
      <c r="N174" s="177"/>
      <c r="O174" s="177"/>
      <c r="P174" s="177"/>
    </row>
    <row r="175" spans="1:20" ht="12" thickBot="1">
      <c r="A175" s="386">
        <v>17</v>
      </c>
      <c r="B175" s="147" t="s">
        <v>92</v>
      </c>
      <c r="C175" s="361"/>
      <c r="D175" s="426">
        <f t="shared" ref="D175" si="67">+D173+D169</f>
        <v>0</v>
      </c>
      <c r="E175" s="426">
        <f>+E173+E169</f>
        <v>0</v>
      </c>
      <c r="F175" s="426">
        <f t="shared" ref="F175:O175" si="68">+F173+F169</f>
        <v>0</v>
      </c>
      <c r="G175" s="426">
        <f t="shared" si="68"/>
        <v>0</v>
      </c>
      <c r="H175" s="426">
        <f t="shared" si="68"/>
        <v>0</v>
      </c>
      <c r="I175" s="426">
        <f t="shared" si="68"/>
        <v>0</v>
      </c>
      <c r="J175" s="426">
        <f t="shared" si="68"/>
        <v>0</v>
      </c>
      <c r="K175" s="426">
        <f t="shared" si="68"/>
        <v>0</v>
      </c>
      <c r="L175" s="426">
        <f t="shared" si="68"/>
        <v>0</v>
      </c>
      <c r="M175" s="426">
        <f t="shared" si="68"/>
        <v>0</v>
      </c>
      <c r="N175" s="426">
        <f t="shared" si="68"/>
        <v>0</v>
      </c>
      <c r="O175" s="426">
        <f t="shared" si="68"/>
        <v>-1960407.78</v>
      </c>
      <c r="P175" s="426">
        <f>+P173+P169</f>
        <v>-1960407.78</v>
      </c>
      <c r="Q175" s="419"/>
    </row>
    <row r="176" spans="1:20" ht="12" thickTop="1">
      <c r="A176" s="386"/>
      <c r="B176" s="147"/>
      <c r="C176" s="361"/>
      <c r="D176" s="433"/>
      <c r="E176" s="433"/>
      <c r="F176" s="433"/>
      <c r="G176" s="433"/>
      <c r="H176" s="433"/>
      <c r="I176" s="433"/>
      <c r="J176" s="433"/>
      <c r="K176" s="433"/>
      <c r="L176" s="433"/>
      <c r="M176" s="433"/>
      <c r="N176" s="433"/>
      <c r="O176" s="433"/>
      <c r="P176" s="433"/>
      <c r="Q176" s="194"/>
    </row>
    <row r="177" spans="1:145" ht="20.25" customHeight="1">
      <c r="B177" s="371" t="s">
        <v>91</v>
      </c>
      <c r="C177" s="371"/>
      <c r="D177" s="371"/>
      <c r="E177" s="371"/>
      <c r="F177" s="371"/>
      <c r="G177" s="371"/>
      <c r="H177" s="371"/>
      <c r="I177" s="371"/>
      <c r="J177" s="371"/>
      <c r="K177" s="371"/>
      <c r="L177" s="371"/>
      <c r="M177" s="371"/>
      <c r="N177" s="371"/>
      <c r="O177" s="371"/>
      <c r="P177" s="427"/>
    </row>
    <row r="178" spans="1:145" s="87" customFormat="1">
      <c r="B178" s="371" t="s">
        <v>492</v>
      </c>
      <c r="C178" s="371"/>
      <c r="D178" s="371"/>
      <c r="E178" s="371"/>
      <c r="F178" s="371"/>
      <c r="G178" s="371"/>
      <c r="H178" s="371"/>
      <c r="I178" s="371"/>
      <c r="J178" s="371"/>
      <c r="K178" s="371"/>
      <c r="L178" s="371"/>
      <c r="M178" s="371"/>
      <c r="N178" s="371"/>
      <c r="O178" s="371"/>
      <c r="P178" s="88" t="s">
        <v>1</v>
      </c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89"/>
      <c r="AO178" s="89"/>
      <c r="AP178" s="89"/>
      <c r="AQ178" s="89"/>
      <c r="AR178" s="89"/>
      <c r="AS178" s="89"/>
      <c r="AT178" s="89"/>
      <c r="AU178" s="89"/>
      <c r="AV178" s="89"/>
      <c r="AW178" s="89"/>
      <c r="AX178" s="89"/>
      <c r="AY178" s="89"/>
      <c r="AZ178" s="89"/>
      <c r="BA178" s="89"/>
      <c r="BB178" s="89"/>
      <c r="BC178" s="89"/>
      <c r="BD178" s="89"/>
      <c r="BE178" s="89"/>
      <c r="BF178" s="89"/>
      <c r="BG178" s="89"/>
      <c r="BH178" s="89"/>
      <c r="BI178" s="89"/>
      <c r="BJ178" s="89"/>
      <c r="BK178" s="89"/>
      <c r="BL178" s="89"/>
      <c r="BM178" s="89"/>
      <c r="BN178" s="89"/>
      <c r="BO178" s="89"/>
      <c r="BP178" s="89"/>
      <c r="BQ178" s="89"/>
      <c r="BR178" s="89"/>
      <c r="BS178" s="89"/>
      <c r="BT178" s="89"/>
      <c r="BU178" s="89"/>
      <c r="BV178" s="89"/>
      <c r="BW178" s="89"/>
      <c r="BX178" s="89"/>
      <c r="BY178" s="89"/>
      <c r="BZ178" s="89"/>
      <c r="CA178" s="89"/>
      <c r="CB178" s="89"/>
      <c r="CC178" s="89"/>
      <c r="CD178" s="89"/>
      <c r="CE178" s="89"/>
      <c r="CF178" s="89"/>
      <c r="CG178" s="89"/>
      <c r="CH178" s="89"/>
      <c r="CI178" s="89"/>
      <c r="CJ178" s="89"/>
      <c r="CK178" s="89"/>
      <c r="CL178" s="89"/>
      <c r="CM178" s="89"/>
      <c r="CN178" s="89"/>
      <c r="CO178" s="89"/>
      <c r="CP178" s="89"/>
      <c r="CQ178" s="89"/>
      <c r="CR178" s="89"/>
      <c r="CS178" s="89"/>
      <c r="CT178" s="89"/>
      <c r="CU178" s="89"/>
      <c r="CV178" s="89"/>
      <c r="CW178" s="89"/>
      <c r="CX178" s="89"/>
      <c r="CY178" s="89"/>
      <c r="CZ178" s="89"/>
      <c r="DA178" s="89"/>
      <c r="DB178" s="89"/>
      <c r="DC178" s="89"/>
      <c r="DD178" s="89"/>
      <c r="DE178" s="89"/>
      <c r="DF178" s="89"/>
      <c r="DG178" s="89"/>
      <c r="DH178" s="89"/>
      <c r="DI178" s="89"/>
      <c r="DJ178" s="89"/>
      <c r="DK178" s="89"/>
      <c r="DL178" s="89"/>
      <c r="DM178" s="89"/>
      <c r="DN178" s="89"/>
      <c r="DO178" s="89"/>
      <c r="DP178" s="89"/>
      <c r="DQ178" s="89"/>
      <c r="DR178" s="89"/>
      <c r="DS178" s="89"/>
      <c r="DT178" s="89"/>
      <c r="DU178" s="89"/>
      <c r="DV178" s="89"/>
      <c r="DW178" s="89"/>
      <c r="DX178" s="89"/>
      <c r="DY178" s="89"/>
      <c r="DZ178" s="89"/>
      <c r="EA178" s="89"/>
      <c r="EB178" s="89"/>
      <c r="EC178" s="89"/>
      <c r="ED178" s="89"/>
      <c r="EE178" s="89"/>
      <c r="EF178" s="89"/>
      <c r="EG178" s="89"/>
      <c r="EH178" s="89"/>
      <c r="EI178" s="89"/>
      <c r="EJ178" s="89"/>
      <c r="EK178" s="89"/>
      <c r="EL178" s="89"/>
      <c r="EM178" s="89"/>
      <c r="EN178" s="89"/>
      <c r="EO178" s="89"/>
    </row>
    <row r="179" spans="1:145">
      <c r="B179" s="371" t="str">
        <f>+B146</f>
        <v>FOR TEST YEAR ENDED SEPTEMBER 30, 2023</v>
      </c>
      <c r="C179" s="371"/>
      <c r="D179" s="371"/>
      <c r="E179" s="371"/>
      <c r="F179" s="371"/>
      <c r="G179" s="371"/>
      <c r="H179" s="371"/>
      <c r="I179" s="371"/>
      <c r="J179" s="371"/>
      <c r="K179" s="371"/>
      <c r="L179" s="371"/>
      <c r="M179" s="371"/>
      <c r="N179" s="371"/>
      <c r="O179" s="371"/>
      <c r="P179" s="87" t="s">
        <v>1</v>
      </c>
    </row>
    <row r="180" spans="1:145">
      <c r="B180" s="131"/>
      <c r="C180" s="361"/>
      <c r="D180" s="361"/>
      <c r="E180" s="361"/>
      <c r="F180" s="361"/>
      <c r="G180" s="361"/>
      <c r="H180" s="361"/>
      <c r="I180" s="361"/>
      <c r="J180" s="361"/>
      <c r="K180" s="361"/>
      <c r="L180" s="361"/>
      <c r="M180" s="361"/>
      <c r="N180" s="361"/>
      <c r="O180" s="361"/>
      <c r="P180" s="87"/>
    </row>
    <row r="181" spans="1:145">
      <c r="B181" s="147" t="str">
        <f>Riders!C156</f>
        <v>SRC</v>
      </c>
      <c r="C181" s="432"/>
      <c r="D181" s="428"/>
      <c r="E181" s="405"/>
      <c r="F181" s="405"/>
      <c r="G181" s="428"/>
      <c r="H181" s="177"/>
      <c r="I181" s="177"/>
      <c r="J181" s="177"/>
      <c r="K181" s="177"/>
      <c r="L181" s="177"/>
      <c r="M181" s="177"/>
      <c r="N181" s="177"/>
      <c r="O181" s="177"/>
      <c r="P181" s="405"/>
    </row>
    <row r="182" spans="1:145">
      <c r="A182" s="359" t="s">
        <v>8</v>
      </c>
      <c r="B182" s="361" t="s">
        <v>0</v>
      </c>
      <c r="C182" s="361" t="s">
        <v>7</v>
      </c>
      <c r="D182" s="406" t="str">
        <f>$D$13</f>
        <v>Oct-22</v>
      </c>
      <c r="E182" s="406" t="str">
        <f>$E$13</f>
        <v>Nov-22</v>
      </c>
      <c r="F182" s="406" t="str">
        <f>$F$13</f>
        <v>Dec-22</v>
      </c>
      <c r="G182" s="406" t="str">
        <f>$G$13</f>
        <v>Jan-23</v>
      </c>
      <c r="H182" s="406" t="str">
        <f>$H$13</f>
        <v>Feb-23</v>
      </c>
      <c r="I182" s="406" t="str">
        <f>$I$13</f>
        <v>Mar-23</v>
      </c>
      <c r="J182" s="406" t="str">
        <f>$J$13</f>
        <v>Apr-23</v>
      </c>
      <c r="K182" s="406" t="str">
        <f>$K$13</f>
        <v>May-23</v>
      </c>
      <c r="L182" s="406" t="str">
        <f>$L$13</f>
        <v>Jun-23</v>
      </c>
      <c r="M182" s="406" t="str">
        <f>$M$13</f>
        <v>Jul-23</v>
      </c>
      <c r="N182" s="406" t="str">
        <f>$N$13</f>
        <v>Aug-23</v>
      </c>
      <c r="O182" s="406" t="str">
        <f>$O$13</f>
        <v>Sep-23</v>
      </c>
      <c r="P182" s="406" t="s">
        <v>2</v>
      </c>
    </row>
    <row r="183" spans="1:145">
      <c r="B183" s="361"/>
      <c r="C183" s="361"/>
      <c r="D183" s="406"/>
      <c r="E183" s="406"/>
      <c r="F183" s="406"/>
      <c r="G183" s="406"/>
      <c r="H183" s="406"/>
      <c r="I183" s="406"/>
      <c r="J183" s="406"/>
      <c r="K183" s="406"/>
      <c r="L183" s="406"/>
      <c r="M183" s="406"/>
      <c r="N183" s="406"/>
      <c r="O183" s="406"/>
      <c r="P183" s="406"/>
    </row>
    <row r="184" spans="1:145">
      <c r="A184" s="386" t="s">
        <v>9</v>
      </c>
      <c r="B184" s="87" t="s">
        <v>17</v>
      </c>
      <c r="C184" s="99" t="s">
        <v>4</v>
      </c>
      <c r="D184" s="424">
        <f>-VLOOKUP(CONCATENATE($B$181,$B184),Riders!$A$14:$Q$357,'II-H-4.1 Monthly'!D$11,FALSE)</f>
        <v>-1131807.78</v>
      </c>
      <c r="E184" s="424">
        <f>-VLOOKUP(CONCATENATE($B$181,$B184),Riders!$A$14:$Q$357,'II-H-4.1 Monthly'!E$11,FALSE)</f>
        <v>-883824.4</v>
      </c>
      <c r="F184" s="424">
        <f>-VLOOKUP(CONCATENATE($B$181,$B184),Riders!$A$14:$Q$357,'II-H-4.1 Monthly'!F$11,FALSE)</f>
        <v>-994983.1399999999</v>
      </c>
      <c r="G184" s="424">
        <f>-VLOOKUP(CONCATENATE($B$181,$B184),Riders!$A$14:$Q$357,'II-H-4.1 Monthly'!G$11,FALSE)</f>
        <v>-1057285.0900000001</v>
      </c>
      <c r="H184" s="424">
        <f>-VLOOKUP(CONCATENATE($B$181,$B184),Riders!$A$14:$Q$357,'II-H-4.1 Monthly'!H$11,FALSE)</f>
        <v>-912531.73</v>
      </c>
      <c r="I184" s="424">
        <f>-VLOOKUP(CONCATENATE($B$181,$B184),Riders!$A$14:$Q$357,'II-H-4.1 Monthly'!I$11,FALSE)</f>
        <v>-872802.79</v>
      </c>
      <c r="J184" s="424">
        <f>-VLOOKUP(CONCATENATE($B$181,$B184),Riders!$A$14:$Q$357,'II-H-4.1 Monthly'!J$11,FALSE)</f>
        <v>-877453.8</v>
      </c>
      <c r="K184" s="424">
        <f>-VLOOKUP(CONCATENATE($B$181,$B184),Riders!$A$14:$Q$357,'II-H-4.1 Monthly'!K$11,FALSE)</f>
        <v>-958163.55</v>
      </c>
      <c r="L184" s="424">
        <f>-VLOOKUP(CONCATENATE($B$181,$B184),Riders!$A$14:$Q$357,'II-H-4.1 Monthly'!L$11,FALSE)</f>
        <v>-1299784.1499999999</v>
      </c>
      <c r="M184" s="424">
        <f>-VLOOKUP(CONCATENATE($B$181,$B184),Riders!$A$14:$Q$357,'II-H-4.1 Monthly'!M$11,FALSE)</f>
        <v>-1664723.06</v>
      </c>
      <c r="N184" s="424">
        <f>-VLOOKUP(CONCATENATE($B$181,$B184),Riders!$A$14:$Q$357,'II-H-4.1 Monthly'!N$11,FALSE)</f>
        <v>-1657149.85</v>
      </c>
      <c r="O184" s="424">
        <f>-VLOOKUP(CONCATENATE($B$181,$B184),Riders!$A$14:$Q$357,'II-H-4.1 Monthly'!O$11,FALSE)</f>
        <v>-1866347.11</v>
      </c>
      <c r="P184" s="424">
        <f>SUM(D184:O184)</f>
        <v>-14176856.449999999</v>
      </c>
    </row>
    <row r="185" spans="1:145">
      <c r="B185" s="87"/>
      <c r="C185" s="99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</row>
    <row r="186" spans="1:145">
      <c r="A186" s="386">
        <v>2</v>
      </c>
      <c r="B186" s="87" t="s">
        <v>20</v>
      </c>
      <c r="C186" s="99" t="s">
        <v>4</v>
      </c>
      <c r="D186" s="177">
        <f>-VLOOKUP(CONCATENATE($B$181,$B186),Riders!$A$14:$Q$357,'II-H-4.1 Monthly'!D$11,FALSE)</f>
        <v>-59122.09</v>
      </c>
      <c r="E186" s="177">
        <f>-VLOOKUP(CONCATENATE($B$181,$B186),Riders!$A$14:$Q$357,'II-H-4.1 Monthly'!E$11,FALSE)</f>
        <v>-52991.850000000006</v>
      </c>
      <c r="F186" s="177">
        <f>-VLOOKUP(CONCATENATE($B$181,$B186),Riders!$A$14:$Q$357,'II-H-4.1 Monthly'!F$11,FALSE)</f>
        <v>-54478.06</v>
      </c>
      <c r="G186" s="177">
        <f>-VLOOKUP(CONCATENATE($B$181,$B186),Riders!$A$14:$Q$357,'II-H-4.1 Monthly'!G$11,FALSE)</f>
        <v>-54368.139999999985</v>
      </c>
      <c r="H186" s="177">
        <f>-VLOOKUP(CONCATENATE($B$181,$B186),Riders!$A$14:$Q$357,'II-H-4.1 Monthly'!H$11,FALSE)</f>
        <v>-49102.479999999996</v>
      </c>
      <c r="I186" s="177">
        <f>-VLOOKUP(CONCATENATE($B$181,$B186),Riders!$A$14:$Q$357,'II-H-4.1 Monthly'!I$11,FALSE)</f>
        <v>-49395.740000000005</v>
      </c>
      <c r="J186" s="177">
        <f>-VLOOKUP(CONCATENATE($B$181,$B186),Riders!$A$14:$Q$357,'II-H-4.1 Monthly'!J$11,FALSE)</f>
        <v>-49818.62000000001</v>
      </c>
      <c r="K186" s="177">
        <f>-VLOOKUP(CONCATENATE($B$181,$B186),Riders!$A$14:$Q$357,'II-H-4.1 Monthly'!K$11,FALSE)</f>
        <v>-53052.810000000012</v>
      </c>
      <c r="L186" s="177">
        <f>-VLOOKUP(CONCATENATE($B$181,$B186),Riders!$A$14:$Q$357,'II-H-4.1 Monthly'!L$11,FALSE)</f>
        <v>-61878.229999999996</v>
      </c>
      <c r="M186" s="177">
        <f>-VLOOKUP(CONCATENATE($B$181,$B186),Riders!$A$14:$Q$357,'II-H-4.1 Monthly'!M$11,FALSE)</f>
        <v>-70742.320000000007</v>
      </c>
      <c r="N186" s="177">
        <f>-VLOOKUP(CONCATENATE($B$181,$B186),Riders!$A$14:$Q$357,'II-H-4.1 Monthly'!N$11,FALSE)</f>
        <v>-71906.48000000001</v>
      </c>
      <c r="O186" s="177">
        <f>-VLOOKUP(CONCATENATE($B$181,$B186),Riders!$A$14:$Q$357,'II-H-4.1 Monthly'!O$11,FALSE)</f>
        <v>-79651.609999999986</v>
      </c>
      <c r="P186" s="101">
        <f>SUM(D186:O186)</f>
        <v>-706508.42999999993</v>
      </c>
      <c r="Q186" s="434"/>
      <c r="R186" s="435"/>
    </row>
    <row r="187" spans="1:145">
      <c r="A187" s="386"/>
      <c r="B187" s="87"/>
      <c r="C187" s="99"/>
      <c r="D187" s="177"/>
      <c r="E187" s="177"/>
      <c r="F187" s="177"/>
      <c r="G187" s="177"/>
      <c r="H187" s="177"/>
      <c r="I187" s="177"/>
      <c r="J187" s="177"/>
      <c r="K187" s="177"/>
      <c r="L187" s="177"/>
      <c r="M187" s="177"/>
      <c r="N187" s="177"/>
      <c r="O187" s="177"/>
      <c r="P187" s="101"/>
      <c r="Q187" s="434"/>
      <c r="R187" s="435"/>
    </row>
    <row r="188" spans="1:145">
      <c r="A188" s="386">
        <v>3</v>
      </c>
      <c r="B188" s="87" t="s">
        <v>81</v>
      </c>
      <c r="C188" s="157" t="s">
        <v>4</v>
      </c>
      <c r="D188" s="390">
        <f>-VLOOKUP(CONCATENATE($B$181,$B188),Riders!$A$14:$Q$357,'II-H-4.1 Monthly'!D$11,FALSE)</f>
        <v>-628768.67999999982</v>
      </c>
      <c r="E188" s="390">
        <f>-VLOOKUP(CONCATENATE($B$181,$B188),Riders!$A$14:$Q$357,'II-H-4.1 Monthly'!E$11,FALSE)</f>
        <v>-621253.5</v>
      </c>
      <c r="F188" s="390">
        <f>-VLOOKUP(CONCATENATE($B$181,$B188),Riders!$A$14:$Q$357,'II-H-4.1 Monthly'!F$11,FALSE)</f>
        <v>-630179.99999999988</v>
      </c>
      <c r="G188" s="390">
        <f>-VLOOKUP(CONCATENATE($B$181,$B188),Riders!$A$14:$Q$357,'II-H-4.1 Monthly'!G$11,FALSE)</f>
        <v>-643724.7100000002</v>
      </c>
      <c r="H188" s="390">
        <f>-VLOOKUP(CONCATENATE($B$181,$B188),Riders!$A$14:$Q$357,'II-H-4.1 Monthly'!H$11,FALSE)</f>
        <v>-642060.4</v>
      </c>
      <c r="I188" s="390">
        <f>-VLOOKUP(CONCATENATE($B$181,$B188),Riders!$A$14:$Q$357,'II-H-4.1 Monthly'!I$11,FALSE)</f>
        <v>-631576.69999999995</v>
      </c>
      <c r="J188" s="390">
        <f>-VLOOKUP(CONCATENATE($B$181,$B188),Riders!$A$14:$Q$357,'II-H-4.1 Monthly'!J$11,FALSE)</f>
        <v>-625243.63</v>
      </c>
      <c r="K188" s="390">
        <f>-VLOOKUP(CONCATENATE($B$181,$B188),Riders!$A$14:$Q$357,'II-H-4.1 Monthly'!K$11,FALSE)</f>
        <v>-624389.89000000013</v>
      </c>
      <c r="L188" s="390">
        <f>-VLOOKUP(CONCATENATE($B$181,$B188),Riders!$A$14:$Q$357,'II-H-4.1 Monthly'!L$11,FALSE)</f>
        <v>-639630.10999999987</v>
      </c>
      <c r="M188" s="390">
        <f>-VLOOKUP(CONCATENATE($B$181,$B188),Riders!$A$14:$Q$357,'II-H-4.1 Monthly'!M$11,FALSE)</f>
        <v>-659368.92999999993</v>
      </c>
      <c r="N188" s="390">
        <f>-VLOOKUP(CONCATENATE($B$181,$B188),Riders!$A$14:$Q$357,'II-H-4.1 Monthly'!N$11,FALSE)</f>
        <v>-662938.15000000014</v>
      </c>
      <c r="O188" s="390">
        <f>-VLOOKUP(CONCATENATE($B$181,$B188),Riders!$A$14:$Q$357,'II-H-4.1 Monthly'!O$11,FALSE)</f>
        <v>-665491.45000000019</v>
      </c>
      <c r="P188" s="101">
        <f>SUM(D188:O188)</f>
        <v>-7674626.1499999994</v>
      </c>
      <c r="Q188" s="87"/>
      <c r="R188" s="436"/>
      <c r="S188" s="89"/>
      <c r="T188" s="89"/>
    </row>
    <row r="189" spans="1:145">
      <c r="A189" s="386">
        <v>4</v>
      </c>
      <c r="B189" s="87" t="s">
        <v>85</v>
      </c>
      <c r="C189" s="157" t="s">
        <v>4</v>
      </c>
      <c r="D189" s="388">
        <f>-VLOOKUP(CONCATENATE($B$181,$B189),Riders!$A$14:$Q$357,'II-H-4.1 Monthly'!D$11,FALSE)</f>
        <v>-69131.869999999981</v>
      </c>
      <c r="E189" s="388">
        <f>-VLOOKUP(CONCATENATE($B$181,$B189),Riders!$A$14:$Q$357,'II-H-4.1 Monthly'!E$11,FALSE)</f>
        <v>-67144.279999999984</v>
      </c>
      <c r="F189" s="388">
        <f>-VLOOKUP(CONCATENATE($B$181,$B189),Riders!$A$14:$Q$357,'II-H-4.1 Monthly'!F$11,FALSE)</f>
        <v>-64053.550000000017</v>
      </c>
      <c r="G189" s="388">
        <f>-VLOOKUP(CONCATENATE($B$181,$B189),Riders!$A$14:$Q$357,'II-H-4.1 Monthly'!G$11,FALSE)</f>
        <v>-62714.950000000004</v>
      </c>
      <c r="H189" s="388">
        <f>-VLOOKUP(CONCATENATE($B$181,$B189),Riders!$A$14:$Q$357,'II-H-4.1 Monthly'!H$11,FALSE)</f>
        <v>-62074.919999999962</v>
      </c>
      <c r="I189" s="388">
        <f>-VLOOKUP(CONCATENATE($B$181,$B189),Riders!$A$14:$Q$357,'II-H-4.1 Monthly'!I$11,FALSE)</f>
        <v>-64889.329999999994</v>
      </c>
      <c r="J189" s="388">
        <f>-VLOOKUP(CONCATENATE($B$181,$B189),Riders!$A$14:$Q$357,'II-H-4.1 Monthly'!J$11,FALSE)</f>
        <v>-64592.04</v>
      </c>
      <c r="K189" s="388">
        <f>-VLOOKUP(CONCATENATE($B$181,$B189),Riders!$A$14:$Q$357,'II-H-4.1 Monthly'!K$11,FALSE)</f>
        <v>-64848.089999999975</v>
      </c>
      <c r="L189" s="388">
        <f>-VLOOKUP(CONCATENATE($B$181,$B189),Riders!$A$14:$Q$357,'II-H-4.1 Monthly'!L$11,FALSE)</f>
        <v>-67131.960000000021</v>
      </c>
      <c r="M189" s="388">
        <f>-VLOOKUP(CONCATENATE($B$181,$B189),Riders!$A$14:$Q$357,'II-H-4.1 Monthly'!M$11,FALSE)</f>
        <v>-70560.13</v>
      </c>
      <c r="N189" s="388">
        <f>-VLOOKUP(CONCATENATE($B$181,$B189),Riders!$A$14:$Q$357,'II-H-4.1 Monthly'!N$11,FALSE)</f>
        <v>-75749.710000000006</v>
      </c>
      <c r="O189" s="388">
        <f>-VLOOKUP(CONCATENATE($B$181,$B189),Riders!$A$14:$Q$357,'II-H-4.1 Monthly'!O$11,FALSE)</f>
        <v>-79161.42</v>
      </c>
      <c r="P189" s="388">
        <f>SUM(D189:O189)</f>
        <v>-812052.25</v>
      </c>
      <c r="Q189" s="87"/>
      <c r="R189" s="436"/>
      <c r="S189" s="89"/>
      <c r="T189" s="89"/>
    </row>
    <row r="190" spans="1:145">
      <c r="A190" s="386">
        <v>5</v>
      </c>
      <c r="B190" s="131" t="s">
        <v>18</v>
      </c>
      <c r="C190" s="99"/>
      <c r="D190" s="177">
        <f>SUM(D188:D189)</f>
        <v>-697900.54999999981</v>
      </c>
      <c r="E190" s="177">
        <f t="shared" ref="E190:O190" si="69">SUM(E188:E189)</f>
        <v>-688397.78</v>
      </c>
      <c r="F190" s="177">
        <f t="shared" si="69"/>
        <v>-694233.54999999993</v>
      </c>
      <c r="G190" s="177">
        <f t="shared" si="69"/>
        <v>-706439.66000000015</v>
      </c>
      <c r="H190" s="177">
        <f t="shared" si="69"/>
        <v>-704135.32</v>
      </c>
      <c r="I190" s="177">
        <f t="shared" si="69"/>
        <v>-696466.02999999991</v>
      </c>
      <c r="J190" s="177">
        <f t="shared" si="69"/>
        <v>-689835.67</v>
      </c>
      <c r="K190" s="177">
        <f t="shared" si="69"/>
        <v>-689237.9800000001</v>
      </c>
      <c r="L190" s="177">
        <f t="shared" si="69"/>
        <v>-706762.06999999983</v>
      </c>
      <c r="M190" s="177">
        <f t="shared" si="69"/>
        <v>-729929.05999999994</v>
      </c>
      <c r="N190" s="177">
        <f t="shared" si="69"/>
        <v>-738687.8600000001</v>
      </c>
      <c r="O190" s="177">
        <f t="shared" si="69"/>
        <v>-744652.87000000023</v>
      </c>
      <c r="P190" s="177">
        <f>SUM(P188:P189)</f>
        <v>-8486678.3999999985</v>
      </c>
      <c r="Q190" s="137"/>
      <c r="R190" s="436"/>
      <c r="S190" s="89"/>
      <c r="T190" s="89"/>
    </row>
    <row r="191" spans="1:145">
      <c r="B191" s="147"/>
      <c r="C191" s="99"/>
      <c r="D191" s="177"/>
      <c r="E191" s="177"/>
      <c r="F191" s="177"/>
      <c r="G191" s="177"/>
      <c r="H191" s="177"/>
      <c r="I191" s="177"/>
      <c r="J191" s="177"/>
      <c r="K191" s="177"/>
      <c r="L191" s="177"/>
      <c r="M191" s="177"/>
      <c r="N191" s="177"/>
      <c r="O191" s="177"/>
      <c r="P191" s="177"/>
      <c r="Q191" s="137"/>
      <c r="R191" s="436"/>
      <c r="S191" s="89"/>
      <c r="T191" s="89"/>
    </row>
    <row r="192" spans="1:145">
      <c r="A192" s="386">
        <v>6</v>
      </c>
      <c r="B192" s="87" t="s">
        <v>82</v>
      </c>
      <c r="C192" s="157" t="s">
        <v>5</v>
      </c>
      <c r="D192" s="177">
        <f>-VLOOKUP(CONCATENATE($B$181,$B192),Riders!$A$14:$Q$357,'II-H-4.1 Monthly'!D$11,FALSE)</f>
        <v>-7009.77</v>
      </c>
      <c r="E192" s="177">
        <f>-VLOOKUP(CONCATENATE($B$181,$B192),Riders!$A$14:$Q$357,'II-H-4.1 Monthly'!E$11,FALSE)</f>
        <v>-7054.66</v>
      </c>
      <c r="F192" s="177">
        <f>-VLOOKUP(CONCATENATE($B$181,$B192),Riders!$A$14:$Q$357,'II-H-4.1 Monthly'!F$11,FALSE)</f>
        <v>-7060.72</v>
      </c>
      <c r="G192" s="177">
        <f>-VLOOKUP(CONCATENATE($B$181,$B192),Riders!$A$14:$Q$357,'II-H-4.1 Monthly'!G$11,FALSE)</f>
        <v>-7389.23</v>
      </c>
      <c r="H192" s="177">
        <f>-VLOOKUP(CONCATENATE($B$181,$B192),Riders!$A$14:$Q$357,'II-H-4.1 Monthly'!H$11,FALSE)</f>
        <v>-7636.96</v>
      </c>
      <c r="I192" s="177">
        <f>-VLOOKUP(CONCATENATE($B$181,$B192),Riders!$A$14:$Q$357,'II-H-4.1 Monthly'!I$11,FALSE)</f>
        <v>-8461.19</v>
      </c>
      <c r="J192" s="177">
        <f>-VLOOKUP(CONCATENATE($B$181,$B192),Riders!$A$14:$Q$357,'II-H-4.1 Monthly'!J$11,FALSE)</f>
        <v>-9129.9500000000007</v>
      </c>
      <c r="K192" s="177">
        <f>-VLOOKUP(CONCATENATE($B$181,$B192),Riders!$A$14:$Q$357,'II-H-4.1 Monthly'!K$11,FALSE)</f>
        <v>-9319.34</v>
      </c>
      <c r="L192" s="177">
        <f>-VLOOKUP(CONCATENATE($B$181,$B192),Riders!$A$14:$Q$357,'II-H-4.1 Monthly'!L$11,FALSE)</f>
        <v>-8071.8499999999995</v>
      </c>
      <c r="M192" s="177">
        <f>-VLOOKUP(CONCATENATE($B$181,$B192),Riders!$A$14:$Q$357,'II-H-4.1 Monthly'!M$11,FALSE)</f>
        <v>-8763.2899999999991</v>
      </c>
      <c r="N192" s="177">
        <f>-VLOOKUP(CONCATENATE($B$181,$B192),Riders!$A$14:$Q$357,'II-H-4.1 Monthly'!N$11,FALSE)</f>
        <v>-8360.34</v>
      </c>
      <c r="O192" s="177">
        <f>-VLOOKUP(CONCATENATE($B$181,$B192),Riders!$A$14:$Q$357,'II-H-4.1 Monthly'!O$11,FALSE)</f>
        <v>-9566.11</v>
      </c>
      <c r="P192" s="101">
        <f>SUM(D192:O192)</f>
        <v>-97823.41</v>
      </c>
      <c r="Q192" s="137"/>
      <c r="R192" s="436"/>
      <c r="S192" s="89"/>
      <c r="T192" s="89"/>
    </row>
    <row r="193" spans="1:20">
      <c r="A193" s="386">
        <v>7</v>
      </c>
      <c r="B193" s="87" t="s">
        <v>83</v>
      </c>
      <c r="C193" s="157" t="s">
        <v>5</v>
      </c>
      <c r="D193" s="390">
        <f>-VLOOKUP(CONCATENATE($B$181,$B193),Riders!$A$14:$Q$357,'II-H-4.1 Monthly'!D$11,FALSE)</f>
        <v>-99219.090000000011</v>
      </c>
      <c r="E193" s="390">
        <f>-VLOOKUP(CONCATENATE($B$181,$B193),Riders!$A$14:$Q$357,'II-H-4.1 Monthly'!E$11,FALSE)</f>
        <v>-98772.859999999986</v>
      </c>
      <c r="F193" s="390">
        <f>-VLOOKUP(CONCATENATE($B$181,$B193),Riders!$A$14:$Q$357,'II-H-4.1 Monthly'!F$11,FALSE)</f>
        <v>-94611.24</v>
      </c>
      <c r="G193" s="390">
        <f>-VLOOKUP(CONCATENATE($B$181,$B193),Riders!$A$14:$Q$357,'II-H-4.1 Monthly'!G$11,FALSE)</f>
        <v>-95839.3</v>
      </c>
      <c r="H193" s="390">
        <f>-VLOOKUP(CONCATENATE($B$181,$B193),Riders!$A$14:$Q$357,'II-H-4.1 Monthly'!H$11,FALSE)</f>
        <v>-92030.400000000009</v>
      </c>
      <c r="I193" s="390">
        <f>-VLOOKUP(CONCATENATE($B$181,$B193),Riders!$A$14:$Q$357,'II-H-4.1 Monthly'!I$11,FALSE)</f>
        <v>-100164.29000000001</v>
      </c>
      <c r="J193" s="390">
        <f>-VLOOKUP(CONCATENATE($B$181,$B193),Riders!$A$14:$Q$357,'II-H-4.1 Monthly'!J$11,FALSE)</f>
        <v>-91767.28</v>
      </c>
      <c r="K193" s="390">
        <f>-VLOOKUP(CONCATENATE($B$181,$B193),Riders!$A$14:$Q$357,'II-H-4.1 Monthly'!K$11,FALSE)</f>
        <v>-102119.6</v>
      </c>
      <c r="L193" s="390">
        <f>-VLOOKUP(CONCATENATE($B$181,$B193),Riders!$A$14:$Q$357,'II-H-4.1 Monthly'!L$11,FALSE)</f>
        <v>-101485.40000000001</v>
      </c>
      <c r="M193" s="390">
        <f>-VLOOKUP(CONCATENATE($B$181,$B193),Riders!$A$14:$Q$357,'II-H-4.1 Monthly'!M$11,FALSE)</f>
        <v>-104948.69</v>
      </c>
      <c r="N193" s="390">
        <f>-VLOOKUP(CONCATENATE($B$181,$B193),Riders!$A$14:$Q$357,'II-H-4.1 Monthly'!N$11,FALSE)</f>
        <v>-105552.31999999999</v>
      </c>
      <c r="O193" s="390">
        <f>-VLOOKUP(CONCATENATE($B$181,$B193),Riders!$A$14:$Q$357,'II-H-4.1 Monthly'!O$11,FALSE)</f>
        <v>-114185.59000000001</v>
      </c>
      <c r="P193" s="158">
        <f>SUM(D193:O193)</f>
        <v>-1200696.0600000003</v>
      </c>
      <c r="Q193" s="137"/>
      <c r="R193" s="436"/>
      <c r="S193" s="89"/>
      <c r="T193" s="89"/>
    </row>
    <row r="194" spans="1:20">
      <c r="A194" s="386">
        <v>8</v>
      </c>
      <c r="B194" s="87" t="s">
        <v>148</v>
      </c>
      <c r="C194" s="157" t="s">
        <v>5</v>
      </c>
      <c r="D194" s="390">
        <f>-VLOOKUP(CONCATENATE($B$181,$B194),Riders!$A$14:$Q$357,'II-H-4.1 Monthly'!D$11,FALSE)</f>
        <v>-178.25</v>
      </c>
      <c r="E194" s="390">
        <f>-VLOOKUP(CONCATENATE($B$181,$B194),Riders!$A$14:$Q$357,'II-H-4.1 Monthly'!E$11,FALSE)</f>
        <v>-171.16</v>
      </c>
      <c r="F194" s="390">
        <f>-VLOOKUP(CONCATENATE($B$181,$B194),Riders!$A$14:$Q$357,'II-H-4.1 Monthly'!F$11,FALSE)</f>
        <v>-157.88</v>
      </c>
      <c r="G194" s="390">
        <f>-VLOOKUP(CONCATENATE($B$181,$B194),Riders!$A$14:$Q$357,'II-H-4.1 Monthly'!G$11,FALSE)</f>
        <v>-145.88</v>
      </c>
      <c r="H194" s="390">
        <f>-VLOOKUP(CONCATENATE($B$181,$B194),Riders!$A$14:$Q$357,'II-H-4.1 Monthly'!H$11,FALSE)</f>
        <v>-146.69</v>
      </c>
      <c r="I194" s="390">
        <f>-VLOOKUP(CONCATENATE($B$181,$B194),Riders!$A$14:$Q$357,'II-H-4.1 Monthly'!I$11,FALSE)</f>
        <v>-148.05000000000001</v>
      </c>
      <c r="J194" s="390">
        <f>-VLOOKUP(CONCATENATE($B$181,$B194),Riders!$A$14:$Q$357,'II-H-4.1 Monthly'!J$11,FALSE)</f>
        <v>-150.82</v>
      </c>
      <c r="K194" s="390">
        <f>-VLOOKUP(CONCATENATE($B$181,$B194),Riders!$A$14:$Q$357,'II-H-4.1 Monthly'!K$11,FALSE)</f>
        <v>-160.57999999999998</v>
      </c>
      <c r="L194" s="390">
        <f>-VLOOKUP(CONCATENATE($B$181,$B194),Riders!$A$14:$Q$357,'II-H-4.1 Monthly'!L$11,FALSE)</f>
        <v>-166.06</v>
      </c>
      <c r="M194" s="390">
        <f>-VLOOKUP(CONCATENATE($B$181,$B194),Riders!$A$14:$Q$357,'II-H-4.1 Monthly'!M$11,FALSE)</f>
        <v>-167.12000000000003</v>
      </c>
      <c r="N194" s="390">
        <f>-VLOOKUP(CONCATENATE($B$181,$B194),Riders!$A$14:$Q$357,'II-H-4.1 Monthly'!N$11,FALSE)</f>
        <v>-164.57999999999998</v>
      </c>
      <c r="O194" s="390">
        <f>-VLOOKUP(CONCATENATE($B$181,$B194),Riders!$A$14:$Q$357,'II-H-4.1 Monthly'!O$11,FALSE)</f>
        <v>-176.92</v>
      </c>
      <c r="P194" s="158">
        <f t="shared" ref="P194:P195" si="70">SUM(D194:O194)</f>
        <v>-1933.9899999999998</v>
      </c>
      <c r="Q194" s="137"/>
      <c r="R194" s="436"/>
      <c r="S194" s="89"/>
      <c r="T194" s="89"/>
    </row>
    <row r="195" spans="1:20">
      <c r="A195" s="386">
        <v>9</v>
      </c>
      <c r="B195" s="87" t="s">
        <v>149</v>
      </c>
      <c r="C195" s="157" t="s">
        <v>5</v>
      </c>
      <c r="D195" s="390">
        <f>-VLOOKUP(CONCATENATE($B$181,$B195),Riders!$A$14:$Q$357,'II-H-4.1 Monthly'!D$11,FALSE)</f>
        <v>-16318.069999999998</v>
      </c>
      <c r="E195" s="390">
        <f>-VLOOKUP(CONCATENATE($B$181,$B195),Riders!$A$14:$Q$357,'II-H-4.1 Monthly'!E$11,FALSE)</f>
        <v>-16534.730000000003</v>
      </c>
      <c r="F195" s="390">
        <f>-VLOOKUP(CONCATENATE($B$181,$B195),Riders!$A$14:$Q$357,'II-H-4.1 Monthly'!F$11,FALSE)</f>
        <v>-16158.789999999997</v>
      </c>
      <c r="G195" s="390">
        <f>-VLOOKUP(CONCATENATE($B$181,$B195),Riders!$A$14:$Q$357,'II-H-4.1 Monthly'!G$11,FALSE)</f>
        <v>-16337.689999999997</v>
      </c>
      <c r="H195" s="390">
        <f>-VLOOKUP(CONCATENATE($B$181,$B195),Riders!$A$14:$Q$357,'II-H-4.1 Monthly'!H$11,FALSE)</f>
        <v>-15991.619999999997</v>
      </c>
      <c r="I195" s="390">
        <f>-VLOOKUP(CONCATENATE($B$181,$B195),Riders!$A$14:$Q$357,'II-H-4.1 Monthly'!I$11,FALSE)</f>
        <v>-16068.009999999998</v>
      </c>
      <c r="J195" s="390">
        <f>-VLOOKUP(CONCATENATE($B$181,$B195),Riders!$A$14:$Q$357,'II-H-4.1 Monthly'!J$11,FALSE)</f>
        <v>-15906.05</v>
      </c>
      <c r="K195" s="390">
        <f>-VLOOKUP(CONCATENATE($B$181,$B195),Riders!$A$14:$Q$357,'II-H-4.1 Monthly'!K$11,FALSE)</f>
        <v>-15979.360000000002</v>
      </c>
      <c r="L195" s="390">
        <f>-VLOOKUP(CONCATENATE($B$181,$B195),Riders!$A$14:$Q$357,'II-H-4.1 Monthly'!L$11,FALSE)</f>
        <v>-17261.169999999995</v>
      </c>
      <c r="M195" s="390">
        <f>-VLOOKUP(CONCATENATE($B$181,$B195),Riders!$A$14:$Q$357,'II-H-4.1 Monthly'!M$11,FALSE)</f>
        <v>-15992.780000000002</v>
      </c>
      <c r="N195" s="390">
        <f>-VLOOKUP(CONCATENATE($B$181,$B195),Riders!$A$14:$Q$357,'II-H-4.1 Monthly'!N$11,FALSE)</f>
        <v>-16112.050000000001</v>
      </c>
      <c r="O195" s="390">
        <f>-VLOOKUP(CONCATENATE($B$181,$B195),Riders!$A$14:$Q$357,'II-H-4.1 Monthly'!O$11,FALSE)</f>
        <v>-18504.919999999998</v>
      </c>
      <c r="P195" s="158">
        <f t="shared" si="70"/>
        <v>-197165.24</v>
      </c>
      <c r="Q195" s="137"/>
      <c r="R195" s="436"/>
      <c r="S195" s="89"/>
      <c r="T195" s="89"/>
    </row>
    <row r="196" spans="1:20">
      <c r="A196" s="386">
        <v>10</v>
      </c>
      <c r="B196" s="87" t="s">
        <v>19</v>
      </c>
      <c r="C196" s="157"/>
      <c r="D196" s="391">
        <f>SUM(D192:D195)</f>
        <v>-122725.18000000001</v>
      </c>
      <c r="E196" s="391">
        <f t="shared" ref="E196" si="71">SUM(E192:E195)</f>
        <v>-122533.41</v>
      </c>
      <c r="F196" s="391">
        <f t="shared" ref="F196" si="72">SUM(F192:F195)</f>
        <v>-117988.63</v>
      </c>
      <c r="G196" s="391">
        <f t="shared" ref="G196" si="73">SUM(G192:G195)</f>
        <v>-119712.1</v>
      </c>
      <c r="H196" s="391">
        <f t="shared" ref="H196" si="74">SUM(H192:H195)</f>
        <v>-115805.67000000001</v>
      </c>
      <c r="I196" s="391">
        <f t="shared" ref="I196" si="75">SUM(I192:I195)</f>
        <v>-124841.54000000001</v>
      </c>
      <c r="J196" s="391">
        <f t="shared" ref="J196" si="76">SUM(J192:J195)</f>
        <v>-116954.1</v>
      </c>
      <c r="K196" s="391">
        <f t="shared" ref="K196" si="77">SUM(K192:K195)</f>
        <v>-127578.88</v>
      </c>
      <c r="L196" s="391">
        <f>SUM(L192:L195)</f>
        <v>-126984.48000000001</v>
      </c>
      <c r="M196" s="391">
        <f t="shared" ref="M196" si="78">SUM(M192:M195)</f>
        <v>-129871.87999999999</v>
      </c>
      <c r="N196" s="391">
        <f t="shared" ref="N196" si="79">SUM(N192:N195)</f>
        <v>-130189.29</v>
      </c>
      <c r="O196" s="391">
        <f>SUM(O192:O195)</f>
        <v>-142433.54</v>
      </c>
      <c r="P196" s="391">
        <f t="shared" ref="P196" si="80">SUM(P192:P195)</f>
        <v>-1497618.7000000002</v>
      </c>
      <c r="Q196" s="89"/>
      <c r="R196" s="89"/>
      <c r="S196" s="89"/>
      <c r="T196" s="89"/>
    </row>
    <row r="197" spans="1:20">
      <c r="A197" s="386"/>
      <c r="B197" s="87"/>
      <c r="C197" s="157"/>
      <c r="D197" s="177"/>
      <c r="E197" s="177"/>
      <c r="F197" s="177"/>
      <c r="G197" s="177"/>
      <c r="H197" s="177"/>
      <c r="I197" s="177"/>
      <c r="J197" s="177"/>
      <c r="K197" s="177"/>
      <c r="L197" s="177"/>
      <c r="M197" s="177"/>
      <c r="N197" s="177"/>
      <c r="O197" s="177"/>
      <c r="P197" s="101"/>
      <c r="Q197" s="89"/>
      <c r="R197" s="89"/>
      <c r="S197" s="89"/>
      <c r="T197" s="89"/>
    </row>
    <row r="198" spans="1:20">
      <c r="A198" s="386">
        <v>11</v>
      </c>
      <c r="B198" s="131" t="s">
        <v>86</v>
      </c>
      <c r="C198" s="157" t="s">
        <v>6</v>
      </c>
      <c r="D198" s="177">
        <f>-VLOOKUP(CONCATENATE($B$181,$B198),Riders!$A$14:$Q$357,'II-H-4.1 Monthly'!D$11,FALSE)</f>
        <v>0</v>
      </c>
      <c r="E198" s="177">
        <f>-VLOOKUP(CONCATENATE($B$181,$B198),Riders!$A$14:$Q$357,'II-H-4.1 Monthly'!E$11,FALSE)</f>
        <v>0</v>
      </c>
      <c r="F198" s="177">
        <f>-VLOOKUP(CONCATENATE($B$181,$B198),Riders!$A$14:$Q$357,'II-H-4.1 Monthly'!F$11,FALSE)</f>
        <v>0</v>
      </c>
      <c r="G198" s="177">
        <f>-VLOOKUP(CONCATENATE($B$181,$B198),Riders!$A$14:$Q$357,'II-H-4.1 Monthly'!G$11,FALSE)</f>
        <v>0</v>
      </c>
      <c r="H198" s="177">
        <f>-VLOOKUP(CONCATENATE($B$181,$B198),Riders!$A$14:$Q$357,'II-H-4.1 Monthly'!H$11,FALSE)</f>
        <v>0</v>
      </c>
      <c r="I198" s="177">
        <f>-VLOOKUP(CONCATENATE($B$181,$B198),Riders!$A$14:$Q$357,'II-H-4.1 Monthly'!I$11,FALSE)</f>
        <v>0</v>
      </c>
      <c r="J198" s="177">
        <f>-VLOOKUP(CONCATENATE($B$181,$B198),Riders!$A$14:$Q$357,'II-H-4.1 Monthly'!J$11,FALSE)</f>
        <v>0</v>
      </c>
      <c r="K198" s="177">
        <f>-VLOOKUP(CONCATENATE($B$181,$B198),Riders!$A$14:$Q$357,'II-H-4.1 Monthly'!K$11,FALSE)</f>
        <v>0</v>
      </c>
      <c r="L198" s="177">
        <f>-VLOOKUP(CONCATENATE($B$181,$B198),Riders!$A$14:$Q$357,'II-H-4.1 Monthly'!L$11,FALSE)</f>
        <v>0</v>
      </c>
      <c r="M198" s="177">
        <f>-VLOOKUP(CONCATENATE($B$181,$B198),Riders!$A$14:$Q$357,'II-H-4.1 Monthly'!M$11,FALSE)</f>
        <v>0</v>
      </c>
      <c r="N198" s="177">
        <f>-VLOOKUP(CONCATENATE($B$181,$B198),Riders!$A$14:$Q$357,'II-H-4.1 Monthly'!N$11,FALSE)</f>
        <v>0</v>
      </c>
      <c r="O198" s="177">
        <f>-VLOOKUP(CONCATENATE($B$181,$B198),Riders!$A$14:$Q$357,'II-H-4.1 Monthly'!O$11,FALSE)</f>
        <v>0</v>
      </c>
      <c r="P198" s="101">
        <f>SUM(D198:O198)</f>
        <v>0</v>
      </c>
      <c r="Q198" s="89"/>
    </row>
    <row r="199" spans="1:20">
      <c r="B199" s="87"/>
      <c r="C199" s="99"/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  <c r="O199" s="177"/>
      <c r="P199" s="177"/>
    </row>
    <row r="200" spans="1:20">
      <c r="A200" s="386">
        <v>12</v>
      </c>
      <c r="B200" s="89" t="s">
        <v>21</v>
      </c>
      <c r="C200" s="157" t="s">
        <v>4</v>
      </c>
      <c r="D200" s="429">
        <f>-VLOOKUP(CONCATENATE($B$181,$B200),Riders!$A$14:$Q$357,'II-H-4.1 Monthly'!D$11,FALSE)</f>
        <v>-138925.97</v>
      </c>
      <c r="E200" s="429">
        <f>-VLOOKUP(CONCATENATE($B$181,$B200),Riders!$A$14:$Q$357,'II-H-4.1 Monthly'!E$11,FALSE)</f>
        <v>-139668.68999999997</v>
      </c>
      <c r="F200" s="429">
        <f>-VLOOKUP(CONCATENATE($B$181,$B200),Riders!$A$14:$Q$357,'II-H-4.1 Monthly'!F$11,FALSE)</f>
        <v>-138418.52000000002</v>
      </c>
      <c r="G200" s="429">
        <f>-VLOOKUP(CONCATENATE($B$181,$B200),Riders!$A$14:$Q$357,'II-H-4.1 Monthly'!G$11,FALSE)</f>
        <v>-138718.44</v>
      </c>
      <c r="H200" s="429">
        <f>-VLOOKUP(CONCATENATE($B$181,$B200),Riders!$A$14:$Q$357,'II-H-4.1 Monthly'!H$11,FALSE)</f>
        <v>-137798.60999999999</v>
      </c>
      <c r="I200" s="429">
        <f>-VLOOKUP(CONCATENATE($B$181,$B200),Riders!$A$14:$Q$357,'II-H-4.1 Monthly'!I$11,FALSE)</f>
        <v>-138333.34999999995</v>
      </c>
      <c r="J200" s="429">
        <f>-VLOOKUP(CONCATENATE($B$181,$B200),Riders!$A$14:$Q$357,'II-H-4.1 Monthly'!J$11,FALSE)</f>
        <v>-138246.53999999998</v>
      </c>
      <c r="K200" s="429">
        <f>-VLOOKUP(CONCATENATE($B$181,$B200),Riders!$A$14:$Q$357,'II-H-4.1 Monthly'!K$11,FALSE)</f>
        <v>-138264.62</v>
      </c>
      <c r="L200" s="429">
        <f>-VLOOKUP(CONCATENATE($B$181,$B200),Riders!$A$14:$Q$357,'II-H-4.1 Monthly'!L$11,FALSE)</f>
        <v>-137656.27000000002</v>
      </c>
      <c r="M200" s="429">
        <f>-VLOOKUP(CONCATENATE($B$181,$B200),Riders!$A$14:$Q$357,'II-H-4.1 Monthly'!M$11,FALSE)</f>
        <v>-138165.10999999999</v>
      </c>
      <c r="N200" s="429">
        <f>-VLOOKUP(CONCATENATE($B$181,$B200),Riders!$A$14:$Q$357,'II-H-4.1 Monthly'!N$11,FALSE)</f>
        <v>-137043.87</v>
      </c>
      <c r="O200" s="429">
        <f>-VLOOKUP(CONCATENATE($B$181,$B200),Riders!$A$14:$Q$357,'II-H-4.1 Monthly'!O$11,FALSE)</f>
        <v>-156281.30999999997</v>
      </c>
      <c r="P200" s="101">
        <f>SUM(D200:O200)</f>
        <v>-1677521.2999999998</v>
      </c>
    </row>
    <row r="201" spans="1:20">
      <c r="A201" s="386"/>
      <c r="B201" s="87"/>
      <c r="C201" s="99"/>
      <c r="D201" s="177"/>
      <c r="E201" s="177"/>
      <c r="F201" s="177"/>
      <c r="G201" s="177"/>
      <c r="H201" s="177"/>
      <c r="I201" s="177"/>
      <c r="J201" s="177"/>
      <c r="K201" s="177"/>
      <c r="L201" s="177"/>
      <c r="M201" s="177"/>
      <c r="N201" s="177"/>
      <c r="O201" s="177"/>
      <c r="P201" s="177"/>
    </row>
    <row r="202" spans="1:20">
      <c r="A202" s="386">
        <v>13</v>
      </c>
      <c r="B202" s="393" t="s">
        <v>22</v>
      </c>
      <c r="C202" s="362"/>
      <c r="D202" s="394">
        <f>D200+D198+D196+D190+D186+D184</f>
        <v>-2150481.5699999998</v>
      </c>
      <c r="E202" s="394">
        <f>E200+E198+E196+E190+E186+E184</f>
        <v>-1887416.13</v>
      </c>
      <c r="F202" s="394">
        <f t="shared" ref="F202:O202" si="81">F200+F198+F196+F190+F186+F184</f>
        <v>-2000101.9</v>
      </c>
      <c r="G202" s="394">
        <f t="shared" si="81"/>
        <v>-2076523.4300000002</v>
      </c>
      <c r="H202" s="394">
        <f t="shared" si="81"/>
        <v>-1919373.81</v>
      </c>
      <c r="I202" s="394">
        <f t="shared" si="81"/>
        <v>-1881839.45</v>
      </c>
      <c r="J202" s="394">
        <f t="shared" si="81"/>
        <v>-1872308.73</v>
      </c>
      <c r="K202" s="394">
        <f t="shared" si="81"/>
        <v>-1966297.8400000003</v>
      </c>
      <c r="L202" s="394">
        <f t="shared" si="81"/>
        <v>-2333065.1999999997</v>
      </c>
      <c r="M202" s="394">
        <f t="shared" si="81"/>
        <v>-2733431.4299999997</v>
      </c>
      <c r="N202" s="394">
        <f t="shared" si="81"/>
        <v>-2734977.35</v>
      </c>
      <c r="O202" s="394">
        <f t="shared" si="81"/>
        <v>-2989366.4400000004</v>
      </c>
      <c r="P202" s="394">
        <f>P200+P198+P196+P190+P186+P184</f>
        <v>-26545183.279999997</v>
      </c>
    </row>
    <row r="203" spans="1:20">
      <c r="B203" s="362"/>
      <c r="C203" s="362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</row>
    <row r="204" spans="1:20">
      <c r="A204" s="386">
        <v>14</v>
      </c>
      <c r="B204" s="89" t="s">
        <v>69</v>
      </c>
      <c r="C204" s="157" t="s">
        <v>5</v>
      </c>
      <c r="D204" s="177"/>
      <c r="E204" s="177"/>
      <c r="F204" s="177"/>
      <c r="G204" s="177"/>
      <c r="H204" s="177"/>
      <c r="I204" s="177"/>
      <c r="J204" s="177"/>
      <c r="K204" s="177"/>
      <c r="L204" s="177"/>
      <c r="M204" s="177"/>
      <c r="N204" s="177"/>
      <c r="O204" s="177"/>
      <c r="P204" s="101">
        <f>SUM(D204:O204)</f>
        <v>0</v>
      </c>
    </row>
    <row r="205" spans="1:20">
      <c r="A205" s="386">
        <v>15</v>
      </c>
      <c r="B205" s="89" t="s">
        <v>70</v>
      </c>
      <c r="C205" s="157" t="s">
        <v>6</v>
      </c>
      <c r="D205" s="388"/>
      <c r="E205" s="388"/>
      <c r="F205" s="388"/>
      <c r="G205" s="388"/>
      <c r="H205" s="388"/>
      <c r="I205" s="388"/>
      <c r="J205" s="388"/>
      <c r="K205" s="388"/>
      <c r="L205" s="388"/>
      <c r="M205" s="388"/>
      <c r="N205" s="388"/>
      <c r="O205" s="388"/>
      <c r="P205" s="425">
        <f>SUM(D205:O205)</f>
        <v>0</v>
      </c>
    </row>
    <row r="206" spans="1:20">
      <c r="A206" s="386">
        <v>16</v>
      </c>
      <c r="B206" s="393" t="s">
        <v>23</v>
      </c>
      <c r="C206" s="361"/>
      <c r="D206" s="101">
        <f t="shared" ref="D206:P206" si="82">SUM(D204:D205)</f>
        <v>0</v>
      </c>
      <c r="E206" s="101">
        <f t="shared" si="82"/>
        <v>0</v>
      </c>
      <c r="F206" s="101">
        <f t="shared" si="82"/>
        <v>0</v>
      </c>
      <c r="G206" s="101">
        <f t="shared" si="82"/>
        <v>0</v>
      </c>
      <c r="H206" s="101">
        <f t="shared" si="82"/>
        <v>0</v>
      </c>
      <c r="I206" s="101">
        <f t="shared" si="82"/>
        <v>0</v>
      </c>
      <c r="J206" s="101">
        <f t="shared" si="82"/>
        <v>0</v>
      </c>
      <c r="K206" s="101">
        <f t="shared" si="82"/>
        <v>0</v>
      </c>
      <c r="L206" s="101">
        <f t="shared" si="82"/>
        <v>0</v>
      </c>
      <c r="M206" s="101">
        <f t="shared" si="82"/>
        <v>0</v>
      </c>
      <c r="N206" s="101">
        <f t="shared" si="82"/>
        <v>0</v>
      </c>
      <c r="O206" s="101">
        <f t="shared" si="82"/>
        <v>0</v>
      </c>
      <c r="P206" s="101">
        <f t="shared" si="82"/>
        <v>0</v>
      </c>
    </row>
    <row r="207" spans="1:20">
      <c r="A207" s="386"/>
      <c r="B207" s="87"/>
      <c r="C207" s="396"/>
      <c r="D207" s="177"/>
      <c r="E207" s="177"/>
      <c r="F207" s="177"/>
      <c r="G207" s="177"/>
      <c r="H207" s="177"/>
      <c r="I207" s="177"/>
      <c r="J207" s="177"/>
      <c r="K207" s="177"/>
      <c r="L207" s="177"/>
      <c r="M207" s="177"/>
      <c r="N207" s="177"/>
      <c r="O207" s="177"/>
      <c r="P207" s="177"/>
    </row>
    <row r="208" spans="1:20" ht="12" thickBot="1">
      <c r="A208" s="386">
        <v>17</v>
      </c>
      <c r="B208" s="147" t="s">
        <v>92</v>
      </c>
      <c r="C208" s="361"/>
      <c r="D208" s="426">
        <f t="shared" ref="D208" si="83">+D206+D202</f>
        <v>-2150481.5699999998</v>
      </c>
      <c r="E208" s="426">
        <f>+E206+E202</f>
        <v>-1887416.13</v>
      </c>
      <c r="F208" s="426">
        <f t="shared" ref="F208:O208" si="84">+F206+F202</f>
        <v>-2000101.9</v>
      </c>
      <c r="G208" s="426">
        <f t="shared" si="84"/>
        <v>-2076523.4300000002</v>
      </c>
      <c r="H208" s="426">
        <f t="shared" si="84"/>
        <v>-1919373.81</v>
      </c>
      <c r="I208" s="426">
        <f t="shared" si="84"/>
        <v>-1881839.45</v>
      </c>
      <c r="J208" s="426">
        <f t="shared" si="84"/>
        <v>-1872308.73</v>
      </c>
      <c r="K208" s="426">
        <f t="shared" si="84"/>
        <v>-1966297.8400000003</v>
      </c>
      <c r="L208" s="426">
        <f t="shared" si="84"/>
        <v>-2333065.1999999997</v>
      </c>
      <c r="M208" s="426">
        <f t="shared" si="84"/>
        <v>-2733431.4299999997</v>
      </c>
      <c r="N208" s="426">
        <f t="shared" si="84"/>
        <v>-2734977.35</v>
      </c>
      <c r="O208" s="426">
        <f t="shared" si="84"/>
        <v>-2989366.4400000004</v>
      </c>
      <c r="P208" s="426">
        <f>+P206+P202</f>
        <v>-26545183.279999997</v>
      </c>
      <c r="Q208" s="419"/>
    </row>
    <row r="209" spans="1:145" ht="12" thickTop="1">
      <c r="A209" s="386"/>
      <c r="B209" s="147"/>
      <c r="C209" s="361"/>
      <c r="D209" s="433"/>
      <c r="E209" s="433"/>
      <c r="F209" s="433"/>
      <c r="G209" s="433"/>
      <c r="H209" s="433"/>
      <c r="I209" s="433"/>
      <c r="J209" s="433"/>
      <c r="K209" s="433"/>
      <c r="L209" s="433"/>
      <c r="M209" s="433"/>
      <c r="N209" s="433"/>
      <c r="O209" s="433"/>
      <c r="P209" s="158"/>
      <c r="Q209" s="419"/>
    </row>
    <row r="210" spans="1:145">
      <c r="A210" s="386"/>
      <c r="B210" s="147"/>
      <c r="C210" s="361"/>
      <c r="D210" s="433"/>
      <c r="E210" s="433"/>
      <c r="F210" s="433"/>
      <c r="G210" s="433"/>
      <c r="H210" s="433"/>
      <c r="I210" s="433"/>
      <c r="J210" s="433"/>
      <c r="K210" s="433"/>
      <c r="L210" s="433"/>
      <c r="M210" s="433"/>
      <c r="N210" s="433"/>
      <c r="O210" s="433"/>
      <c r="P210" s="158"/>
      <c r="Q210" s="419"/>
    </row>
    <row r="211" spans="1:145" ht="20.25" customHeight="1">
      <c r="B211" s="371" t="s">
        <v>91</v>
      </c>
      <c r="C211" s="371"/>
      <c r="D211" s="371"/>
      <c r="E211" s="371"/>
      <c r="F211" s="371"/>
      <c r="G211" s="371"/>
      <c r="H211" s="371"/>
      <c r="I211" s="371"/>
      <c r="J211" s="371"/>
      <c r="K211" s="371"/>
      <c r="L211" s="371"/>
      <c r="M211" s="371"/>
      <c r="N211" s="371"/>
      <c r="O211" s="371"/>
      <c r="P211" s="427"/>
    </row>
    <row r="212" spans="1:145" s="87" customFormat="1">
      <c r="B212" s="371" t="s">
        <v>303</v>
      </c>
      <c r="C212" s="371"/>
      <c r="D212" s="371"/>
      <c r="E212" s="371"/>
      <c r="F212" s="371"/>
      <c r="G212" s="371"/>
      <c r="H212" s="371"/>
      <c r="I212" s="371"/>
      <c r="J212" s="371"/>
      <c r="K212" s="371"/>
      <c r="L212" s="371"/>
      <c r="M212" s="371"/>
      <c r="N212" s="371"/>
      <c r="O212" s="371"/>
      <c r="P212" s="88" t="s">
        <v>1</v>
      </c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  <c r="AJ212" s="89"/>
      <c r="AK212" s="89"/>
      <c r="AL212" s="89"/>
      <c r="AM212" s="89"/>
      <c r="AN212" s="89"/>
      <c r="AO212" s="89"/>
      <c r="AP212" s="89"/>
      <c r="AQ212" s="89"/>
      <c r="AR212" s="89"/>
      <c r="AS212" s="89"/>
      <c r="AT212" s="89"/>
      <c r="AU212" s="89"/>
      <c r="AV212" s="89"/>
      <c r="AW212" s="89"/>
      <c r="AX212" s="89"/>
      <c r="AY212" s="89"/>
      <c r="AZ212" s="89"/>
      <c r="BA212" s="89"/>
      <c r="BB212" s="89"/>
      <c r="BC212" s="89"/>
      <c r="BD212" s="89"/>
      <c r="BE212" s="89"/>
      <c r="BF212" s="89"/>
      <c r="BG212" s="89"/>
      <c r="BH212" s="89"/>
      <c r="BI212" s="89"/>
      <c r="BJ212" s="89"/>
      <c r="BK212" s="89"/>
      <c r="BL212" s="89"/>
      <c r="BM212" s="89"/>
      <c r="BN212" s="89"/>
      <c r="BO212" s="89"/>
      <c r="BP212" s="89"/>
      <c r="BQ212" s="89"/>
      <c r="BR212" s="89"/>
      <c r="BS212" s="89"/>
      <c r="BT212" s="89"/>
      <c r="BU212" s="89"/>
      <c r="BV212" s="89"/>
      <c r="BW212" s="89"/>
      <c r="BX212" s="89"/>
      <c r="BY212" s="89"/>
      <c r="BZ212" s="89"/>
      <c r="CA212" s="89"/>
      <c r="CB212" s="89"/>
      <c r="CC212" s="89"/>
      <c r="CD212" s="89"/>
      <c r="CE212" s="89"/>
      <c r="CF212" s="89"/>
      <c r="CG212" s="89"/>
      <c r="CH212" s="89"/>
      <c r="CI212" s="89"/>
      <c r="CJ212" s="89"/>
      <c r="CK212" s="89"/>
      <c r="CL212" s="89"/>
      <c r="CM212" s="89"/>
      <c r="CN212" s="89"/>
      <c r="CO212" s="89"/>
      <c r="CP212" s="89"/>
      <c r="CQ212" s="89"/>
      <c r="CR212" s="89"/>
      <c r="CS212" s="89"/>
      <c r="CT212" s="89"/>
      <c r="CU212" s="89"/>
      <c r="CV212" s="89"/>
      <c r="CW212" s="89"/>
      <c r="CX212" s="89"/>
      <c r="CY212" s="89"/>
      <c r="CZ212" s="89"/>
      <c r="DA212" s="89"/>
      <c r="DB212" s="89"/>
      <c r="DC212" s="89"/>
      <c r="DD212" s="89"/>
      <c r="DE212" s="89"/>
      <c r="DF212" s="89"/>
      <c r="DG212" s="89"/>
      <c r="DH212" s="89"/>
      <c r="DI212" s="89"/>
      <c r="DJ212" s="89"/>
      <c r="DK212" s="89"/>
      <c r="DL212" s="89"/>
      <c r="DM212" s="89"/>
      <c r="DN212" s="89"/>
      <c r="DO212" s="89"/>
      <c r="DP212" s="89"/>
      <c r="DQ212" s="89"/>
      <c r="DR212" s="89"/>
      <c r="DS212" s="89"/>
      <c r="DT212" s="89"/>
      <c r="DU212" s="89"/>
      <c r="DV212" s="89"/>
      <c r="DW212" s="89"/>
      <c r="DX212" s="89"/>
      <c r="DY212" s="89"/>
      <c r="DZ212" s="89"/>
      <c r="EA212" s="89"/>
      <c r="EB212" s="89"/>
      <c r="EC212" s="89"/>
      <c r="ED212" s="89"/>
      <c r="EE212" s="89"/>
      <c r="EF212" s="89"/>
      <c r="EG212" s="89"/>
      <c r="EH212" s="89"/>
      <c r="EI212" s="89"/>
      <c r="EJ212" s="89"/>
      <c r="EK212" s="89"/>
      <c r="EL212" s="89"/>
      <c r="EM212" s="89"/>
      <c r="EN212" s="89"/>
      <c r="EO212" s="89"/>
    </row>
    <row r="213" spans="1:145">
      <c r="B213" s="371" t="str">
        <f>+B179</f>
        <v>FOR TEST YEAR ENDED SEPTEMBER 30, 2023</v>
      </c>
      <c r="C213" s="371"/>
      <c r="D213" s="371"/>
      <c r="E213" s="371"/>
      <c r="F213" s="371"/>
      <c r="G213" s="371"/>
      <c r="H213" s="371"/>
      <c r="I213" s="371"/>
      <c r="J213" s="371"/>
      <c r="K213" s="371"/>
      <c r="L213" s="371"/>
      <c r="M213" s="371"/>
      <c r="N213" s="371"/>
      <c r="O213" s="371"/>
      <c r="P213" s="87" t="s">
        <v>1</v>
      </c>
    </row>
    <row r="214" spans="1:145">
      <c r="B214" s="131"/>
      <c r="C214" s="361"/>
      <c r="D214" s="361"/>
      <c r="E214" s="361"/>
      <c r="F214" s="361"/>
      <c r="G214" s="361"/>
      <c r="H214" s="361"/>
      <c r="I214" s="361"/>
      <c r="J214" s="361"/>
      <c r="K214" s="361"/>
      <c r="L214" s="361"/>
      <c r="M214" s="361"/>
      <c r="N214" s="361"/>
      <c r="O214" s="361"/>
      <c r="P214" s="87"/>
    </row>
    <row r="215" spans="1:145">
      <c r="B215" s="147" t="str">
        <f>Riders!C214</f>
        <v>TDCR</v>
      </c>
      <c r="C215" s="432"/>
      <c r="D215" s="428"/>
      <c r="E215" s="405"/>
      <c r="F215" s="405"/>
      <c r="G215" s="428"/>
      <c r="H215" s="177"/>
      <c r="I215" s="177"/>
      <c r="J215" s="177"/>
      <c r="K215" s="177"/>
      <c r="L215" s="177"/>
      <c r="M215" s="177"/>
      <c r="N215" s="177"/>
      <c r="O215" s="177"/>
      <c r="P215" s="405"/>
    </row>
    <row r="216" spans="1:145">
      <c r="A216" s="359" t="s">
        <v>8</v>
      </c>
      <c r="B216" s="361" t="s">
        <v>0</v>
      </c>
      <c r="C216" s="361" t="s">
        <v>7</v>
      </c>
      <c r="D216" s="406" t="str">
        <f>$D$13</f>
        <v>Oct-22</v>
      </c>
      <c r="E216" s="406" t="str">
        <f>$E$13</f>
        <v>Nov-22</v>
      </c>
      <c r="F216" s="406" t="str">
        <f>$F$13</f>
        <v>Dec-22</v>
      </c>
      <c r="G216" s="406" t="str">
        <f>$G$13</f>
        <v>Jan-23</v>
      </c>
      <c r="H216" s="406" t="str">
        <f>$H$13</f>
        <v>Feb-23</v>
      </c>
      <c r="I216" s="406" t="str">
        <f>$I$13</f>
        <v>Mar-23</v>
      </c>
      <c r="J216" s="406" t="str">
        <f>$J$13</f>
        <v>Apr-23</v>
      </c>
      <c r="K216" s="406" t="str">
        <f>$K$13</f>
        <v>May-23</v>
      </c>
      <c r="L216" s="406" t="str">
        <f>$L$13</f>
        <v>Jun-23</v>
      </c>
      <c r="M216" s="406" t="str">
        <f>$M$13</f>
        <v>Jul-23</v>
      </c>
      <c r="N216" s="406" t="str">
        <f>$N$13</f>
        <v>Aug-23</v>
      </c>
      <c r="O216" s="406" t="str">
        <f>$O$13</f>
        <v>Sep-23</v>
      </c>
      <c r="P216" s="406" t="s">
        <v>2</v>
      </c>
    </row>
    <row r="217" spans="1:145">
      <c r="B217" s="361"/>
      <c r="C217" s="361"/>
      <c r="D217" s="406"/>
      <c r="E217" s="406"/>
      <c r="F217" s="406"/>
      <c r="G217" s="406"/>
      <c r="H217" s="406"/>
      <c r="I217" s="406"/>
      <c r="J217" s="406"/>
      <c r="K217" s="406"/>
      <c r="L217" s="406"/>
      <c r="M217" s="406"/>
      <c r="N217" s="406"/>
      <c r="O217" s="406"/>
      <c r="P217" s="406"/>
    </row>
    <row r="218" spans="1:145">
      <c r="A218" s="386" t="s">
        <v>9</v>
      </c>
      <c r="B218" s="87" t="s">
        <v>17</v>
      </c>
      <c r="C218" s="99" t="s">
        <v>4</v>
      </c>
      <c r="D218" s="424">
        <f>-VLOOKUP(CONCATENATE($B$215,$B218),Riders!$A$14:$Q$357,'II-H-4.1 Monthly'!D$11,FALSE)</f>
        <v>-24492850.780000001</v>
      </c>
      <c r="E218" s="424">
        <f>-VLOOKUP(CONCATENATE($B$215,$B218),Riders!$A$14:$Q$357,'II-H-4.1 Monthly'!E$11,FALSE)</f>
        <v>-18908018.539999999</v>
      </c>
      <c r="F218" s="424">
        <f>-VLOOKUP(CONCATENATE($B$215,$B218),Riders!$A$14:$Q$357,'II-H-4.1 Monthly'!F$11,FALSE)</f>
        <v>-22004282.390000001</v>
      </c>
      <c r="G218" s="424">
        <f>-VLOOKUP(CONCATENATE($B$215,$B218),Riders!$A$14:$Q$357,'II-H-4.1 Monthly'!G$11,FALSE)</f>
        <v>-23599014.170000002</v>
      </c>
      <c r="H218" s="424">
        <f>-VLOOKUP(CONCATENATE($B$215,$B218),Riders!$A$14:$Q$357,'II-H-4.1 Monthly'!H$11,FALSE)</f>
        <v>-20769832.869999997</v>
      </c>
      <c r="I218" s="424">
        <f>-VLOOKUP(CONCATENATE($B$215,$B218),Riders!$A$14:$Q$357,'II-H-4.1 Monthly'!I$11,FALSE)</f>
        <v>-12935410.58</v>
      </c>
      <c r="J218" s="424">
        <f>-VLOOKUP(CONCATENATE($B$215,$B218),Riders!$A$14:$Q$357,'II-H-4.1 Monthly'!J$11,FALSE)</f>
        <v>-12745411.16</v>
      </c>
      <c r="K218" s="424">
        <f>-VLOOKUP(CONCATENATE($B$215,$B218),Riders!$A$14:$Q$357,'II-H-4.1 Monthly'!K$11,FALSE)</f>
        <v>-13916403.48</v>
      </c>
      <c r="L218" s="424">
        <f>-VLOOKUP(CONCATENATE($B$215,$B218),Riders!$A$14:$Q$357,'II-H-4.1 Monthly'!L$11,FALSE)</f>
        <v>-18800057.899999999</v>
      </c>
      <c r="M218" s="424">
        <f>-VLOOKUP(CONCATENATE($B$215,$B218),Riders!$A$14:$Q$357,'II-H-4.1 Monthly'!M$11,FALSE)</f>
        <v>-24553973.530000001</v>
      </c>
      <c r="N218" s="424">
        <f>-VLOOKUP(CONCATENATE($B$215,$B218),Riders!$A$14:$Q$357,'II-H-4.1 Monthly'!N$11,FALSE)</f>
        <v>-24800261.5</v>
      </c>
      <c r="O218" s="424">
        <f>-VLOOKUP(CONCATENATE($B$215,$B218),Riders!$A$14:$Q$357,'II-H-4.1 Monthly'!O$11,FALSE)</f>
        <v>-38304487.199999996</v>
      </c>
      <c r="P218" s="424">
        <f>SUM(D218:O218)</f>
        <v>-255830004.09999999</v>
      </c>
    </row>
    <row r="219" spans="1:145">
      <c r="B219" s="87"/>
      <c r="C219" s="99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</row>
    <row r="220" spans="1:145">
      <c r="A220" s="386">
        <v>2</v>
      </c>
      <c r="B220" s="87" t="s">
        <v>20</v>
      </c>
      <c r="C220" s="99" t="s">
        <v>4</v>
      </c>
      <c r="D220" s="177">
        <f>-VLOOKUP(CONCATENATE($B$215,$B220),Riders!$A$14:$Q$357,'II-H-4.1 Monthly'!D$11,FALSE)</f>
        <v>-1044361.02</v>
      </c>
      <c r="E220" s="177">
        <f>-VLOOKUP(CONCATENATE($B$215,$B220),Riders!$A$14:$Q$357,'II-H-4.1 Monthly'!E$11,FALSE)</f>
        <v>-925479.60000000009</v>
      </c>
      <c r="F220" s="177">
        <f>-VLOOKUP(CONCATENATE($B$215,$B220),Riders!$A$14:$Q$357,'II-H-4.1 Monthly'!F$11,FALSE)</f>
        <v>-981340.03</v>
      </c>
      <c r="G220" s="177">
        <f>-VLOOKUP(CONCATENATE($B$215,$B220),Riders!$A$14:$Q$357,'II-H-4.1 Monthly'!G$11,FALSE)</f>
        <v>-992895.84000000008</v>
      </c>
      <c r="H220" s="177">
        <f>-VLOOKUP(CONCATENATE($B$215,$B220),Riders!$A$14:$Q$357,'II-H-4.1 Monthly'!H$11,FALSE)</f>
        <v>-909581.96</v>
      </c>
      <c r="I220" s="177">
        <f>-VLOOKUP(CONCATENATE($B$215,$B220),Riders!$A$14:$Q$357,'II-H-4.1 Monthly'!I$11,FALSE)</f>
        <v>-837637.39000000013</v>
      </c>
      <c r="J220" s="177">
        <f>-VLOOKUP(CONCATENATE($B$215,$B220),Riders!$A$14:$Q$357,'II-H-4.1 Monthly'!J$11,FALSE)</f>
        <v>-832887.42999999993</v>
      </c>
      <c r="K220" s="177">
        <f>-VLOOKUP(CONCATENATE($B$215,$B220),Riders!$A$14:$Q$357,'II-H-4.1 Monthly'!K$11,FALSE)</f>
        <v>-872554.57000000007</v>
      </c>
      <c r="L220" s="177">
        <f>-VLOOKUP(CONCATENATE($B$215,$B220),Riders!$A$14:$Q$357,'II-H-4.1 Monthly'!L$11,FALSE)</f>
        <v>-997274.57000000007</v>
      </c>
      <c r="M220" s="177">
        <f>-VLOOKUP(CONCATENATE($B$215,$B220),Riders!$A$14:$Q$357,'II-H-4.1 Monthly'!M$11,FALSE)</f>
        <v>-1162343.73</v>
      </c>
      <c r="N220" s="177">
        <f>-VLOOKUP(CONCATENATE($B$215,$B220),Riders!$A$14:$Q$357,'II-H-4.1 Monthly'!N$11,FALSE)</f>
        <v>-1201756.6400000001</v>
      </c>
      <c r="O220" s="177">
        <f>-VLOOKUP(CONCATENATE($B$215,$B220),Riders!$A$14:$Q$357,'II-H-4.1 Monthly'!O$11,FALSE)</f>
        <v>-1555253.7599999998</v>
      </c>
      <c r="P220" s="101">
        <f>SUM(D220:O220)</f>
        <v>-12313366.540000001</v>
      </c>
      <c r="Q220" s="434"/>
      <c r="R220" s="435"/>
    </row>
    <row r="221" spans="1:145">
      <c r="A221" s="386"/>
      <c r="B221" s="87"/>
      <c r="C221" s="99"/>
      <c r="D221" s="177"/>
      <c r="E221" s="177"/>
      <c r="F221" s="177"/>
      <c r="G221" s="177"/>
      <c r="H221" s="177"/>
      <c r="I221" s="177"/>
      <c r="J221" s="177"/>
      <c r="K221" s="177"/>
      <c r="L221" s="177"/>
      <c r="M221" s="177"/>
      <c r="N221" s="177"/>
      <c r="O221" s="177"/>
      <c r="P221" s="101"/>
      <c r="Q221" s="434"/>
      <c r="R221" s="435"/>
    </row>
    <row r="222" spans="1:145">
      <c r="A222" s="386">
        <v>3</v>
      </c>
      <c r="B222" s="87" t="s">
        <v>81</v>
      </c>
      <c r="C222" s="157" t="s">
        <v>4</v>
      </c>
      <c r="D222" s="390">
        <f>-VLOOKUP(CONCATENATE($B$215,$B222),Riders!$A$14:$Q$357,'II-H-4.1 Monthly'!D$11,FALSE)</f>
        <v>-11586592.709999999</v>
      </c>
      <c r="E222" s="390">
        <f>-VLOOKUP(CONCATENATE($B$215,$B222),Riders!$A$14:$Q$357,'II-H-4.1 Monthly'!E$11,FALSE)</f>
        <v>-11328392.760000002</v>
      </c>
      <c r="F222" s="390">
        <f>-VLOOKUP(CONCATENATE($B$215,$B222),Riders!$A$14:$Q$357,'II-H-4.1 Monthly'!F$11,FALSE)</f>
        <v>-11792781.340000002</v>
      </c>
      <c r="G222" s="390">
        <f>-VLOOKUP(CONCATENATE($B$215,$B222),Riders!$A$14:$Q$357,'II-H-4.1 Monthly'!G$11,FALSE)</f>
        <v>-11966860.970000001</v>
      </c>
      <c r="H222" s="390">
        <f>-VLOOKUP(CONCATENATE($B$215,$B222),Riders!$A$14:$Q$357,'II-H-4.1 Monthly'!H$11,FALSE)</f>
        <v>-11973774.51</v>
      </c>
      <c r="I222" s="390">
        <f>-VLOOKUP(CONCATENATE($B$215,$B222),Riders!$A$14:$Q$357,'II-H-4.1 Monthly'!I$11,FALSE)</f>
        <v>-10315242.889999999</v>
      </c>
      <c r="J222" s="390">
        <f>-VLOOKUP(CONCATENATE($B$215,$B222),Riders!$A$14:$Q$357,'II-H-4.1 Monthly'!J$11,FALSE)</f>
        <v>-10058376.76</v>
      </c>
      <c r="K222" s="390">
        <f>-VLOOKUP(CONCATENATE($B$215,$B222),Riders!$A$14:$Q$357,'II-H-4.1 Monthly'!K$11,FALSE)</f>
        <v>-9889377.4400000013</v>
      </c>
      <c r="L222" s="390">
        <f>-VLOOKUP(CONCATENATE($B$215,$B222),Riders!$A$14:$Q$357,'II-H-4.1 Monthly'!L$11,FALSE)</f>
        <v>-10332022.559999999</v>
      </c>
      <c r="M222" s="390">
        <f>-VLOOKUP(CONCATENATE($B$215,$B222),Riders!$A$14:$Q$357,'II-H-4.1 Monthly'!M$11,FALSE)</f>
        <v>-10878922.600000001</v>
      </c>
      <c r="N222" s="390">
        <f>-VLOOKUP(CONCATENATE($B$215,$B222),Riders!$A$14:$Q$357,'II-H-4.1 Monthly'!N$11,FALSE)</f>
        <v>-11025898.83</v>
      </c>
      <c r="O222" s="390">
        <f>-VLOOKUP(CONCATENATE($B$215,$B222),Riders!$A$14:$Q$357,'II-H-4.1 Monthly'!O$11,FALSE)</f>
        <v>-12965076.58</v>
      </c>
      <c r="P222" s="101">
        <f>SUM(D222:O222)</f>
        <v>-134113319.94999999</v>
      </c>
      <c r="Q222" s="87"/>
      <c r="R222" s="436"/>
      <c r="S222" s="89"/>
      <c r="T222" s="89"/>
    </row>
    <row r="223" spans="1:145">
      <c r="A223" s="386">
        <v>4</v>
      </c>
      <c r="B223" s="87" t="s">
        <v>85</v>
      </c>
      <c r="C223" s="157" t="s">
        <v>4</v>
      </c>
      <c r="D223" s="388">
        <f>-VLOOKUP(CONCATENATE($B$215,$B223),Riders!$A$14:$Q$357,'II-H-4.1 Monthly'!D$11,FALSE)</f>
        <v>-1490963.31</v>
      </c>
      <c r="E223" s="388">
        <f>-VLOOKUP(CONCATENATE($B$215,$B223),Riders!$A$14:$Q$357,'II-H-4.1 Monthly'!E$11,FALSE)</f>
        <v>-1509332.1900000002</v>
      </c>
      <c r="F223" s="388">
        <f>-VLOOKUP(CONCATENATE($B$215,$B223),Riders!$A$14:$Q$357,'II-H-4.1 Monthly'!F$11,FALSE)</f>
        <v>-1490510.92</v>
      </c>
      <c r="G223" s="388">
        <f>-VLOOKUP(CONCATENATE($B$215,$B223),Riders!$A$14:$Q$357,'II-H-4.1 Monthly'!G$11,FALSE)</f>
        <v>-1425320.1300000001</v>
      </c>
      <c r="H223" s="388">
        <f>-VLOOKUP(CONCATENATE($B$215,$B223),Riders!$A$14:$Q$357,'II-H-4.1 Monthly'!H$11,FALSE)</f>
        <v>-1419737.3900000001</v>
      </c>
      <c r="I223" s="388">
        <f>-VLOOKUP(CONCATENATE($B$215,$B223),Riders!$A$14:$Q$357,'II-H-4.1 Monthly'!I$11,FALSE)</f>
        <v>-1291509.3700000001</v>
      </c>
      <c r="J223" s="388">
        <f>-VLOOKUP(CONCATENATE($B$215,$B223),Riders!$A$14:$Q$357,'II-H-4.1 Monthly'!J$11,FALSE)</f>
        <v>-1282715.5</v>
      </c>
      <c r="K223" s="388">
        <f>-VLOOKUP(CONCATENATE($B$215,$B223),Riders!$A$14:$Q$357,'II-H-4.1 Monthly'!K$11,FALSE)</f>
        <v>-1299466.9100000001</v>
      </c>
      <c r="L223" s="388">
        <f>-VLOOKUP(CONCATENATE($B$215,$B223),Riders!$A$14:$Q$357,'II-H-4.1 Monthly'!L$11,FALSE)</f>
        <v>-1312193.79</v>
      </c>
      <c r="M223" s="388">
        <f>-VLOOKUP(CONCATENATE($B$215,$B223),Riders!$A$14:$Q$357,'II-H-4.1 Monthly'!M$11,FALSE)</f>
        <v>-1349688.91</v>
      </c>
      <c r="N223" s="388">
        <f>-VLOOKUP(CONCATENATE($B$215,$B223),Riders!$A$14:$Q$357,'II-H-4.1 Monthly'!N$11,FALSE)</f>
        <v>-1358064.4100000001</v>
      </c>
      <c r="O223" s="388">
        <f>-VLOOKUP(CONCATENATE($B$215,$B223),Riders!$A$14:$Q$357,'II-H-4.1 Monthly'!O$11,FALSE)</f>
        <v>-1539928.8199999998</v>
      </c>
      <c r="P223" s="388">
        <f>SUM(D223:O223)</f>
        <v>-16769431.649999999</v>
      </c>
      <c r="Q223" s="87"/>
      <c r="R223" s="436"/>
      <c r="S223" s="89"/>
      <c r="T223" s="89"/>
    </row>
    <row r="224" spans="1:145">
      <c r="A224" s="386">
        <v>5</v>
      </c>
      <c r="B224" s="131" t="s">
        <v>18</v>
      </c>
      <c r="C224" s="99"/>
      <c r="D224" s="177">
        <f>SUM(D222:D223)</f>
        <v>-13077556.02</v>
      </c>
      <c r="E224" s="177">
        <f t="shared" ref="E224:O224" si="85">SUM(E222:E223)</f>
        <v>-12837724.950000001</v>
      </c>
      <c r="F224" s="177">
        <f t="shared" si="85"/>
        <v>-13283292.260000002</v>
      </c>
      <c r="G224" s="177">
        <f t="shared" si="85"/>
        <v>-13392181.100000001</v>
      </c>
      <c r="H224" s="177">
        <f t="shared" si="85"/>
        <v>-13393511.9</v>
      </c>
      <c r="I224" s="177">
        <f t="shared" si="85"/>
        <v>-11606752.259999998</v>
      </c>
      <c r="J224" s="177">
        <f t="shared" si="85"/>
        <v>-11341092.26</v>
      </c>
      <c r="K224" s="177">
        <f t="shared" si="85"/>
        <v>-11188844.350000001</v>
      </c>
      <c r="L224" s="177">
        <f t="shared" si="85"/>
        <v>-11644216.349999998</v>
      </c>
      <c r="M224" s="177">
        <f t="shared" si="85"/>
        <v>-12228611.510000002</v>
      </c>
      <c r="N224" s="177">
        <f t="shared" si="85"/>
        <v>-12383963.24</v>
      </c>
      <c r="O224" s="177">
        <f t="shared" si="85"/>
        <v>-14505005.4</v>
      </c>
      <c r="P224" s="177">
        <f>SUM(P222:P223)</f>
        <v>-150882751.59999999</v>
      </c>
      <c r="Q224" s="137"/>
      <c r="R224" s="436"/>
      <c r="S224" s="89"/>
      <c r="T224" s="89"/>
    </row>
    <row r="225" spans="1:20">
      <c r="B225" s="147"/>
      <c r="C225" s="99"/>
      <c r="D225" s="177"/>
      <c r="E225" s="177"/>
      <c r="F225" s="177"/>
      <c r="G225" s="177"/>
      <c r="H225" s="177"/>
      <c r="I225" s="177"/>
      <c r="J225" s="177"/>
      <c r="K225" s="177"/>
      <c r="L225" s="177"/>
      <c r="M225" s="177"/>
      <c r="N225" s="177"/>
      <c r="O225" s="177"/>
      <c r="P225" s="177"/>
      <c r="Q225" s="137"/>
      <c r="R225" s="436"/>
      <c r="S225" s="89"/>
      <c r="T225" s="89"/>
    </row>
    <row r="226" spans="1:20">
      <c r="A226" s="386">
        <v>6</v>
      </c>
      <c r="B226" s="87" t="s">
        <v>82</v>
      </c>
      <c r="C226" s="157" t="s">
        <v>5</v>
      </c>
      <c r="D226" s="177">
        <f>-VLOOKUP(CONCATENATE($B$215,$B226),Riders!$A$14:$Q$357,'II-H-4.1 Monthly'!D$11,FALSE)</f>
        <v>-272352.84000000003</v>
      </c>
      <c r="E226" s="177">
        <f>-VLOOKUP(CONCATENATE($B$215,$B226),Riders!$A$14:$Q$357,'II-H-4.1 Monthly'!E$11,FALSE)</f>
        <v>-280744.37000000005</v>
      </c>
      <c r="F226" s="177">
        <f>-VLOOKUP(CONCATENATE($B$215,$B226),Riders!$A$14:$Q$357,'II-H-4.1 Monthly'!F$11,FALSE)</f>
        <v>-283829.04000000004</v>
      </c>
      <c r="G226" s="177">
        <f>-VLOOKUP(CONCATENATE($B$215,$B226),Riders!$A$14:$Q$357,'II-H-4.1 Monthly'!G$11,FALSE)</f>
        <v>-271453.19</v>
      </c>
      <c r="H226" s="177">
        <f>-VLOOKUP(CONCATENATE($B$215,$B226),Riders!$A$14:$Q$357,'II-H-4.1 Monthly'!H$11,FALSE)</f>
        <v>-277771.89</v>
      </c>
      <c r="I226" s="177">
        <f>-VLOOKUP(CONCATENATE($B$215,$B226),Riders!$A$14:$Q$357,'II-H-4.1 Monthly'!I$11,FALSE)</f>
        <v>-224609.85</v>
      </c>
      <c r="J226" s="177">
        <f>-VLOOKUP(CONCATENATE($B$215,$B226),Riders!$A$14:$Q$357,'II-H-4.1 Monthly'!J$11,FALSE)</f>
        <v>-234576.49</v>
      </c>
      <c r="K226" s="177">
        <f>-VLOOKUP(CONCATENATE($B$215,$B226),Riders!$A$14:$Q$357,'II-H-4.1 Monthly'!K$11,FALSE)</f>
        <v>-232198.91</v>
      </c>
      <c r="L226" s="177">
        <f>-VLOOKUP(CONCATENATE($B$215,$B226),Riders!$A$14:$Q$357,'II-H-4.1 Monthly'!L$11,FALSE)</f>
        <v>-220918.66</v>
      </c>
      <c r="M226" s="177">
        <f>-VLOOKUP(CONCATENATE($B$215,$B226),Riders!$A$14:$Q$357,'II-H-4.1 Monthly'!M$11,FALSE)</f>
        <v>-248742.24</v>
      </c>
      <c r="N226" s="177">
        <f>-VLOOKUP(CONCATENATE($B$215,$B226),Riders!$A$14:$Q$357,'II-H-4.1 Monthly'!N$11,FALSE)</f>
        <v>-226453.83000000002</v>
      </c>
      <c r="O226" s="177">
        <f>-VLOOKUP(CONCATENATE($B$215,$B226),Riders!$A$14:$Q$357,'II-H-4.1 Monthly'!O$11,FALSE)</f>
        <v>-266650.02999999997</v>
      </c>
      <c r="P226" s="101">
        <f>SUM(D226:O226)</f>
        <v>-3040301.3400000003</v>
      </c>
      <c r="Q226" s="137"/>
      <c r="R226" s="436"/>
      <c r="S226" s="89"/>
      <c r="T226" s="89"/>
    </row>
    <row r="227" spans="1:20">
      <c r="A227" s="386">
        <v>7</v>
      </c>
      <c r="B227" s="87" t="s">
        <v>83</v>
      </c>
      <c r="C227" s="157" t="s">
        <v>5</v>
      </c>
      <c r="D227" s="390">
        <f>-VLOOKUP(CONCATENATE($B$215,$B227),Riders!$A$14:$Q$357,'II-H-4.1 Monthly'!D$11,FALSE)</f>
        <v>-3206837.96</v>
      </c>
      <c r="E227" s="390">
        <f>-VLOOKUP(CONCATENATE($B$215,$B227),Riders!$A$14:$Q$357,'II-H-4.1 Monthly'!E$11,FALSE)</f>
        <v>-3266527.01</v>
      </c>
      <c r="F227" s="390">
        <f>-VLOOKUP(CONCATENATE($B$215,$B227),Riders!$A$14:$Q$357,'II-H-4.1 Monthly'!F$11,FALSE)</f>
        <v>-3234787.7199999997</v>
      </c>
      <c r="G227" s="390">
        <f>-VLOOKUP(CONCATENATE($B$215,$B227),Riders!$A$14:$Q$357,'II-H-4.1 Monthly'!G$11,FALSE)</f>
        <v>-3376898.91</v>
      </c>
      <c r="H227" s="390">
        <f>-VLOOKUP(CONCATENATE($B$215,$B227),Riders!$A$14:$Q$357,'II-H-4.1 Monthly'!H$11,FALSE)</f>
        <v>-3385488.46</v>
      </c>
      <c r="I227" s="390">
        <f>-VLOOKUP(CONCATENATE($B$215,$B227),Riders!$A$14:$Q$357,'II-H-4.1 Monthly'!I$11,FALSE)</f>
        <v>-3112296.63</v>
      </c>
      <c r="J227" s="390">
        <f>-VLOOKUP(CONCATENATE($B$215,$B227),Riders!$A$14:$Q$357,'II-H-4.1 Monthly'!J$11,FALSE)</f>
        <v>-3045454.37</v>
      </c>
      <c r="K227" s="390">
        <f>-VLOOKUP(CONCATENATE($B$215,$B227),Riders!$A$14:$Q$357,'II-H-4.1 Monthly'!K$11,FALSE)</f>
        <v>-3225985.89</v>
      </c>
      <c r="L227" s="390">
        <f>-VLOOKUP(CONCATENATE($B$215,$B227),Riders!$A$14:$Q$357,'II-H-4.1 Monthly'!L$11,FALSE)</f>
        <v>-3108948.44</v>
      </c>
      <c r="M227" s="390">
        <f>-VLOOKUP(CONCATENATE($B$215,$B227),Riders!$A$14:$Q$357,'II-H-4.1 Monthly'!M$11,FALSE)</f>
        <v>-3118923.0599999996</v>
      </c>
      <c r="N227" s="390">
        <f>-VLOOKUP(CONCATENATE($B$215,$B227),Riders!$A$14:$Q$357,'II-H-4.1 Monthly'!N$11,FALSE)</f>
        <v>-3131772.84</v>
      </c>
      <c r="O227" s="390">
        <f>-VLOOKUP(CONCATENATE($B$215,$B227),Riders!$A$14:$Q$357,'II-H-4.1 Monthly'!O$11,FALSE)</f>
        <v>-3044903.31</v>
      </c>
      <c r="P227" s="158">
        <f>SUM(D227:O227)</f>
        <v>-38258824.600000001</v>
      </c>
      <c r="Q227" s="137"/>
      <c r="R227" s="436"/>
      <c r="S227" s="89"/>
      <c r="T227" s="89"/>
    </row>
    <row r="228" spans="1:20">
      <c r="A228" s="386">
        <v>8</v>
      </c>
      <c r="B228" s="87" t="s">
        <v>148</v>
      </c>
      <c r="C228" s="157" t="s">
        <v>5</v>
      </c>
      <c r="D228" s="390">
        <f>-VLOOKUP(CONCATENATE($B$215,$B228),Riders!$A$14:$Q$357,'II-H-4.1 Monthly'!D$11,FALSE)</f>
        <v>-7522.18</v>
      </c>
      <c r="E228" s="390">
        <f>-VLOOKUP(CONCATENATE($B$215,$B228),Riders!$A$14:$Q$357,'II-H-4.1 Monthly'!E$11,FALSE)</f>
        <v>-6169.47</v>
      </c>
      <c r="F228" s="390">
        <f>-VLOOKUP(CONCATENATE($B$215,$B228),Riders!$A$14:$Q$357,'II-H-4.1 Monthly'!F$11,FALSE)</f>
        <v>-5771.66</v>
      </c>
      <c r="G228" s="390">
        <f>-VLOOKUP(CONCATENATE($B$215,$B228),Riders!$A$14:$Q$357,'II-H-4.1 Monthly'!G$11,FALSE)</f>
        <v>-5693.63</v>
      </c>
      <c r="H228" s="390">
        <f>-VLOOKUP(CONCATENATE($B$215,$B228),Riders!$A$14:$Q$357,'II-H-4.1 Monthly'!H$11,FALSE)</f>
        <v>-5750.94</v>
      </c>
      <c r="I228" s="390">
        <f>-VLOOKUP(CONCATENATE($B$215,$B228),Riders!$A$14:$Q$357,'II-H-4.1 Monthly'!I$11,FALSE)</f>
        <v>-4686.16</v>
      </c>
      <c r="J228" s="390">
        <f>-VLOOKUP(CONCATENATE($B$215,$B228),Riders!$A$14:$Q$357,'II-H-4.1 Monthly'!J$11,FALSE)</f>
        <v>-4930.95</v>
      </c>
      <c r="K228" s="390">
        <f>-VLOOKUP(CONCATENATE($B$215,$B228),Riders!$A$14:$Q$357,'II-H-4.1 Monthly'!K$11,FALSE)</f>
        <v>-5516.51</v>
      </c>
      <c r="L228" s="390">
        <f>-VLOOKUP(CONCATENATE($B$215,$B228),Riders!$A$14:$Q$357,'II-H-4.1 Monthly'!L$11,FALSE)</f>
        <v>-5379.5</v>
      </c>
      <c r="M228" s="390">
        <f>-VLOOKUP(CONCATENATE($B$215,$B228),Riders!$A$14:$Q$357,'II-H-4.1 Monthly'!M$11,FALSE)</f>
        <v>-5387.9999999999991</v>
      </c>
      <c r="N228" s="390">
        <f>-VLOOKUP(CONCATENATE($B$215,$B228),Riders!$A$14:$Q$357,'II-H-4.1 Monthly'!N$11,FALSE)</f>
        <v>-5338.96</v>
      </c>
      <c r="O228" s="390">
        <f>-VLOOKUP(CONCATENATE($B$215,$B228),Riders!$A$14:$Q$357,'II-H-4.1 Monthly'!O$11,FALSE)</f>
        <v>-6285.57</v>
      </c>
      <c r="P228" s="158">
        <f t="shared" ref="P228:P229" si="86">SUM(D228:O228)</f>
        <v>-68433.53</v>
      </c>
      <c r="Q228" s="137"/>
      <c r="R228" s="436"/>
      <c r="S228" s="89"/>
      <c r="T228" s="89"/>
    </row>
    <row r="229" spans="1:20">
      <c r="A229" s="386">
        <v>9</v>
      </c>
      <c r="B229" s="87" t="s">
        <v>149</v>
      </c>
      <c r="C229" s="157" t="s">
        <v>5</v>
      </c>
      <c r="D229" s="390">
        <f>-VLOOKUP(CONCATENATE($B$215,$B229),Riders!$A$14:$Q$357,'II-H-4.1 Monthly'!D$11,FALSE)</f>
        <v>-816650.32000000007</v>
      </c>
      <c r="E229" s="390">
        <f>-VLOOKUP(CONCATENATE($B$215,$B229),Riders!$A$14:$Q$357,'II-H-4.1 Monthly'!E$11,FALSE)</f>
        <v>-816629.82000000018</v>
      </c>
      <c r="F229" s="390">
        <f>-VLOOKUP(CONCATENATE($B$215,$B229),Riders!$A$14:$Q$357,'II-H-4.1 Monthly'!F$11,FALSE)</f>
        <v>-813702.28000000014</v>
      </c>
      <c r="G229" s="390">
        <f>-VLOOKUP(CONCATENATE($B$215,$B229),Riders!$A$14:$Q$357,'II-H-4.1 Monthly'!G$11,FALSE)</f>
        <v>-851109.12999999989</v>
      </c>
      <c r="H229" s="390">
        <f>-VLOOKUP(CONCATENATE($B$215,$B229),Riders!$A$14:$Q$357,'II-H-4.1 Monthly'!H$11,FALSE)</f>
        <v>-847480.3899999999</v>
      </c>
      <c r="I229" s="390">
        <f>-VLOOKUP(CONCATENATE($B$215,$B229),Riders!$A$14:$Q$357,'II-H-4.1 Monthly'!I$11,FALSE)</f>
        <v>-770623.85000000009</v>
      </c>
      <c r="J229" s="390">
        <f>-VLOOKUP(CONCATENATE($B$215,$B229),Riders!$A$14:$Q$357,'II-H-4.1 Monthly'!J$11,FALSE)</f>
        <v>-769651.63999999978</v>
      </c>
      <c r="K229" s="390">
        <f>-VLOOKUP(CONCATENATE($B$215,$B229),Riders!$A$14:$Q$357,'II-H-4.1 Monthly'!K$11,FALSE)</f>
        <v>-735659.35999999987</v>
      </c>
      <c r="L229" s="390">
        <f>-VLOOKUP(CONCATENATE($B$215,$B229),Riders!$A$14:$Q$357,'II-H-4.1 Monthly'!L$11,FALSE)</f>
        <v>-741855.56000000017</v>
      </c>
      <c r="M229" s="390">
        <f>-VLOOKUP(CONCATENATE($B$215,$B229),Riders!$A$14:$Q$357,'II-H-4.1 Monthly'!M$11,FALSE)</f>
        <v>-735697.07000000007</v>
      </c>
      <c r="N229" s="390">
        <f>-VLOOKUP(CONCATENATE($B$215,$B229),Riders!$A$14:$Q$357,'II-H-4.1 Monthly'!N$11,FALSE)</f>
        <v>-735983.46000000008</v>
      </c>
      <c r="O229" s="390">
        <f>-VLOOKUP(CONCATENATE($B$215,$B229),Riders!$A$14:$Q$357,'II-H-4.1 Monthly'!O$11,FALSE)</f>
        <v>-741431.14999999991</v>
      </c>
      <c r="P229" s="158">
        <f t="shared" si="86"/>
        <v>-9376474.0300000031</v>
      </c>
      <c r="Q229" s="137"/>
      <c r="R229" s="436"/>
      <c r="S229" s="89"/>
      <c r="T229" s="89"/>
    </row>
    <row r="230" spans="1:20">
      <c r="A230" s="386">
        <v>10</v>
      </c>
      <c r="B230" s="87" t="s">
        <v>19</v>
      </c>
      <c r="C230" s="157"/>
      <c r="D230" s="391">
        <f>SUM(D226:D229)</f>
        <v>-4303363.3</v>
      </c>
      <c r="E230" s="391">
        <f t="shared" ref="E230" si="87">SUM(E226:E229)</f>
        <v>-4370070.67</v>
      </c>
      <c r="F230" s="391">
        <f t="shared" ref="F230" si="88">SUM(F226:F229)</f>
        <v>-4338090.7</v>
      </c>
      <c r="G230" s="391">
        <f t="shared" ref="G230" si="89">SUM(G226:G229)</f>
        <v>-4505154.8599999994</v>
      </c>
      <c r="H230" s="391">
        <f t="shared" ref="H230" si="90">SUM(H226:H229)</f>
        <v>-4516491.68</v>
      </c>
      <c r="I230" s="391">
        <f t="shared" ref="I230" si="91">SUM(I226:I229)</f>
        <v>-4112216.49</v>
      </c>
      <c r="J230" s="391">
        <f t="shared" ref="J230" si="92">SUM(J226:J229)</f>
        <v>-4054613.45</v>
      </c>
      <c r="K230" s="391">
        <f t="shared" ref="K230" si="93">SUM(K226:K229)</f>
        <v>-4199360.67</v>
      </c>
      <c r="L230" s="391">
        <f>SUM(L226:L229)</f>
        <v>-4077102.16</v>
      </c>
      <c r="M230" s="391">
        <f t="shared" ref="M230" si="94">SUM(M226:M229)</f>
        <v>-4108750.37</v>
      </c>
      <c r="N230" s="391">
        <f t="shared" ref="N230" si="95">SUM(N226:N229)</f>
        <v>-4099549.09</v>
      </c>
      <c r="O230" s="391">
        <f>SUM(O226:O229)</f>
        <v>-4059270.0599999996</v>
      </c>
      <c r="P230" s="391">
        <f t="shared" ref="P230" si="96">SUM(P226:P229)</f>
        <v>-50744033.500000007</v>
      </c>
      <c r="Q230" s="89"/>
      <c r="R230" s="89"/>
      <c r="S230" s="89"/>
      <c r="T230" s="89"/>
    </row>
    <row r="231" spans="1:20">
      <c r="A231" s="386"/>
      <c r="B231" s="87"/>
      <c r="C231" s="157"/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  <c r="O231" s="177"/>
      <c r="P231" s="101"/>
      <c r="Q231" s="89"/>
      <c r="R231" s="89"/>
      <c r="S231" s="89"/>
      <c r="T231" s="89"/>
    </row>
    <row r="232" spans="1:20">
      <c r="A232" s="386">
        <v>11</v>
      </c>
      <c r="B232" s="131" t="s">
        <v>86</v>
      </c>
      <c r="C232" s="157" t="s">
        <v>6</v>
      </c>
      <c r="D232" s="177">
        <f>-VLOOKUP(CONCATENATE($B$215,$B232),Riders!$A$14:$Q$357,'II-H-4.1 Monthly'!D$11,FALSE)</f>
        <v>-3781803.04</v>
      </c>
      <c r="E232" s="177">
        <f>-VLOOKUP(CONCATENATE($B$215,$B232),Riders!$A$14:$Q$357,'II-H-4.1 Monthly'!E$11,FALSE)</f>
        <v>-4194007.68</v>
      </c>
      <c r="F232" s="177">
        <f>-VLOOKUP(CONCATENATE($B$215,$B232),Riders!$A$14:$Q$357,'II-H-4.1 Monthly'!F$11,FALSE)</f>
        <v>-5188287.8500000006</v>
      </c>
      <c r="G232" s="177">
        <f>-VLOOKUP(CONCATENATE($B$215,$B232),Riders!$A$14:$Q$357,'II-H-4.1 Monthly'!G$11,FALSE)</f>
        <v>-5043110.1500000004</v>
      </c>
      <c r="H232" s="177">
        <f>-VLOOKUP(CONCATENATE($B$215,$B232),Riders!$A$14:$Q$357,'II-H-4.1 Monthly'!H$11,FALSE)</f>
        <v>-5152619.4400000004</v>
      </c>
      <c r="I232" s="177">
        <f>-VLOOKUP(CONCATENATE($B$215,$B232),Riders!$A$14:$Q$357,'II-H-4.1 Monthly'!I$11,FALSE)</f>
        <v>-5198254.6500000004</v>
      </c>
      <c r="J232" s="177">
        <f>-VLOOKUP(CONCATENATE($B$215,$B232),Riders!$A$14:$Q$357,'II-H-4.1 Monthly'!J$11,FALSE)</f>
        <v>-4152290.8200000003</v>
      </c>
      <c r="K232" s="177">
        <f>-VLOOKUP(CONCATENATE($B$215,$B232),Riders!$A$14:$Q$357,'II-H-4.1 Monthly'!K$11,FALSE)</f>
        <v>-4500270.6100000003</v>
      </c>
      <c r="L232" s="177">
        <f>-VLOOKUP(CONCATENATE($B$215,$B232),Riders!$A$14:$Q$357,'II-H-4.1 Monthly'!L$11,FALSE)</f>
        <v>-4004692.5800000005</v>
      </c>
      <c r="M232" s="177">
        <f>-VLOOKUP(CONCATENATE($B$215,$B232),Riders!$A$14:$Q$357,'II-H-4.1 Monthly'!M$11,FALSE)</f>
        <v>-4605684.8100000005</v>
      </c>
      <c r="N232" s="177">
        <f>-VLOOKUP(CONCATENATE($B$215,$B232),Riders!$A$14:$Q$357,'II-H-4.1 Monthly'!N$11,FALSE)</f>
        <v>-3674571.75</v>
      </c>
      <c r="O232" s="177">
        <f>-VLOOKUP(CONCATENATE($B$215,$B232),Riders!$A$14:$Q$357,'II-H-4.1 Monthly'!O$11,FALSE)</f>
        <v>-3074317.6100000003</v>
      </c>
      <c r="P232" s="101">
        <f>SUM(D232:O232)</f>
        <v>-52569910.990000002</v>
      </c>
      <c r="Q232" s="89"/>
    </row>
    <row r="233" spans="1:20">
      <c r="B233" s="87"/>
      <c r="C233" s="99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  <c r="O233" s="177"/>
      <c r="P233" s="177"/>
    </row>
    <row r="234" spans="1:20">
      <c r="A234" s="386">
        <v>12</v>
      </c>
      <c r="B234" s="89" t="s">
        <v>21</v>
      </c>
      <c r="C234" s="157" t="s">
        <v>4</v>
      </c>
      <c r="D234" s="429">
        <f>-VLOOKUP(CONCATENATE($B$215,$B234),Riders!$A$14:$Q$357,'II-H-4.1 Monthly'!D$11,FALSE)</f>
        <v>-370388.94999999995</v>
      </c>
      <c r="E234" s="429">
        <f>-VLOOKUP(CONCATENATE($B$215,$B234),Riders!$A$14:$Q$357,'II-H-4.1 Monthly'!E$11,FALSE)</f>
        <v>-371939.27999999991</v>
      </c>
      <c r="F234" s="429">
        <f>-VLOOKUP(CONCATENATE($B$215,$B234),Riders!$A$14:$Q$357,'II-H-4.1 Monthly'!F$11,FALSE)</f>
        <v>-368867.36000000022</v>
      </c>
      <c r="G234" s="429">
        <f>-VLOOKUP(CONCATENATE($B$215,$B234),Riders!$A$14:$Q$357,'II-H-4.1 Monthly'!G$11,FALSE)</f>
        <v>-369582.34</v>
      </c>
      <c r="H234" s="429">
        <f>-VLOOKUP(CONCATENATE($B$215,$B234),Riders!$A$14:$Q$357,'II-H-4.1 Monthly'!H$11,FALSE)</f>
        <v>-367968.49000000022</v>
      </c>
      <c r="I234" s="429">
        <f>-VLOOKUP(CONCATENATE($B$215,$B234),Riders!$A$14:$Q$357,'II-H-4.1 Monthly'!I$11,FALSE)</f>
        <v>-344509.40999999968</v>
      </c>
      <c r="J234" s="429">
        <f>-VLOOKUP(CONCATENATE($B$215,$B234),Riders!$A$14:$Q$357,'II-H-4.1 Monthly'!J$11,FALSE)</f>
        <v>-344090.61000000004</v>
      </c>
      <c r="K234" s="429">
        <f>-VLOOKUP(CONCATENATE($B$215,$B234),Riders!$A$14:$Q$357,'II-H-4.1 Monthly'!K$11,FALSE)</f>
        <v>-343903.86</v>
      </c>
      <c r="L234" s="429">
        <f>-VLOOKUP(CONCATENATE($B$215,$B234),Riders!$A$14:$Q$357,'II-H-4.1 Monthly'!L$11,FALSE)</f>
        <v>-342590.92999999982</v>
      </c>
      <c r="M234" s="429">
        <f>-VLOOKUP(CONCATENATE($B$215,$B234),Riders!$A$14:$Q$357,'II-H-4.1 Monthly'!M$11,FALSE)</f>
        <v>-343570.56999999972</v>
      </c>
      <c r="N234" s="429">
        <f>-VLOOKUP(CONCATENATE($B$215,$B234),Riders!$A$14:$Q$357,'II-H-4.1 Monthly'!N$11,FALSE)</f>
        <v>-341173.99999999977</v>
      </c>
      <c r="O234" s="429">
        <f>-VLOOKUP(CONCATENATE($B$215,$B234),Riders!$A$14:$Q$357,'II-H-4.1 Monthly'!O$11,FALSE)</f>
        <v>-436494.65999999968</v>
      </c>
      <c r="P234" s="101">
        <f>SUM(D234:O234)</f>
        <v>-4345080.459999999</v>
      </c>
    </row>
    <row r="235" spans="1:20">
      <c r="A235" s="386"/>
      <c r="B235" s="87"/>
      <c r="C235" s="99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  <c r="O235" s="177"/>
      <c r="P235" s="177"/>
    </row>
    <row r="236" spans="1:20">
      <c r="A236" s="386">
        <v>13</v>
      </c>
      <c r="B236" s="393" t="s">
        <v>22</v>
      </c>
      <c r="C236" s="362"/>
      <c r="D236" s="394">
        <f>D234+D232+D230+D224+D220+D218</f>
        <v>-47070323.109999999</v>
      </c>
      <c r="E236" s="394">
        <f>E234+E232+E230+E224+E220+E218</f>
        <v>-41607240.719999999</v>
      </c>
      <c r="F236" s="394">
        <f t="shared" ref="F236:O236" si="97">F234+F232+F230+F224+F220+F218</f>
        <v>-46164160.590000004</v>
      </c>
      <c r="G236" s="394">
        <f t="shared" si="97"/>
        <v>-47901938.460000008</v>
      </c>
      <c r="H236" s="394">
        <f t="shared" si="97"/>
        <v>-45110006.339999996</v>
      </c>
      <c r="I236" s="394">
        <f t="shared" si="97"/>
        <v>-35034780.780000001</v>
      </c>
      <c r="J236" s="394">
        <f t="shared" si="97"/>
        <v>-33470385.73</v>
      </c>
      <c r="K236" s="394">
        <f t="shared" si="97"/>
        <v>-35021337.540000007</v>
      </c>
      <c r="L236" s="394">
        <f t="shared" si="97"/>
        <v>-39865934.489999995</v>
      </c>
      <c r="M236" s="394">
        <f t="shared" si="97"/>
        <v>-47002934.520000003</v>
      </c>
      <c r="N236" s="394">
        <f t="shared" si="97"/>
        <v>-46501276.219999999</v>
      </c>
      <c r="O236" s="394">
        <f t="shared" si="97"/>
        <v>-61934828.689999998</v>
      </c>
      <c r="P236" s="394">
        <f>P234+P232+P230+P224+P220+P218</f>
        <v>-526685147.19000006</v>
      </c>
    </row>
    <row r="237" spans="1:20">
      <c r="B237" s="362"/>
      <c r="C237" s="362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</row>
    <row r="238" spans="1:20">
      <c r="A238" s="386">
        <v>14</v>
      </c>
      <c r="B238" s="89" t="s">
        <v>69</v>
      </c>
      <c r="C238" s="157" t="s">
        <v>5</v>
      </c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  <c r="O238" s="177"/>
      <c r="P238" s="101">
        <f>SUM(D238:O238)</f>
        <v>0</v>
      </c>
    </row>
    <row r="239" spans="1:20">
      <c r="A239" s="386">
        <v>15</v>
      </c>
      <c r="B239" s="89" t="s">
        <v>70</v>
      </c>
      <c r="C239" s="157" t="s">
        <v>6</v>
      </c>
      <c r="D239" s="388"/>
      <c r="E239" s="388"/>
      <c r="F239" s="388"/>
      <c r="G239" s="388"/>
      <c r="H239" s="388"/>
      <c r="I239" s="388"/>
      <c r="J239" s="388"/>
      <c r="K239" s="388"/>
      <c r="L239" s="388"/>
      <c r="M239" s="388"/>
      <c r="N239" s="388"/>
      <c r="O239" s="388"/>
      <c r="P239" s="425">
        <f>SUM(D239:O239)</f>
        <v>0</v>
      </c>
    </row>
    <row r="240" spans="1:20">
      <c r="A240" s="386">
        <v>16</v>
      </c>
      <c r="B240" s="393" t="s">
        <v>23</v>
      </c>
      <c r="C240" s="361"/>
      <c r="D240" s="101">
        <f t="shared" ref="D240:P240" si="98">SUM(D238:D239)</f>
        <v>0</v>
      </c>
      <c r="E240" s="101">
        <f t="shared" si="98"/>
        <v>0</v>
      </c>
      <c r="F240" s="101">
        <f t="shared" si="98"/>
        <v>0</v>
      </c>
      <c r="G240" s="101">
        <f t="shared" si="98"/>
        <v>0</v>
      </c>
      <c r="H240" s="101">
        <f t="shared" si="98"/>
        <v>0</v>
      </c>
      <c r="I240" s="101">
        <f t="shared" si="98"/>
        <v>0</v>
      </c>
      <c r="J240" s="101">
        <f t="shared" si="98"/>
        <v>0</v>
      </c>
      <c r="K240" s="101">
        <f t="shared" si="98"/>
        <v>0</v>
      </c>
      <c r="L240" s="101">
        <f t="shared" si="98"/>
        <v>0</v>
      </c>
      <c r="M240" s="101">
        <f t="shared" si="98"/>
        <v>0</v>
      </c>
      <c r="N240" s="101">
        <f t="shared" si="98"/>
        <v>0</v>
      </c>
      <c r="O240" s="101">
        <f t="shared" si="98"/>
        <v>0</v>
      </c>
      <c r="P240" s="101">
        <f t="shared" si="98"/>
        <v>0</v>
      </c>
    </row>
    <row r="241" spans="1:145">
      <c r="A241" s="386"/>
      <c r="B241" s="87"/>
      <c r="C241" s="396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  <c r="O241" s="177"/>
      <c r="P241" s="177"/>
    </row>
    <row r="242" spans="1:145" ht="12" thickBot="1">
      <c r="A242" s="386">
        <v>17</v>
      </c>
      <c r="B242" s="147" t="s">
        <v>92</v>
      </c>
      <c r="C242" s="361"/>
      <c r="D242" s="426">
        <f t="shared" ref="D242" si="99">+D240+D236</f>
        <v>-47070323.109999999</v>
      </c>
      <c r="E242" s="426">
        <f>+E240+E236</f>
        <v>-41607240.719999999</v>
      </c>
      <c r="F242" s="426">
        <f t="shared" ref="F242:O242" si="100">+F240+F236</f>
        <v>-46164160.590000004</v>
      </c>
      <c r="G242" s="426">
        <f t="shared" si="100"/>
        <v>-47901938.460000008</v>
      </c>
      <c r="H242" s="426">
        <f t="shared" si="100"/>
        <v>-45110006.339999996</v>
      </c>
      <c r="I242" s="426">
        <f t="shared" si="100"/>
        <v>-35034780.780000001</v>
      </c>
      <c r="J242" s="426">
        <f t="shared" si="100"/>
        <v>-33470385.73</v>
      </c>
      <c r="K242" s="426">
        <f t="shared" si="100"/>
        <v>-35021337.540000007</v>
      </c>
      <c r="L242" s="426">
        <f t="shared" si="100"/>
        <v>-39865934.489999995</v>
      </c>
      <c r="M242" s="426">
        <f t="shared" si="100"/>
        <v>-47002934.520000003</v>
      </c>
      <c r="N242" s="426">
        <f t="shared" si="100"/>
        <v>-46501276.219999999</v>
      </c>
      <c r="O242" s="426">
        <f t="shared" si="100"/>
        <v>-61934828.689999998</v>
      </c>
      <c r="P242" s="426">
        <f>+P240+P236</f>
        <v>-526685147.19000006</v>
      </c>
      <c r="Q242" s="419"/>
    </row>
    <row r="243" spans="1:145" ht="12" thickTop="1">
      <c r="A243" s="386"/>
      <c r="B243" s="147"/>
      <c r="C243" s="361"/>
      <c r="D243" s="433"/>
      <c r="E243" s="433"/>
      <c r="F243" s="433"/>
      <c r="G243" s="433"/>
      <c r="H243" s="433"/>
      <c r="I243" s="433"/>
      <c r="J243" s="433"/>
      <c r="K243" s="433"/>
      <c r="L243" s="433"/>
      <c r="M243" s="433"/>
      <c r="N243" s="433"/>
      <c r="O243" s="433"/>
      <c r="P243" s="158"/>
      <c r="Q243" s="419"/>
    </row>
    <row r="244" spans="1:145">
      <c r="A244" s="386"/>
      <c r="B244" s="147"/>
      <c r="C244" s="361"/>
      <c r="D244" s="433"/>
      <c r="E244" s="433"/>
      <c r="F244" s="433"/>
      <c r="G244" s="433"/>
      <c r="H244" s="433"/>
      <c r="I244" s="433"/>
      <c r="J244" s="433"/>
      <c r="K244" s="433"/>
      <c r="L244" s="433"/>
      <c r="M244" s="433"/>
      <c r="N244" s="433"/>
      <c r="O244" s="433"/>
      <c r="P244" s="158"/>
      <c r="Q244" s="419"/>
    </row>
    <row r="245" spans="1:145" ht="20.25" customHeight="1">
      <c r="B245" s="371" t="s">
        <v>91</v>
      </c>
      <c r="C245" s="371"/>
      <c r="D245" s="371"/>
      <c r="E245" s="371"/>
      <c r="F245" s="371"/>
      <c r="G245" s="371"/>
      <c r="H245" s="371"/>
      <c r="I245" s="371"/>
      <c r="J245" s="371"/>
      <c r="K245" s="371"/>
      <c r="L245" s="371"/>
      <c r="M245" s="371"/>
      <c r="N245" s="371"/>
      <c r="O245" s="371"/>
      <c r="P245" s="427"/>
    </row>
    <row r="246" spans="1:145" s="87" customFormat="1">
      <c r="B246" s="371" t="s">
        <v>493</v>
      </c>
      <c r="C246" s="371"/>
      <c r="D246" s="371"/>
      <c r="E246" s="371"/>
      <c r="F246" s="371"/>
      <c r="G246" s="371"/>
      <c r="H246" s="371"/>
      <c r="I246" s="371"/>
      <c r="J246" s="371"/>
      <c r="K246" s="371"/>
      <c r="L246" s="371"/>
      <c r="M246" s="371"/>
      <c r="N246" s="371"/>
      <c r="O246" s="371"/>
      <c r="P246" s="88" t="s">
        <v>1</v>
      </c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89"/>
      <c r="AJ246" s="89"/>
      <c r="AK246" s="89"/>
      <c r="AL246" s="89"/>
      <c r="AM246" s="89"/>
      <c r="AN246" s="89"/>
      <c r="AO246" s="89"/>
      <c r="AP246" s="89"/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89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89"/>
      <c r="DB246" s="89"/>
      <c r="DC246" s="89"/>
      <c r="DD246" s="89"/>
      <c r="DE246" s="89"/>
      <c r="DF246" s="89"/>
      <c r="DG246" s="89"/>
      <c r="DH246" s="89"/>
      <c r="DI246" s="89"/>
      <c r="DJ246" s="89"/>
      <c r="DK246" s="89"/>
      <c r="DL246" s="89"/>
      <c r="DM246" s="89"/>
      <c r="DN246" s="89"/>
      <c r="DO246" s="89"/>
      <c r="DP246" s="89"/>
      <c r="DQ246" s="89"/>
      <c r="DR246" s="89"/>
      <c r="DS246" s="89"/>
      <c r="DT246" s="89"/>
      <c r="DU246" s="89"/>
      <c r="DV246" s="89"/>
      <c r="DW246" s="89"/>
      <c r="DX246" s="89"/>
      <c r="DY246" s="89"/>
      <c r="DZ246" s="89"/>
      <c r="EA246" s="89"/>
      <c r="EB246" s="89"/>
      <c r="EC246" s="89"/>
      <c r="ED246" s="89"/>
      <c r="EE246" s="89"/>
      <c r="EF246" s="89"/>
      <c r="EG246" s="89"/>
      <c r="EH246" s="89"/>
      <c r="EI246" s="89"/>
      <c r="EJ246" s="89"/>
      <c r="EK246" s="89"/>
      <c r="EL246" s="89"/>
      <c r="EM246" s="89"/>
      <c r="EN246" s="89"/>
      <c r="EO246" s="89"/>
    </row>
    <row r="247" spans="1:145">
      <c r="B247" s="371" t="str">
        <f>+B213</f>
        <v>FOR TEST YEAR ENDED SEPTEMBER 30, 2023</v>
      </c>
      <c r="C247" s="371"/>
      <c r="D247" s="371"/>
      <c r="E247" s="371"/>
      <c r="F247" s="371"/>
      <c r="G247" s="371"/>
      <c r="H247" s="371"/>
      <c r="I247" s="371"/>
      <c r="J247" s="371"/>
      <c r="K247" s="371"/>
      <c r="L247" s="371"/>
      <c r="M247" s="371"/>
      <c r="N247" s="371"/>
      <c r="O247" s="371"/>
      <c r="P247" s="87" t="s">
        <v>1</v>
      </c>
    </row>
    <row r="248" spans="1:145">
      <c r="B248" s="131"/>
      <c r="C248" s="361"/>
      <c r="D248" s="361"/>
      <c r="E248" s="361"/>
      <c r="F248" s="361"/>
      <c r="G248" s="361"/>
      <c r="H248" s="361"/>
      <c r="I248" s="361"/>
      <c r="J248" s="361"/>
      <c r="K248" s="361"/>
      <c r="L248" s="361"/>
      <c r="M248" s="361"/>
      <c r="N248" s="361"/>
      <c r="O248" s="361"/>
      <c r="P248" s="87"/>
    </row>
    <row r="249" spans="1:145">
      <c r="B249" s="147" t="s">
        <v>304</v>
      </c>
      <c r="C249" s="432"/>
      <c r="D249" s="428"/>
      <c r="E249" s="405"/>
      <c r="F249" s="405"/>
      <c r="G249" s="428"/>
      <c r="H249" s="177"/>
      <c r="I249" s="177"/>
      <c r="J249" s="177"/>
      <c r="K249" s="177"/>
      <c r="L249" s="177"/>
      <c r="M249" s="177"/>
      <c r="N249" s="177"/>
      <c r="O249" s="177"/>
      <c r="P249" s="405"/>
    </row>
    <row r="250" spans="1:145">
      <c r="A250" s="359" t="s">
        <v>8</v>
      </c>
      <c r="B250" s="361" t="s">
        <v>0</v>
      </c>
      <c r="C250" s="361" t="s">
        <v>7</v>
      </c>
      <c r="D250" s="406" t="str">
        <f>$D$13</f>
        <v>Oct-22</v>
      </c>
      <c r="E250" s="406" t="str">
        <f>$E$13</f>
        <v>Nov-22</v>
      </c>
      <c r="F250" s="406" t="str">
        <f>$F$13</f>
        <v>Dec-22</v>
      </c>
      <c r="G250" s="406" t="str">
        <f>$G$13</f>
        <v>Jan-23</v>
      </c>
      <c r="H250" s="406" t="str">
        <f>$H$13</f>
        <v>Feb-23</v>
      </c>
      <c r="I250" s="406" t="str">
        <f>$I$13</f>
        <v>Mar-23</v>
      </c>
      <c r="J250" s="406" t="str">
        <f>$J$13</f>
        <v>Apr-23</v>
      </c>
      <c r="K250" s="406" t="str">
        <f>$K$13</f>
        <v>May-23</v>
      </c>
      <c r="L250" s="406" t="str">
        <f>$L$13</f>
        <v>Jun-23</v>
      </c>
      <c r="M250" s="406" t="str">
        <f>$M$13</f>
        <v>Jul-23</v>
      </c>
      <c r="N250" s="406" t="str">
        <f>$N$13</f>
        <v>Aug-23</v>
      </c>
      <c r="O250" s="406" t="str">
        <f>$O$13</f>
        <v>Sep-23</v>
      </c>
      <c r="P250" s="406" t="s">
        <v>2</v>
      </c>
    </row>
    <row r="251" spans="1:145">
      <c r="B251" s="361"/>
      <c r="C251" s="361"/>
      <c r="D251" s="406"/>
      <c r="E251" s="406"/>
      <c r="F251" s="406"/>
      <c r="G251" s="406"/>
      <c r="H251" s="406"/>
      <c r="I251" s="406"/>
      <c r="J251" s="406"/>
      <c r="K251" s="406"/>
      <c r="L251" s="406"/>
      <c r="M251" s="406"/>
      <c r="N251" s="406"/>
      <c r="O251" s="406"/>
      <c r="P251" s="406"/>
    </row>
    <row r="252" spans="1:145">
      <c r="A252" s="386" t="s">
        <v>9</v>
      </c>
      <c r="B252" s="87" t="s">
        <v>17</v>
      </c>
      <c r="C252" s="99" t="s">
        <v>4</v>
      </c>
      <c r="D252" s="424">
        <f>-SUMIF(Riders!$A$11:$A$329,CONCATENATE('II-H-4.1 Monthly'!$B$249,'II-H-4.1 Monthly'!$B252),Riders!E$11:E$329)</f>
        <v>-57.15</v>
      </c>
      <c r="E252" s="424">
        <f>-SUMIF(Riders!$A$11:$A$329,CONCATENATE('II-H-4.1 Monthly'!$B$249,'II-H-4.1 Monthly'!$B252),Riders!F$11:F$329)</f>
        <v>-27.919999999999998</v>
      </c>
      <c r="F252" s="424">
        <f>-SUMIF(Riders!$A$11:$A$329,CONCATENATE('II-H-4.1 Monthly'!$B$249,'II-H-4.1 Monthly'!$B252),Riders!G$11:G$329)</f>
        <v>-0.87</v>
      </c>
      <c r="G252" s="424">
        <f>-SUMIF(Riders!$A$11:$A$329,CONCATENATE('II-H-4.1 Monthly'!$B$249,'II-H-4.1 Monthly'!$B252),Riders!H$11:H$329)</f>
        <v>0.86</v>
      </c>
      <c r="H252" s="424">
        <f>-SUMIF(Riders!$A$11:$A$329,CONCATENATE('II-H-4.1 Monthly'!$B$249,'II-H-4.1 Monthly'!$B252),Riders!I$11:I$329)</f>
        <v>-0.85</v>
      </c>
      <c r="I252" s="424">
        <f>-SUMIF(Riders!$A$11:$A$329,CONCATENATE('II-H-4.1 Monthly'!$B$249,'II-H-4.1 Monthly'!$B252),Riders!J$11:J$329)</f>
        <v>0</v>
      </c>
      <c r="J252" s="424">
        <f>-SUMIF(Riders!$A$11:$A$329,CONCATENATE('II-H-4.1 Monthly'!$B$249,'II-H-4.1 Monthly'!$B252),Riders!K$11:K$329)</f>
        <v>-10.350000000000001</v>
      </c>
      <c r="K252" s="424">
        <f>-SUMIF(Riders!$A$11:$A$329,CONCATENATE('II-H-4.1 Monthly'!$B$249,'II-H-4.1 Monthly'!$B252),Riders!L$11:L$329)</f>
        <v>0</v>
      </c>
      <c r="L252" s="424">
        <f>-SUMIF(Riders!$A$11:$A$329,CONCATENATE('II-H-4.1 Monthly'!$B$249,'II-H-4.1 Monthly'!$B252),Riders!M$11:M$329)</f>
        <v>0</v>
      </c>
      <c r="M252" s="424">
        <f>-SUMIF(Riders!$A$11:$A$329,CONCATENATE('II-H-4.1 Monthly'!$B$249,'II-H-4.1 Monthly'!$B252),Riders!N$11:N$329)</f>
        <v>-0.05</v>
      </c>
      <c r="N252" s="424">
        <f>-SUMIF(Riders!$A$11:$A$329,CONCATENATE('II-H-4.1 Monthly'!$B$249,'II-H-4.1 Monthly'!$B252),Riders!O$11:O$329)</f>
        <v>0</v>
      </c>
      <c r="O252" s="424">
        <f>-SUMIF(Riders!$A$11:$A$329,CONCATENATE('II-H-4.1 Monthly'!$B$249,'II-H-4.1 Monthly'!$B252),Riders!P$11:P$329)</f>
        <v>0</v>
      </c>
      <c r="P252" s="424">
        <f>SUM(D252:O252)</f>
        <v>-96.33</v>
      </c>
    </row>
    <row r="253" spans="1:145">
      <c r="B253" s="87"/>
      <c r="C253" s="99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</row>
    <row r="254" spans="1:145">
      <c r="A254" s="386">
        <v>2</v>
      </c>
      <c r="B254" s="87" t="s">
        <v>20</v>
      </c>
      <c r="C254" s="99" t="s">
        <v>4</v>
      </c>
      <c r="D254" s="177">
        <f>-SUMIF(Riders!$A$11:$A$329,CONCATENATE('II-H-4.1 Monthly'!$B$249,'II-H-4.1 Monthly'!$B254),Riders!E$11:E$329)</f>
        <v>-40.809999999999995</v>
      </c>
      <c r="E254" s="177">
        <f>-SUMIF(Riders!$A$11:$A$329,CONCATENATE('II-H-4.1 Monthly'!$B$249,'II-H-4.1 Monthly'!$B254),Riders!F$11:F$329)</f>
        <v>-12.240000000000002</v>
      </c>
      <c r="F254" s="177">
        <f>-SUMIF(Riders!$A$11:$A$329,CONCATENATE('II-H-4.1 Monthly'!$B$249,'II-H-4.1 Monthly'!$B254),Riders!G$11:G$329)</f>
        <v>-5.43</v>
      </c>
      <c r="G254" s="177">
        <f>-SUMIF(Riders!$A$11:$A$329,CONCATENATE('II-H-4.1 Monthly'!$B$249,'II-H-4.1 Monthly'!$B254),Riders!H$11:H$329)</f>
        <v>3.7500000000000004</v>
      </c>
      <c r="H254" s="177">
        <f>-SUMIF(Riders!$A$11:$A$329,CONCATENATE('II-H-4.1 Monthly'!$B$249,'II-H-4.1 Monthly'!$B254),Riders!I$11:I$329)</f>
        <v>-0.06</v>
      </c>
      <c r="I254" s="177">
        <f>-SUMIF(Riders!$A$11:$A$329,CONCATENATE('II-H-4.1 Monthly'!$B$249,'II-H-4.1 Monthly'!$B254),Riders!J$11:J$329)</f>
        <v>0</v>
      </c>
      <c r="J254" s="177">
        <f>-SUMIF(Riders!$A$11:$A$329,CONCATENATE('II-H-4.1 Monthly'!$B$249,'II-H-4.1 Monthly'!$B254),Riders!K$11:K$329)</f>
        <v>0</v>
      </c>
      <c r="K254" s="177">
        <f>-SUMIF(Riders!$A$11:$A$329,CONCATENATE('II-H-4.1 Monthly'!$B$249,'II-H-4.1 Monthly'!$B254),Riders!L$11:L$329)</f>
        <v>0</v>
      </c>
      <c r="L254" s="177">
        <f>-SUMIF(Riders!$A$11:$A$329,CONCATENATE('II-H-4.1 Monthly'!$B$249,'II-H-4.1 Monthly'!$B254),Riders!M$11:M$329)</f>
        <v>0</v>
      </c>
      <c r="M254" s="177">
        <f>-SUMIF(Riders!$A$11:$A$329,CONCATENATE('II-H-4.1 Monthly'!$B$249,'II-H-4.1 Monthly'!$B254),Riders!N$11:N$329)</f>
        <v>0</v>
      </c>
      <c r="N254" s="177">
        <f>-SUMIF(Riders!$A$11:$A$329,CONCATENATE('II-H-4.1 Monthly'!$B$249,'II-H-4.1 Monthly'!$B254),Riders!O$11:O$329)</f>
        <v>0</v>
      </c>
      <c r="O254" s="177">
        <f>-SUMIF(Riders!$A$11:$A$329,CONCATENATE('II-H-4.1 Monthly'!$B$249,'II-H-4.1 Monthly'!$B254),Riders!P$11:P$329)</f>
        <v>0</v>
      </c>
      <c r="P254" s="101">
        <f>SUM(D254:O254)</f>
        <v>-54.79</v>
      </c>
      <c r="Q254" s="434"/>
      <c r="R254" s="435"/>
    </row>
    <row r="255" spans="1:145">
      <c r="A255" s="386"/>
      <c r="B255" s="87"/>
      <c r="C255" s="99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  <c r="O255" s="177"/>
      <c r="P255" s="101"/>
      <c r="Q255" s="434"/>
      <c r="R255" s="435"/>
    </row>
    <row r="256" spans="1:145">
      <c r="A256" s="386">
        <v>3</v>
      </c>
      <c r="B256" s="87" t="s">
        <v>81</v>
      </c>
      <c r="C256" s="157" t="s">
        <v>4</v>
      </c>
      <c r="D256" s="390">
        <f>-SUMIF(Riders!$A$11:$A$329,CONCATENATE('II-H-4.1 Monthly'!$B$249,'II-H-4.1 Monthly'!$B256),Riders!E$11:E$329)</f>
        <v>8.39</v>
      </c>
      <c r="E256" s="390">
        <f>-SUMIF(Riders!$A$11:$A$329,CONCATENATE('II-H-4.1 Monthly'!$B$249,'II-H-4.1 Monthly'!$B256),Riders!F$11:F$329)</f>
        <v>0.42000000000000004</v>
      </c>
      <c r="F256" s="390">
        <f>-SUMIF(Riders!$A$11:$A$329,CONCATENATE('II-H-4.1 Monthly'!$B$249,'II-H-4.1 Monthly'!$B256),Riders!G$11:G$329)</f>
        <v>1.41</v>
      </c>
      <c r="G256" s="390">
        <f>-SUMIF(Riders!$A$11:$A$329,CONCATENATE('II-H-4.1 Monthly'!$B$249,'II-H-4.1 Monthly'!$B256),Riders!H$11:H$329)</f>
        <v>0</v>
      </c>
      <c r="H256" s="390">
        <f>-SUMIF(Riders!$A$11:$A$329,CONCATENATE('II-H-4.1 Monthly'!$B$249,'II-H-4.1 Monthly'!$B256),Riders!I$11:I$329)</f>
        <v>-0.03</v>
      </c>
      <c r="I256" s="390">
        <f>-SUMIF(Riders!$A$11:$A$329,CONCATENATE('II-H-4.1 Monthly'!$B$249,'II-H-4.1 Monthly'!$B256),Riders!J$11:J$329)</f>
        <v>0</v>
      </c>
      <c r="J256" s="390">
        <f>-SUMIF(Riders!$A$11:$A$329,CONCATENATE('II-H-4.1 Monthly'!$B$249,'II-H-4.1 Monthly'!$B256),Riders!K$11:K$329)</f>
        <v>0</v>
      </c>
      <c r="K256" s="390">
        <f>-SUMIF(Riders!$A$11:$A$329,CONCATENATE('II-H-4.1 Monthly'!$B$249,'II-H-4.1 Monthly'!$B256),Riders!L$11:L$329)</f>
        <v>0</v>
      </c>
      <c r="L256" s="390">
        <f>-SUMIF(Riders!$A$11:$A$329,CONCATENATE('II-H-4.1 Monthly'!$B$249,'II-H-4.1 Monthly'!$B256),Riders!M$11:M$329)</f>
        <v>0</v>
      </c>
      <c r="M256" s="390">
        <f>-SUMIF(Riders!$A$11:$A$329,CONCATENATE('II-H-4.1 Monthly'!$B$249,'II-H-4.1 Monthly'!$B256),Riders!N$11:N$329)</f>
        <v>0</v>
      </c>
      <c r="N256" s="390">
        <f>-SUMIF(Riders!$A$11:$A$329,CONCATENATE('II-H-4.1 Monthly'!$B$249,'II-H-4.1 Monthly'!$B256),Riders!O$11:O$329)</f>
        <v>0</v>
      </c>
      <c r="O256" s="390">
        <f>-SUMIF(Riders!$A$11:$A$329,CONCATENATE('II-H-4.1 Monthly'!$B$249,'II-H-4.1 Monthly'!$B256),Riders!P$11:P$329)</f>
        <v>0</v>
      </c>
      <c r="P256" s="101">
        <f>SUM(D256:O256)</f>
        <v>10.190000000000001</v>
      </c>
      <c r="Q256" s="87"/>
      <c r="R256" s="436"/>
      <c r="S256" s="89"/>
      <c r="T256" s="89"/>
    </row>
    <row r="257" spans="1:20">
      <c r="A257" s="386">
        <v>4</v>
      </c>
      <c r="B257" s="87" t="s">
        <v>85</v>
      </c>
      <c r="C257" s="157" t="s">
        <v>4</v>
      </c>
      <c r="D257" s="388">
        <f>-SUMIF(Riders!$A$11:$A$329,CONCATENATE('II-H-4.1 Monthly'!$B$249,'II-H-4.1 Monthly'!$B257),Riders!E$11:E$329)</f>
        <v>0</v>
      </c>
      <c r="E257" s="388">
        <f>-SUMIF(Riders!$A$11:$A$329,CONCATENATE('II-H-4.1 Monthly'!$B$249,'II-H-4.1 Monthly'!$B257),Riders!F$11:F$329)</f>
        <v>0</v>
      </c>
      <c r="F257" s="388">
        <f>-SUMIF(Riders!$A$11:$A$329,CONCATENATE('II-H-4.1 Monthly'!$B$249,'II-H-4.1 Monthly'!$B257),Riders!G$11:G$329)</f>
        <v>0</v>
      </c>
      <c r="G257" s="388">
        <f>-SUMIF(Riders!$A$11:$A$329,CONCATENATE('II-H-4.1 Monthly'!$B$249,'II-H-4.1 Monthly'!$B257),Riders!H$11:H$329)</f>
        <v>0</v>
      </c>
      <c r="H257" s="388">
        <f>-SUMIF(Riders!$A$11:$A$329,CONCATENATE('II-H-4.1 Monthly'!$B$249,'II-H-4.1 Monthly'!$B257),Riders!I$11:I$329)</f>
        <v>0</v>
      </c>
      <c r="I257" s="388">
        <f>-SUMIF(Riders!$A$11:$A$329,CONCATENATE('II-H-4.1 Monthly'!$B$249,'II-H-4.1 Monthly'!$B257),Riders!J$11:J$329)</f>
        <v>0</v>
      </c>
      <c r="J257" s="388">
        <f>-SUMIF(Riders!$A$11:$A$329,CONCATENATE('II-H-4.1 Monthly'!$B$249,'II-H-4.1 Monthly'!$B257),Riders!K$11:K$329)</f>
        <v>0</v>
      </c>
      <c r="K257" s="388">
        <f>-SUMIF(Riders!$A$11:$A$329,CONCATENATE('II-H-4.1 Monthly'!$B$249,'II-H-4.1 Monthly'!$B257),Riders!L$11:L$329)</f>
        <v>0</v>
      </c>
      <c r="L257" s="388">
        <f>-SUMIF(Riders!$A$11:$A$329,CONCATENATE('II-H-4.1 Monthly'!$B$249,'II-H-4.1 Monthly'!$B257),Riders!M$11:M$329)</f>
        <v>0</v>
      </c>
      <c r="M257" s="388">
        <f>-SUMIF(Riders!$A$11:$A$329,CONCATENATE('II-H-4.1 Monthly'!$B$249,'II-H-4.1 Monthly'!$B257),Riders!N$11:N$329)</f>
        <v>0</v>
      </c>
      <c r="N257" s="388">
        <f>-SUMIF(Riders!$A$11:$A$329,CONCATENATE('II-H-4.1 Monthly'!$B$249,'II-H-4.1 Monthly'!$B257),Riders!O$11:O$329)</f>
        <v>0</v>
      </c>
      <c r="O257" s="388">
        <f>-SUMIF(Riders!$A$11:$A$329,CONCATENATE('II-H-4.1 Monthly'!$B$249,'II-H-4.1 Monthly'!$B257),Riders!P$11:P$329)</f>
        <v>0</v>
      </c>
      <c r="P257" s="388">
        <f>SUM(D257:O257)</f>
        <v>0</v>
      </c>
      <c r="Q257" s="87"/>
      <c r="R257" s="436"/>
      <c r="S257" s="89"/>
      <c r="T257" s="89"/>
    </row>
    <row r="258" spans="1:20">
      <c r="A258" s="386">
        <v>5</v>
      </c>
      <c r="B258" s="131" t="s">
        <v>18</v>
      </c>
      <c r="C258" s="99"/>
      <c r="D258" s="177">
        <f>SUM(D256:D257)</f>
        <v>8.39</v>
      </c>
      <c r="E258" s="177">
        <f t="shared" ref="E258:O258" si="101">SUM(E256:E257)</f>
        <v>0.42000000000000004</v>
      </c>
      <c r="F258" s="177">
        <f t="shared" si="101"/>
        <v>1.41</v>
      </c>
      <c r="G258" s="177">
        <f t="shared" si="101"/>
        <v>0</v>
      </c>
      <c r="H258" s="177">
        <f t="shared" si="101"/>
        <v>-0.03</v>
      </c>
      <c r="I258" s="177">
        <f t="shared" si="101"/>
        <v>0</v>
      </c>
      <c r="J258" s="177">
        <f t="shared" si="101"/>
        <v>0</v>
      </c>
      <c r="K258" s="177">
        <f t="shared" si="101"/>
        <v>0</v>
      </c>
      <c r="L258" s="177">
        <f t="shared" si="101"/>
        <v>0</v>
      </c>
      <c r="M258" s="177">
        <f t="shared" si="101"/>
        <v>0</v>
      </c>
      <c r="N258" s="177">
        <f t="shared" si="101"/>
        <v>0</v>
      </c>
      <c r="O258" s="177">
        <f t="shared" si="101"/>
        <v>0</v>
      </c>
      <c r="P258" s="177">
        <f>SUM(P256:P257)</f>
        <v>10.190000000000001</v>
      </c>
      <c r="Q258" s="137"/>
      <c r="R258" s="436"/>
      <c r="S258" s="89"/>
      <c r="T258" s="89"/>
    </row>
    <row r="259" spans="1:20">
      <c r="B259" s="147"/>
      <c r="C259" s="99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  <c r="O259" s="177"/>
      <c r="P259" s="177"/>
      <c r="Q259" s="137"/>
      <c r="R259" s="436"/>
      <c r="S259" s="89"/>
      <c r="T259" s="89"/>
    </row>
    <row r="260" spans="1:20">
      <c r="A260" s="386">
        <v>6</v>
      </c>
      <c r="B260" s="87" t="s">
        <v>82</v>
      </c>
      <c r="C260" s="157" t="s">
        <v>5</v>
      </c>
      <c r="D260" s="177">
        <f>-SUMIF(Riders!$A$11:$A$329,CONCATENATE('II-H-4.1 Monthly'!$B$249,'II-H-4.1 Monthly'!$B260),Riders!E$11:E$329)</f>
        <v>0</v>
      </c>
      <c r="E260" s="177">
        <f>-SUMIF(Riders!$A$11:$A$329,CONCATENATE('II-H-4.1 Monthly'!$B$249,'II-H-4.1 Monthly'!$B260),Riders!F$11:F$329)</f>
        <v>0</v>
      </c>
      <c r="F260" s="177">
        <f>-SUMIF(Riders!$A$11:$A$329,CONCATENATE('II-H-4.1 Monthly'!$B$249,'II-H-4.1 Monthly'!$B260),Riders!G$11:G$329)</f>
        <v>0</v>
      </c>
      <c r="G260" s="177">
        <f>-SUMIF(Riders!$A$11:$A$329,CONCATENATE('II-H-4.1 Monthly'!$B$249,'II-H-4.1 Monthly'!$B260),Riders!H$11:H$329)</f>
        <v>0</v>
      </c>
      <c r="H260" s="177">
        <f>-SUMIF(Riders!$A$11:$A$329,CONCATENATE('II-H-4.1 Monthly'!$B$249,'II-H-4.1 Monthly'!$B260),Riders!I$11:I$329)</f>
        <v>0</v>
      </c>
      <c r="I260" s="177">
        <f>-SUMIF(Riders!$A$11:$A$329,CONCATENATE('II-H-4.1 Monthly'!$B$249,'II-H-4.1 Monthly'!$B260),Riders!J$11:J$329)</f>
        <v>0</v>
      </c>
      <c r="J260" s="177">
        <f>-SUMIF(Riders!$A$11:$A$329,CONCATENATE('II-H-4.1 Monthly'!$B$249,'II-H-4.1 Monthly'!$B260),Riders!K$11:K$329)</f>
        <v>0</v>
      </c>
      <c r="K260" s="177">
        <f>-SUMIF(Riders!$A$11:$A$329,CONCATENATE('II-H-4.1 Monthly'!$B$249,'II-H-4.1 Monthly'!$B260),Riders!L$11:L$329)</f>
        <v>0</v>
      </c>
      <c r="L260" s="177">
        <f>-SUMIF(Riders!$A$11:$A$329,CONCATENATE('II-H-4.1 Monthly'!$B$249,'II-H-4.1 Monthly'!$B260),Riders!M$11:M$329)</f>
        <v>0</v>
      </c>
      <c r="M260" s="177">
        <f>-SUMIF(Riders!$A$11:$A$329,CONCATENATE('II-H-4.1 Monthly'!$B$249,'II-H-4.1 Monthly'!$B260),Riders!N$11:N$329)</f>
        <v>0</v>
      </c>
      <c r="N260" s="177">
        <f>-SUMIF(Riders!$A$11:$A$329,CONCATENATE('II-H-4.1 Monthly'!$B$249,'II-H-4.1 Monthly'!$B260),Riders!O$11:O$329)</f>
        <v>0</v>
      </c>
      <c r="O260" s="177">
        <f>-SUMIF(Riders!$A$11:$A$329,CONCATENATE('II-H-4.1 Monthly'!$B$249,'II-H-4.1 Monthly'!$B260),Riders!P$11:P$329)</f>
        <v>0</v>
      </c>
      <c r="P260" s="101">
        <f>SUM(D260:O260)</f>
        <v>0</v>
      </c>
      <c r="Q260" s="137"/>
      <c r="R260" s="436"/>
      <c r="S260" s="89"/>
      <c r="T260" s="89"/>
    </row>
    <row r="261" spans="1:20">
      <c r="A261" s="386">
        <v>7</v>
      </c>
      <c r="B261" s="87" t="s">
        <v>83</v>
      </c>
      <c r="C261" s="157" t="s">
        <v>5</v>
      </c>
      <c r="D261" s="390">
        <f>-SUMIF(Riders!$A$11:$A$329,CONCATENATE('II-H-4.1 Monthly'!$B$249,'II-H-4.1 Monthly'!$B261),Riders!E$11:E$329)</f>
        <v>0</v>
      </c>
      <c r="E261" s="390">
        <f>-SUMIF(Riders!$A$11:$A$329,CONCATENATE('II-H-4.1 Monthly'!$B$249,'II-H-4.1 Monthly'!$B261),Riders!F$11:F$329)</f>
        <v>0</v>
      </c>
      <c r="F261" s="390">
        <f>-SUMIF(Riders!$A$11:$A$329,CONCATENATE('II-H-4.1 Monthly'!$B$249,'II-H-4.1 Monthly'!$B261),Riders!G$11:G$329)</f>
        <v>0</v>
      </c>
      <c r="G261" s="390">
        <f>-SUMIF(Riders!$A$11:$A$329,CONCATENATE('II-H-4.1 Monthly'!$B$249,'II-H-4.1 Monthly'!$B261),Riders!H$11:H$329)</f>
        <v>0</v>
      </c>
      <c r="H261" s="390">
        <f>-SUMIF(Riders!$A$11:$A$329,CONCATENATE('II-H-4.1 Monthly'!$B$249,'II-H-4.1 Monthly'!$B261),Riders!I$11:I$329)</f>
        <v>0</v>
      </c>
      <c r="I261" s="390">
        <f>-SUMIF(Riders!$A$11:$A$329,CONCATENATE('II-H-4.1 Monthly'!$B$249,'II-H-4.1 Monthly'!$B261),Riders!J$11:J$329)</f>
        <v>0</v>
      </c>
      <c r="J261" s="390">
        <f>-SUMIF(Riders!$A$11:$A$329,CONCATENATE('II-H-4.1 Monthly'!$B$249,'II-H-4.1 Monthly'!$B261),Riders!K$11:K$329)</f>
        <v>0</v>
      </c>
      <c r="K261" s="390">
        <f>-SUMIF(Riders!$A$11:$A$329,CONCATENATE('II-H-4.1 Monthly'!$B$249,'II-H-4.1 Monthly'!$B261),Riders!L$11:L$329)</f>
        <v>0</v>
      </c>
      <c r="L261" s="390">
        <f>-SUMIF(Riders!$A$11:$A$329,CONCATENATE('II-H-4.1 Monthly'!$B$249,'II-H-4.1 Monthly'!$B261),Riders!M$11:M$329)</f>
        <v>0</v>
      </c>
      <c r="M261" s="390">
        <f>-SUMIF(Riders!$A$11:$A$329,CONCATENATE('II-H-4.1 Monthly'!$B$249,'II-H-4.1 Monthly'!$B261),Riders!N$11:N$329)</f>
        <v>0</v>
      </c>
      <c r="N261" s="390">
        <f>-SUMIF(Riders!$A$11:$A$329,CONCATENATE('II-H-4.1 Monthly'!$B$249,'II-H-4.1 Monthly'!$B261),Riders!O$11:O$329)</f>
        <v>0</v>
      </c>
      <c r="O261" s="390">
        <f>-SUMIF(Riders!$A$11:$A$329,CONCATENATE('II-H-4.1 Monthly'!$B$249,'II-H-4.1 Monthly'!$B261),Riders!P$11:P$329)</f>
        <v>0</v>
      </c>
      <c r="P261" s="158">
        <f>SUM(D261:O261)</f>
        <v>0</v>
      </c>
      <c r="Q261" s="137"/>
      <c r="R261" s="436"/>
      <c r="S261" s="89"/>
      <c r="T261" s="89"/>
    </row>
    <row r="262" spans="1:20">
      <c r="A262" s="386">
        <v>8</v>
      </c>
      <c r="B262" s="87" t="s">
        <v>148</v>
      </c>
      <c r="C262" s="157" t="s">
        <v>5</v>
      </c>
      <c r="D262" s="390">
        <f>-SUMIF(Riders!$A$11:$A$329,CONCATENATE('II-H-4.1 Monthly'!$B$249,'II-H-4.1 Monthly'!$B262),Riders!E$11:E$329)</f>
        <v>0</v>
      </c>
      <c r="E262" s="390">
        <f>-SUMIF(Riders!$A$11:$A$329,CONCATENATE('II-H-4.1 Monthly'!$B$249,'II-H-4.1 Monthly'!$B262),Riders!F$11:F$329)</f>
        <v>0</v>
      </c>
      <c r="F262" s="390">
        <f>-SUMIF(Riders!$A$11:$A$329,CONCATENATE('II-H-4.1 Monthly'!$B$249,'II-H-4.1 Monthly'!$B262),Riders!G$11:G$329)</f>
        <v>0</v>
      </c>
      <c r="G262" s="390">
        <f>-SUMIF(Riders!$A$11:$A$329,CONCATENATE('II-H-4.1 Monthly'!$B$249,'II-H-4.1 Monthly'!$B262),Riders!H$11:H$329)</f>
        <v>0</v>
      </c>
      <c r="H262" s="390">
        <f>-SUMIF(Riders!$A$11:$A$329,CONCATENATE('II-H-4.1 Monthly'!$B$249,'II-H-4.1 Monthly'!$B262),Riders!I$11:I$329)</f>
        <v>0</v>
      </c>
      <c r="I262" s="390">
        <f>-SUMIF(Riders!$A$11:$A$329,CONCATENATE('II-H-4.1 Monthly'!$B$249,'II-H-4.1 Monthly'!$B262),Riders!J$11:J$329)</f>
        <v>0</v>
      </c>
      <c r="J262" s="390">
        <f>-SUMIF(Riders!$A$11:$A$329,CONCATENATE('II-H-4.1 Monthly'!$B$249,'II-H-4.1 Monthly'!$B262),Riders!K$11:K$329)</f>
        <v>0</v>
      </c>
      <c r="K262" s="390">
        <f>-SUMIF(Riders!$A$11:$A$329,CONCATENATE('II-H-4.1 Monthly'!$B$249,'II-H-4.1 Monthly'!$B262),Riders!L$11:L$329)</f>
        <v>0</v>
      </c>
      <c r="L262" s="390">
        <f>-SUMIF(Riders!$A$11:$A$329,CONCATENATE('II-H-4.1 Monthly'!$B$249,'II-H-4.1 Monthly'!$B262),Riders!M$11:M$329)</f>
        <v>0</v>
      </c>
      <c r="M262" s="390">
        <f>-SUMIF(Riders!$A$11:$A$329,CONCATENATE('II-H-4.1 Monthly'!$B$249,'II-H-4.1 Monthly'!$B262),Riders!N$11:N$329)</f>
        <v>0</v>
      </c>
      <c r="N262" s="390">
        <f>-SUMIF(Riders!$A$11:$A$329,CONCATENATE('II-H-4.1 Monthly'!$B$249,'II-H-4.1 Monthly'!$B262),Riders!O$11:O$329)</f>
        <v>0</v>
      </c>
      <c r="O262" s="390">
        <f>-SUMIF(Riders!$A$11:$A$329,CONCATENATE('II-H-4.1 Monthly'!$B$249,'II-H-4.1 Monthly'!$B262),Riders!P$11:P$329)</f>
        <v>0</v>
      </c>
      <c r="P262" s="158">
        <f t="shared" ref="P262:P263" si="102">SUM(D262:O262)</f>
        <v>0</v>
      </c>
      <c r="Q262" s="137"/>
      <c r="R262" s="436"/>
      <c r="S262" s="89"/>
      <c r="T262" s="89"/>
    </row>
    <row r="263" spans="1:20">
      <c r="A263" s="386">
        <v>9</v>
      </c>
      <c r="B263" s="87" t="s">
        <v>149</v>
      </c>
      <c r="C263" s="157" t="s">
        <v>5</v>
      </c>
      <c r="D263" s="390">
        <f>-SUMIF(Riders!$A$11:$A$329,CONCATENATE('II-H-4.1 Monthly'!$B$249,'II-H-4.1 Monthly'!$B263),Riders!E$11:E$329)</f>
        <v>0</v>
      </c>
      <c r="E263" s="390">
        <f>-SUMIF(Riders!$A$11:$A$329,CONCATENATE('II-H-4.1 Monthly'!$B$249,'II-H-4.1 Monthly'!$B263),Riders!F$11:F$329)</f>
        <v>0</v>
      </c>
      <c r="F263" s="390">
        <f>-SUMIF(Riders!$A$11:$A$329,CONCATENATE('II-H-4.1 Monthly'!$B$249,'II-H-4.1 Monthly'!$B263),Riders!G$11:G$329)</f>
        <v>0</v>
      </c>
      <c r="G263" s="390">
        <f>-SUMIF(Riders!$A$11:$A$329,CONCATENATE('II-H-4.1 Monthly'!$B$249,'II-H-4.1 Monthly'!$B263),Riders!H$11:H$329)</f>
        <v>0</v>
      </c>
      <c r="H263" s="390">
        <f>-SUMIF(Riders!$A$11:$A$329,CONCATENATE('II-H-4.1 Monthly'!$B$249,'II-H-4.1 Monthly'!$B263),Riders!I$11:I$329)</f>
        <v>0</v>
      </c>
      <c r="I263" s="390">
        <f>-SUMIF(Riders!$A$11:$A$329,CONCATENATE('II-H-4.1 Monthly'!$B$249,'II-H-4.1 Monthly'!$B263),Riders!J$11:J$329)</f>
        <v>0</v>
      </c>
      <c r="J263" s="390">
        <f>-SUMIF(Riders!$A$11:$A$329,CONCATENATE('II-H-4.1 Monthly'!$B$249,'II-H-4.1 Monthly'!$B263),Riders!K$11:K$329)</f>
        <v>0</v>
      </c>
      <c r="K263" s="390">
        <f>-SUMIF(Riders!$A$11:$A$329,CONCATENATE('II-H-4.1 Monthly'!$B$249,'II-H-4.1 Monthly'!$B263),Riders!L$11:L$329)</f>
        <v>0</v>
      </c>
      <c r="L263" s="390">
        <f>-SUMIF(Riders!$A$11:$A$329,CONCATENATE('II-H-4.1 Monthly'!$B$249,'II-H-4.1 Monthly'!$B263),Riders!M$11:M$329)</f>
        <v>0</v>
      </c>
      <c r="M263" s="390">
        <f>-SUMIF(Riders!$A$11:$A$329,CONCATENATE('II-H-4.1 Monthly'!$B$249,'II-H-4.1 Monthly'!$B263),Riders!N$11:N$329)</f>
        <v>0</v>
      </c>
      <c r="N263" s="390">
        <f>-SUMIF(Riders!$A$11:$A$329,CONCATENATE('II-H-4.1 Monthly'!$B$249,'II-H-4.1 Monthly'!$B263),Riders!O$11:O$329)</f>
        <v>0</v>
      </c>
      <c r="O263" s="390">
        <f>-SUMIF(Riders!$A$11:$A$329,CONCATENATE('II-H-4.1 Monthly'!$B$249,'II-H-4.1 Monthly'!$B263),Riders!P$11:P$329)</f>
        <v>0</v>
      </c>
      <c r="P263" s="158">
        <f t="shared" si="102"/>
        <v>0</v>
      </c>
      <c r="Q263" s="137"/>
      <c r="R263" s="436"/>
      <c r="S263" s="89"/>
      <c r="T263" s="89"/>
    </row>
    <row r="264" spans="1:20">
      <c r="A264" s="386">
        <v>10</v>
      </c>
      <c r="B264" s="87" t="s">
        <v>19</v>
      </c>
      <c r="C264" s="157"/>
      <c r="D264" s="391">
        <f>SUM(D260:D263)</f>
        <v>0</v>
      </c>
      <c r="E264" s="391">
        <f t="shared" ref="E264" si="103">SUM(E260:E263)</f>
        <v>0</v>
      </c>
      <c r="F264" s="391">
        <f t="shared" ref="F264" si="104">SUM(F260:F263)</f>
        <v>0</v>
      </c>
      <c r="G264" s="391">
        <f t="shared" ref="G264" si="105">SUM(G260:G263)</f>
        <v>0</v>
      </c>
      <c r="H264" s="391">
        <f t="shared" ref="H264" si="106">SUM(H260:H263)</f>
        <v>0</v>
      </c>
      <c r="I264" s="391">
        <f t="shared" ref="I264" si="107">SUM(I260:I263)</f>
        <v>0</v>
      </c>
      <c r="J264" s="391">
        <f t="shared" ref="J264" si="108">SUM(J260:J263)</f>
        <v>0</v>
      </c>
      <c r="K264" s="391">
        <f t="shared" ref="K264" si="109">SUM(K260:K263)</f>
        <v>0</v>
      </c>
      <c r="L264" s="391">
        <f>SUM(L260:L263)</f>
        <v>0</v>
      </c>
      <c r="M264" s="391">
        <f t="shared" ref="M264" si="110">SUM(M260:M263)</f>
        <v>0</v>
      </c>
      <c r="N264" s="391">
        <f t="shared" ref="N264" si="111">SUM(N260:N263)</f>
        <v>0</v>
      </c>
      <c r="O264" s="391">
        <f>SUM(O260:O263)</f>
        <v>0</v>
      </c>
      <c r="P264" s="391">
        <f t="shared" ref="P264" si="112">SUM(P260:P263)</f>
        <v>0</v>
      </c>
      <c r="Q264" s="89"/>
      <c r="R264" s="89"/>
      <c r="S264" s="89"/>
      <c r="T264" s="89"/>
    </row>
    <row r="265" spans="1:20">
      <c r="A265" s="386"/>
      <c r="B265" s="87"/>
      <c r="C265" s="15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  <c r="O265" s="177"/>
      <c r="P265" s="101"/>
      <c r="Q265" s="89"/>
      <c r="R265" s="89"/>
      <c r="S265" s="89"/>
      <c r="T265" s="89"/>
    </row>
    <row r="266" spans="1:20">
      <c r="A266" s="386">
        <v>11</v>
      </c>
      <c r="B266" s="131" t="s">
        <v>86</v>
      </c>
      <c r="C266" s="157" t="s">
        <v>6</v>
      </c>
      <c r="D266" s="177">
        <f>-SUMIF(Riders!$A$11:$A$329,CONCATENATE('II-H-4.1 Monthly'!$B$249,'II-H-4.1 Monthly'!$B266),Riders!E$11:E$329)</f>
        <v>470</v>
      </c>
      <c r="E266" s="177">
        <f>-SUMIF(Riders!$A$11:$A$329,CONCATENATE('II-H-4.1 Monthly'!$B$249,'II-H-4.1 Monthly'!$B266),Riders!F$11:F$329)</f>
        <v>410</v>
      </c>
      <c r="F266" s="177">
        <f>-SUMIF(Riders!$A$11:$A$329,CONCATENATE('II-H-4.1 Monthly'!$B$249,'II-H-4.1 Monthly'!$B266),Riders!G$11:G$329)</f>
        <v>410</v>
      </c>
      <c r="G266" s="177">
        <f>-SUMIF(Riders!$A$11:$A$329,CONCATENATE('II-H-4.1 Monthly'!$B$249,'II-H-4.1 Monthly'!$B266),Riders!H$11:H$329)</f>
        <v>380</v>
      </c>
      <c r="H266" s="177">
        <f>-SUMIF(Riders!$A$11:$A$329,CONCATENATE('II-H-4.1 Monthly'!$B$249,'II-H-4.1 Monthly'!$B266),Riders!I$11:I$329)</f>
        <v>440</v>
      </c>
      <c r="I266" s="177">
        <f>-SUMIF(Riders!$A$11:$A$329,CONCATENATE('II-H-4.1 Monthly'!$B$249,'II-H-4.1 Monthly'!$B266),Riders!J$11:J$329)</f>
        <v>380</v>
      </c>
      <c r="J266" s="177">
        <f>-SUMIF(Riders!$A$11:$A$329,CONCATENATE('II-H-4.1 Monthly'!$B$249,'II-H-4.1 Monthly'!$B266),Riders!K$11:K$329)</f>
        <v>380</v>
      </c>
      <c r="K266" s="177">
        <f>-SUMIF(Riders!$A$11:$A$329,CONCATENATE('II-H-4.1 Monthly'!$B$249,'II-H-4.1 Monthly'!$B266),Riders!L$11:L$329)</f>
        <v>560</v>
      </c>
      <c r="L266" s="177">
        <f>-SUMIF(Riders!$A$11:$A$329,CONCATENATE('II-H-4.1 Monthly'!$B$249,'II-H-4.1 Monthly'!$B266),Riders!M$11:M$329)</f>
        <v>440</v>
      </c>
      <c r="M266" s="177">
        <f>-SUMIF(Riders!$A$11:$A$329,CONCATENATE('II-H-4.1 Monthly'!$B$249,'II-H-4.1 Monthly'!$B266),Riders!N$11:N$329)</f>
        <v>456</v>
      </c>
      <c r="N266" s="177">
        <f>-SUMIF(Riders!$A$11:$A$329,CONCATENATE('II-H-4.1 Monthly'!$B$249,'II-H-4.1 Monthly'!$B266),Riders!O$11:O$329)</f>
        <v>560</v>
      </c>
      <c r="O266" s="177">
        <f>-SUMIF(Riders!$A$11:$A$329,CONCATENATE('II-H-4.1 Monthly'!$B$249,'II-H-4.1 Monthly'!$B266),Riders!P$11:P$329)</f>
        <v>380</v>
      </c>
      <c r="P266" s="101">
        <f>SUM(D266:O266)</f>
        <v>5266</v>
      </c>
      <c r="Q266" s="89"/>
    </row>
    <row r="267" spans="1:20">
      <c r="B267" s="87"/>
      <c r="C267" s="99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  <c r="O267" s="177"/>
      <c r="P267" s="177"/>
    </row>
    <row r="268" spans="1:20">
      <c r="A268" s="386">
        <v>12</v>
      </c>
      <c r="B268" s="89" t="s">
        <v>21</v>
      </c>
      <c r="C268" s="157" t="s">
        <v>4</v>
      </c>
      <c r="D268" s="429">
        <f>-SUMIF(Riders!$A$11:$A$329,CONCATENATE('II-H-4.1 Monthly'!$B$249,'II-H-4.1 Monthly'!$B268),Riders!E$11:E$329)</f>
        <v>0</v>
      </c>
      <c r="E268" s="429">
        <f>-SUMIF(Riders!$A$11:$A$329,CONCATENATE('II-H-4.1 Monthly'!$B$249,'II-H-4.1 Monthly'!$B268),Riders!F$11:F$329)</f>
        <v>-18.079999999999998</v>
      </c>
      <c r="F268" s="429">
        <f>-SUMIF(Riders!$A$11:$A$329,CONCATENATE('II-H-4.1 Monthly'!$B$249,'II-H-4.1 Monthly'!$B268),Riders!G$11:G$329)</f>
        <v>-0.82000000000000006</v>
      </c>
      <c r="G268" s="429">
        <f>-SUMIF(Riders!$A$11:$A$329,CONCATENATE('II-H-4.1 Monthly'!$B$249,'II-H-4.1 Monthly'!$B268),Riders!H$11:H$329)</f>
        <v>0</v>
      </c>
      <c r="H268" s="429">
        <f>-SUMIF(Riders!$A$11:$A$329,CONCATENATE('II-H-4.1 Monthly'!$B$249,'II-H-4.1 Monthly'!$B268),Riders!I$11:I$329)</f>
        <v>-165.23999999999998</v>
      </c>
      <c r="I268" s="429">
        <f>-SUMIF(Riders!$A$11:$A$329,CONCATENATE('II-H-4.1 Monthly'!$B$249,'II-H-4.1 Monthly'!$B268),Riders!J$11:J$329)</f>
        <v>-1.32</v>
      </c>
      <c r="J268" s="429">
        <f>-SUMIF(Riders!$A$11:$A$329,CONCATENATE('II-H-4.1 Monthly'!$B$249,'II-H-4.1 Monthly'!$B268),Riders!K$11:K$329)</f>
        <v>0</v>
      </c>
      <c r="K268" s="429">
        <f>-SUMIF(Riders!$A$11:$A$329,CONCATENATE('II-H-4.1 Monthly'!$B$249,'II-H-4.1 Monthly'!$B268),Riders!L$11:L$329)</f>
        <v>0</v>
      </c>
      <c r="L268" s="429">
        <f>-SUMIF(Riders!$A$11:$A$329,CONCATENATE('II-H-4.1 Monthly'!$B$249,'II-H-4.1 Monthly'!$B268),Riders!M$11:M$329)</f>
        <v>0</v>
      </c>
      <c r="M268" s="429">
        <f>-SUMIF(Riders!$A$11:$A$329,CONCATENATE('II-H-4.1 Monthly'!$B$249,'II-H-4.1 Monthly'!$B268),Riders!N$11:N$329)</f>
        <v>0</v>
      </c>
      <c r="N268" s="429">
        <f>-SUMIF(Riders!$A$11:$A$329,CONCATENATE('II-H-4.1 Monthly'!$B$249,'II-H-4.1 Monthly'!$B268),Riders!O$11:O$329)</f>
        <v>0</v>
      </c>
      <c r="O268" s="429">
        <f>-SUMIF(Riders!$A$11:$A$329,CONCATENATE('II-H-4.1 Monthly'!$B$249,'II-H-4.1 Monthly'!$B268),Riders!P$11:P$329)</f>
        <v>0</v>
      </c>
      <c r="P268" s="101">
        <f>SUM(D268:O268)</f>
        <v>-185.45999999999998</v>
      </c>
    </row>
    <row r="269" spans="1:20">
      <c r="A269" s="386"/>
      <c r="B269" s="87"/>
      <c r="C269" s="99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  <c r="O269" s="177"/>
      <c r="P269" s="177"/>
    </row>
    <row r="270" spans="1:20">
      <c r="A270" s="386">
        <v>13</v>
      </c>
      <c r="B270" s="393" t="s">
        <v>22</v>
      </c>
      <c r="C270" s="362"/>
      <c r="D270" s="394">
        <f>D268+D266+D264+D258+D254+D252</f>
        <v>380.43</v>
      </c>
      <c r="E270" s="394">
        <f>E268+E266+E264+E258+E254+E252</f>
        <v>352.18</v>
      </c>
      <c r="F270" s="394">
        <f t="shared" ref="F270:O270" si="113">F268+F266+F264+F258+F254+F252</f>
        <v>404.29</v>
      </c>
      <c r="G270" s="394">
        <f t="shared" si="113"/>
        <v>384.61</v>
      </c>
      <c r="H270" s="394">
        <f t="shared" si="113"/>
        <v>273.82</v>
      </c>
      <c r="I270" s="394">
        <f t="shared" si="113"/>
        <v>378.68</v>
      </c>
      <c r="J270" s="394">
        <f t="shared" si="113"/>
        <v>369.65</v>
      </c>
      <c r="K270" s="394">
        <f t="shared" si="113"/>
        <v>560</v>
      </c>
      <c r="L270" s="394">
        <f t="shared" si="113"/>
        <v>440</v>
      </c>
      <c r="M270" s="394">
        <f t="shared" si="113"/>
        <v>455.95</v>
      </c>
      <c r="N270" s="394">
        <f t="shared" si="113"/>
        <v>560</v>
      </c>
      <c r="O270" s="394">
        <f t="shared" si="113"/>
        <v>380</v>
      </c>
      <c r="P270" s="394">
        <f>P268+P266+P264+P258+P254+P252</f>
        <v>4939.6099999999997</v>
      </c>
    </row>
    <row r="271" spans="1:20">
      <c r="B271" s="362"/>
      <c r="C271" s="362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</row>
    <row r="272" spans="1:20">
      <c r="A272" s="386">
        <v>14</v>
      </c>
      <c r="B272" s="89" t="s">
        <v>69</v>
      </c>
      <c r="C272" s="157" t="s">
        <v>5</v>
      </c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  <c r="O272" s="177"/>
      <c r="P272" s="101">
        <f>SUM(D272:O272)</f>
        <v>0</v>
      </c>
    </row>
    <row r="273" spans="1:145">
      <c r="A273" s="386">
        <v>15</v>
      </c>
      <c r="B273" s="89" t="s">
        <v>70</v>
      </c>
      <c r="C273" s="157" t="s">
        <v>6</v>
      </c>
      <c r="D273" s="388"/>
      <c r="E273" s="388"/>
      <c r="F273" s="388"/>
      <c r="G273" s="388"/>
      <c r="H273" s="388"/>
      <c r="I273" s="388"/>
      <c r="J273" s="388"/>
      <c r="K273" s="388"/>
      <c r="L273" s="388"/>
      <c r="M273" s="388"/>
      <c r="N273" s="388"/>
      <c r="O273" s="388"/>
      <c r="P273" s="425">
        <f>SUM(D273:O273)</f>
        <v>0</v>
      </c>
    </row>
    <row r="274" spans="1:145">
      <c r="A274" s="386">
        <v>16</v>
      </c>
      <c r="B274" s="393" t="s">
        <v>23</v>
      </c>
      <c r="C274" s="361"/>
      <c r="D274" s="101">
        <f t="shared" ref="D274:P274" si="114">SUM(D272:D273)</f>
        <v>0</v>
      </c>
      <c r="E274" s="101">
        <f t="shared" si="114"/>
        <v>0</v>
      </c>
      <c r="F274" s="101">
        <f t="shared" si="114"/>
        <v>0</v>
      </c>
      <c r="G274" s="101">
        <f t="shared" si="114"/>
        <v>0</v>
      </c>
      <c r="H274" s="101">
        <f t="shared" si="114"/>
        <v>0</v>
      </c>
      <c r="I274" s="101">
        <f t="shared" si="114"/>
        <v>0</v>
      </c>
      <c r="J274" s="101">
        <f t="shared" si="114"/>
        <v>0</v>
      </c>
      <c r="K274" s="101">
        <f t="shared" si="114"/>
        <v>0</v>
      </c>
      <c r="L274" s="101">
        <f t="shared" si="114"/>
        <v>0</v>
      </c>
      <c r="M274" s="101">
        <f t="shared" si="114"/>
        <v>0</v>
      </c>
      <c r="N274" s="101">
        <f t="shared" si="114"/>
        <v>0</v>
      </c>
      <c r="O274" s="101">
        <f t="shared" si="114"/>
        <v>0</v>
      </c>
      <c r="P274" s="101">
        <f t="shared" si="114"/>
        <v>0</v>
      </c>
    </row>
    <row r="275" spans="1:145">
      <c r="A275" s="386"/>
      <c r="B275" s="87"/>
      <c r="C275" s="396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  <c r="O275" s="177"/>
      <c r="P275" s="177"/>
    </row>
    <row r="276" spans="1:145" ht="12" thickBot="1">
      <c r="A276" s="386">
        <v>17</v>
      </c>
      <c r="B276" s="147" t="s">
        <v>92</v>
      </c>
      <c r="C276" s="361"/>
      <c r="D276" s="426">
        <f t="shared" ref="D276" si="115">+D274+D270</f>
        <v>380.43</v>
      </c>
      <c r="E276" s="426">
        <f>+E274+E270</f>
        <v>352.18</v>
      </c>
      <c r="F276" s="426">
        <f t="shared" ref="F276:O276" si="116">+F274+F270</f>
        <v>404.29</v>
      </c>
      <c r="G276" s="426">
        <f t="shared" si="116"/>
        <v>384.61</v>
      </c>
      <c r="H276" s="426">
        <f t="shared" si="116"/>
        <v>273.82</v>
      </c>
      <c r="I276" s="426">
        <f t="shared" si="116"/>
        <v>378.68</v>
      </c>
      <c r="J276" s="426">
        <f t="shared" si="116"/>
        <v>369.65</v>
      </c>
      <c r="K276" s="426">
        <f t="shared" si="116"/>
        <v>560</v>
      </c>
      <c r="L276" s="426">
        <f t="shared" si="116"/>
        <v>440</v>
      </c>
      <c r="M276" s="426">
        <f t="shared" si="116"/>
        <v>455.95</v>
      </c>
      <c r="N276" s="426">
        <f t="shared" si="116"/>
        <v>560</v>
      </c>
      <c r="O276" s="426">
        <f t="shared" si="116"/>
        <v>380</v>
      </c>
      <c r="P276" s="426">
        <f>+P274+P270</f>
        <v>4939.6099999999997</v>
      </c>
      <c r="Q276" s="419"/>
      <c r="R276" s="437">
        <f>R277+Riders!Q328</f>
        <v>0</v>
      </c>
    </row>
    <row r="277" spans="1:145" ht="12.75" thickTop="1" thickBot="1">
      <c r="A277" s="438"/>
      <c r="B277" s="279"/>
      <c r="C277" s="439"/>
      <c r="D277" s="440"/>
      <c r="E277" s="440"/>
      <c r="F277" s="440"/>
      <c r="G277" s="440"/>
      <c r="H277" s="440"/>
      <c r="I277" s="440"/>
      <c r="J277" s="440"/>
      <c r="K277" s="440"/>
      <c r="L277" s="440"/>
      <c r="M277" s="440"/>
      <c r="N277" s="440"/>
      <c r="O277" s="440"/>
      <c r="P277" s="441"/>
      <c r="Q277" s="442"/>
      <c r="R277" s="437">
        <f>P276+P242+P208+P175+P141+P107+P73</f>
        <v>-659926382.45000005</v>
      </c>
    </row>
    <row r="278" spans="1:145" ht="12" thickTop="1">
      <c r="A278" s="443"/>
      <c r="B278" s="393"/>
      <c r="C278" s="362"/>
      <c r="D278" s="158"/>
      <c r="E278" s="158"/>
      <c r="F278" s="158"/>
      <c r="G278" s="158"/>
      <c r="H278" s="158"/>
      <c r="I278" s="158"/>
      <c r="J278" s="158"/>
      <c r="K278" s="158"/>
      <c r="L278" s="158"/>
      <c r="M278" s="158"/>
      <c r="N278" s="158"/>
      <c r="O278" s="158"/>
      <c r="P278" s="158"/>
    </row>
    <row r="279" spans="1:145" s="87" customFormat="1" ht="12.75" customHeight="1">
      <c r="B279" s="444" t="str">
        <f>B8</f>
        <v>AEP TEXAS</v>
      </c>
      <c r="C279" s="444"/>
      <c r="D279" s="444"/>
      <c r="E279" s="444"/>
      <c r="F279" s="444"/>
      <c r="G279" s="444"/>
      <c r="H279" s="444"/>
      <c r="I279" s="444"/>
      <c r="J279" s="444"/>
      <c r="K279" s="444"/>
      <c r="L279" s="444"/>
      <c r="M279" s="444"/>
      <c r="N279" s="444"/>
      <c r="O279" s="444"/>
      <c r="P279" s="444"/>
      <c r="Q279" s="136">
        <f>+P39+R277-'II-H-4.1 Functions'!G19</f>
        <v>587399898.77999985</v>
      </c>
      <c r="R279" s="89" t="s">
        <v>490</v>
      </c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89"/>
      <c r="AJ279" s="89"/>
      <c r="AK279" s="89"/>
      <c r="AL279" s="89"/>
      <c r="AM279" s="89"/>
      <c r="AN279" s="89"/>
      <c r="AO279" s="89"/>
      <c r="AP279" s="89"/>
      <c r="AQ279" s="89"/>
      <c r="AR279" s="89"/>
      <c r="AS279" s="89"/>
      <c r="AT279" s="89"/>
      <c r="AU279" s="89"/>
      <c r="AV279" s="89"/>
      <c r="AW279" s="89"/>
      <c r="AX279" s="89"/>
      <c r="AY279" s="89"/>
      <c r="AZ279" s="89"/>
      <c r="BA279" s="89"/>
      <c r="BB279" s="89"/>
      <c r="BC279" s="89"/>
      <c r="BD279" s="89"/>
      <c r="BE279" s="89"/>
      <c r="BF279" s="89"/>
      <c r="BG279" s="89"/>
      <c r="BH279" s="89"/>
      <c r="BI279" s="89"/>
      <c r="BJ279" s="89"/>
      <c r="BK279" s="89"/>
      <c r="BL279" s="89"/>
      <c r="BM279" s="89"/>
      <c r="BN279" s="89"/>
      <c r="BO279" s="89"/>
      <c r="BP279" s="89"/>
      <c r="BQ279" s="89"/>
      <c r="BR279" s="89"/>
      <c r="BS279" s="89"/>
      <c r="BT279" s="89"/>
      <c r="BU279" s="89"/>
      <c r="BV279" s="89"/>
      <c r="BW279" s="89"/>
      <c r="BX279" s="89"/>
      <c r="BY279" s="89"/>
      <c r="BZ279" s="89"/>
      <c r="CA279" s="89"/>
      <c r="CB279" s="89"/>
      <c r="CC279" s="89"/>
      <c r="CD279" s="89"/>
      <c r="CE279" s="89"/>
      <c r="CF279" s="89"/>
      <c r="CG279" s="89"/>
      <c r="CH279" s="89"/>
      <c r="CI279" s="89"/>
      <c r="CJ279" s="89"/>
      <c r="CK279" s="89"/>
      <c r="CL279" s="89"/>
      <c r="CM279" s="89"/>
      <c r="CN279" s="89"/>
      <c r="CO279" s="89"/>
      <c r="CP279" s="89"/>
      <c r="CQ279" s="89"/>
      <c r="CR279" s="89"/>
      <c r="CS279" s="89"/>
      <c r="CT279" s="89"/>
      <c r="CU279" s="89"/>
      <c r="CV279" s="89"/>
      <c r="CW279" s="89"/>
      <c r="CX279" s="89"/>
      <c r="CY279" s="89"/>
      <c r="CZ279" s="89"/>
      <c r="DA279" s="89"/>
      <c r="DB279" s="89"/>
      <c r="DC279" s="89"/>
      <c r="DD279" s="89"/>
      <c r="DE279" s="89"/>
      <c r="DF279" s="89"/>
      <c r="DG279" s="89"/>
      <c r="DH279" s="89"/>
      <c r="DI279" s="89"/>
      <c r="DJ279" s="89"/>
      <c r="DK279" s="89"/>
      <c r="DL279" s="89"/>
      <c r="DM279" s="89"/>
      <c r="DN279" s="89"/>
      <c r="DO279" s="89"/>
      <c r="DP279" s="89"/>
      <c r="DQ279" s="89"/>
      <c r="DR279" s="89"/>
      <c r="DS279" s="89"/>
      <c r="DT279" s="89"/>
      <c r="DU279" s="89"/>
      <c r="DV279" s="89"/>
      <c r="DW279" s="89"/>
      <c r="DX279" s="89"/>
      <c r="DY279" s="89"/>
      <c r="DZ279" s="89"/>
      <c r="EA279" s="89"/>
      <c r="EB279" s="89"/>
      <c r="EC279" s="89"/>
      <c r="ED279" s="89"/>
      <c r="EE279" s="89"/>
      <c r="EF279" s="89"/>
      <c r="EG279" s="89"/>
      <c r="EH279" s="89"/>
      <c r="EI279" s="89"/>
      <c r="EJ279" s="89"/>
      <c r="EK279" s="89"/>
      <c r="EL279" s="89"/>
      <c r="EM279" s="89"/>
      <c r="EN279" s="89"/>
      <c r="EO279" s="89"/>
    </row>
    <row r="280" spans="1:145" s="87" customFormat="1">
      <c r="B280" s="372" t="s">
        <v>50</v>
      </c>
      <c r="C280" s="444"/>
      <c r="D280" s="444"/>
      <c r="E280" s="444"/>
      <c r="F280" s="444"/>
      <c r="G280" s="444"/>
      <c r="H280" s="444"/>
      <c r="I280" s="444"/>
      <c r="J280" s="444"/>
      <c r="K280" s="444"/>
      <c r="L280" s="444"/>
      <c r="M280" s="444"/>
      <c r="N280" s="444"/>
      <c r="O280" s="444"/>
      <c r="P280" s="444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89"/>
      <c r="AJ280" s="89"/>
      <c r="AK280" s="89"/>
      <c r="AL280" s="89"/>
      <c r="AM280" s="89"/>
      <c r="AN280" s="89"/>
      <c r="AO280" s="89"/>
      <c r="AP280" s="89"/>
      <c r="AQ280" s="89"/>
      <c r="AR280" s="89"/>
      <c r="AS280" s="89"/>
      <c r="AT280" s="89"/>
      <c r="AU280" s="89"/>
      <c r="AV280" s="89"/>
      <c r="AW280" s="89"/>
      <c r="AX280" s="89"/>
      <c r="AY280" s="89"/>
      <c r="AZ280" s="89"/>
      <c r="BA280" s="89"/>
      <c r="BB280" s="89"/>
      <c r="BC280" s="89"/>
      <c r="BD280" s="89"/>
      <c r="BE280" s="89"/>
      <c r="BF280" s="89"/>
      <c r="BG280" s="89"/>
      <c r="BH280" s="89"/>
      <c r="BI280" s="89"/>
      <c r="BJ280" s="89"/>
      <c r="BK280" s="89"/>
      <c r="BL280" s="89"/>
      <c r="BM280" s="89"/>
      <c r="BN280" s="89"/>
      <c r="BO280" s="89"/>
      <c r="BP280" s="89"/>
      <c r="BQ280" s="89"/>
      <c r="BR280" s="89"/>
      <c r="BS280" s="89"/>
      <c r="BT280" s="89"/>
      <c r="BU280" s="89"/>
      <c r="BV280" s="89"/>
      <c r="BW280" s="89"/>
      <c r="BX280" s="89"/>
      <c r="BY280" s="89"/>
      <c r="BZ280" s="89"/>
      <c r="CA280" s="89"/>
      <c r="CB280" s="89"/>
      <c r="CC280" s="89"/>
      <c r="CD280" s="89"/>
      <c r="CE280" s="89"/>
      <c r="CF280" s="89"/>
      <c r="CG280" s="89"/>
      <c r="CH280" s="89"/>
      <c r="CI280" s="89"/>
      <c r="CJ280" s="89"/>
      <c r="CK280" s="89"/>
      <c r="CL280" s="89"/>
      <c r="CM280" s="89"/>
      <c r="CN280" s="89"/>
      <c r="CO280" s="89"/>
      <c r="CP280" s="89"/>
      <c r="CQ280" s="89"/>
      <c r="CR280" s="89"/>
      <c r="CS280" s="89"/>
      <c r="CT280" s="89"/>
      <c r="CU280" s="89"/>
      <c r="CV280" s="89"/>
      <c r="CW280" s="89"/>
      <c r="CX280" s="89"/>
      <c r="CY280" s="89"/>
      <c r="CZ280" s="89"/>
      <c r="DA280" s="89"/>
      <c r="DB280" s="89"/>
      <c r="DC280" s="89"/>
      <c r="DD280" s="89"/>
      <c r="DE280" s="89"/>
      <c r="DF280" s="89"/>
      <c r="DG280" s="89"/>
      <c r="DH280" s="89"/>
      <c r="DI280" s="89"/>
      <c r="DJ280" s="89"/>
      <c r="DK280" s="89"/>
      <c r="DL280" s="89"/>
      <c r="DM280" s="89"/>
      <c r="DN280" s="89"/>
      <c r="DO280" s="89"/>
      <c r="DP280" s="89"/>
      <c r="DQ280" s="89"/>
      <c r="DR280" s="89"/>
      <c r="DS280" s="89"/>
      <c r="DT280" s="89"/>
      <c r="DU280" s="89"/>
      <c r="DV280" s="89"/>
      <c r="DW280" s="89"/>
      <c r="DX280" s="89"/>
      <c r="DY280" s="89"/>
      <c r="DZ280" s="89"/>
      <c r="EA280" s="89"/>
      <c r="EB280" s="89"/>
      <c r="EC280" s="89"/>
      <c r="ED280" s="89"/>
      <c r="EE280" s="89"/>
      <c r="EF280" s="89"/>
      <c r="EG280" s="89"/>
      <c r="EH280" s="89"/>
      <c r="EI280" s="89"/>
      <c r="EJ280" s="89"/>
      <c r="EK280" s="89"/>
      <c r="EL280" s="89"/>
      <c r="EM280" s="89"/>
      <c r="EN280" s="89"/>
      <c r="EO280" s="89"/>
    </row>
    <row r="281" spans="1:145" s="87" customFormat="1">
      <c r="B281" s="444" t="str">
        <f>B10</f>
        <v>FOR TEST YEAR ENDED SEPTEMBER 30, 2023</v>
      </c>
      <c r="C281" s="444"/>
      <c r="D281" s="444"/>
      <c r="E281" s="444"/>
      <c r="F281" s="444"/>
      <c r="G281" s="444"/>
      <c r="H281" s="444"/>
      <c r="I281" s="444"/>
      <c r="J281" s="444"/>
      <c r="K281" s="444"/>
      <c r="L281" s="444"/>
      <c r="M281" s="444"/>
      <c r="N281" s="444"/>
      <c r="O281" s="444"/>
      <c r="P281" s="444"/>
      <c r="Q281" s="136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89"/>
      <c r="AJ281" s="89"/>
      <c r="AK281" s="89"/>
      <c r="AL281" s="89"/>
      <c r="AM281" s="89"/>
      <c r="AN281" s="89"/>
      <c r="AO281" s="89"/>
      <c r="AP281" s="89"/>
      <c r="AQ281" s="89"/>
      <c r="AR281" s="89"/>
      <c r="AS281" s="89"/>
      <c r="AT281" s="89"/>
      <c r="AU281" s="89"/>
      <c r="AV281" s="89"/>
      <c r="AW281" s="89"/>
      <c r="AX281" s="89"/>
      <c r="AY281" s="89"/>
      <c r="AZ281" s="89"/>
      <c r="BA281" s="89"/>
      <c r="BB281" s="89"/>
      <c r="BC281" s="89"/>
      <c r="BD281" s="89"/>
      <c r="BE281" s="89"/>
      <c r="BF281" s="89"/>
      <c r="BG281" s="89"/>
      <c r="BH281" s="89"/>
      <c r="BI281" s="89"/>
      <c r="BJ281" s="89"/>
      <c r="BK281" s="89"/>
      <c r="BL281" s="89"/>
      <c r="BM281" s="89"/>
      <c r="BN281" s="89"/>
      <c r="BO281" s="89"/>
      <c r="BP281" s="89"/>
      <c r="BQ281" s="89"/>
      <c r="BR281" s="89"/>
      <c r="BS281" s="89"/>
      <c r="BT281" s="89"/>
      <c r="BU281" s="89"/>
      <c r="BV281" s="89"/>
      <c r="BW281" s="89"/>
      <c r="BX281" s="89"/>
      <c r="BY281" s="89"/>
      <c r="BZ281" s="89"/>
      <c r="CA281" s="89"/>
      <c r="CB281" s="89"/>
      <c r="CC281" s="89"/>
      <c r="CD281" s="89"/>
      <c r="CE281" s="89"/>
      <c r="CF281" s="89"/>
      <c r="CG281" s="89"/>
      <c r="CH281" s="89"/>
      <c r="CI281" s="89"/>
      <c r="CJ281" s="89"/>
      <c r="CK281" s="89"/>
      <c r="CL281" s="89"/>
      <c r="CM281" s="89"/>
      <c r="CN281" s="89"/>
      <c r="CO281" s="89"/>
      <c r="CP281" s="89"/>
      <c r="CQ281" s="89"/>
      <c r="CR281" s="89"/>
      <c r="CS281" s="89"/>
      <c r="CT281" s="89"/>
      <c r="CU281" s="89"/>
      <c r="CV281" s="89"/>
      <c r="CW281" s="89"/>
      <c r="CX281" s="89"/>
      <c r="CY281" s="89"/>
      <c r="CZ281" s="89"/>
      <c r="DA281" s="89"/>
      <c r="DB281" s="89"/>
      <c r="DC281" s="89"/>
      <c r="DD281" s="89"/>
      <c r="DE281" s="89"/>
      <c r="DF281" s="89"/>
      <c r="DG281" s="89"/>
      <c r="DH281" s="89"/>
      <c r="DI281" s="89"/>
      <c r="DJ281" s="89"/>
      <c r="DK281" s="89"/>
      <c r="DL281" s="89"/>
      <c r="DM281" s="89"/>
      <c r="DN281" s="89"/>
      <c r="DO281" s="89"/>
      <c r="DP281" s="89"/>
      <c r="DQ281" s="89"/>
      <c r="DR281" s="89"/>
      <c r="DS281" s="89"/>
      <c r="DT281" s="89"/>
      <c r="DU281" s="89"/>
      <c r="DV281" s="89"/>
      <c r="DW281" s="89"/>
      <c r="DX281" s="89"/>
      <c r="DY281" s="89"/>
      <c r="DZ281" s="89"/>
      <c r="EA281" s="89"/>
      <c r="EB281" s="89"/>
      <c r="EC281" s="89"/>
      <c r="ED281" s="89"/>
      <c r="EE281" s="89"/>
      <c r="EF281" s="89"/>
      <c r="EG281" s="89"/>
      <c r="EH281" s="89"/>
      <c r="EI281" s="89"/>
      <c r="EJ281" s="89"/>
      <c r="EK281" s="89"/>
      <c r="EL281" s="89"/>
      <c r="EM281" s="89"/>
      <c r="EN281" s="89"/>
      <c r="EO281" s="89"/>
    </row>
    <row r="282" spans="1:145" s="87" customFormat="1">
      <c r="B282" s="445"/>
      <c r="C282" s="445"/>
      <c r="D282" s="445"/>
      <c r="E282" s="445"/>
      <c r="F282" s="445"/>
      <c r="G282" s="445"/>
      <c r="H282" s="445"/>
      <c r="I282" s="445"/>
      <c r="J282" s="445"/>
      <c r="K282" s="445"/>
      <c r="L282" s="445"/>
      <c r="M282" s="445"/>
      <c r="N282" s="445"/>
      <c r="O282" s="445"/>
      <c r="P282" s="445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89"/>
      <c r="AJ282" s="89"/>
      <c r="AK282" s="89"/>
      <c r="AL282" s="89"/>
      <c r="AM282" s="89"/>
      <c r="AN282" s="89"/>
      <c r="AO282" s="89"/>
      <c r="AP282" s="89"/>
      <c r="AQ282" s="89"/>
      <c r="AR282" s="89"/>
      <c r="AS282" s="89"/>
      <c r="AT282" s="89"/>
      <c r="AU282" s="89"/>
      <c r="AV282" s="89"/>
      <c r="AW282" s="89"/>
      <c r="AX282" s="89"/>
      <c r="AY282" s="89"/>
      <c r="AZ282" s="89"/>
      <c r="BA282" s="89"/>
      <c r="BB282" s="89"/>
      <c r="BC282" s="89"/>
      <c r="BD282" s="89"/>
      <c r="BE282" s="89"/>
      <c r="BF282" s="89"/>
      <c r="BG282" s="89"/>
      <c r="BH282" s="89"/>
      <c r="BI282" s="89"/>
      <c r="BJ282" s="89"/>
      <c r="BK282" s="89"/>
      <c r="BL282" s="89"/>
      <c r="BM282" s="89"/>
      <c r="BN282" s="89"/>
      <c r="BO282" s="89"/>
      <c r="BP282" s="89"/>
      <c r="BQ282" s="89"/>
      <c r="BR282" s="89"/>
      <c r="BS282" s="89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89"/>
      <c r="DF282" s="89"/>
      <c r="DG282" s="89"/>
      <c r="DH282" s="89"/>
      <c r="DI282" s="89"/>
      <c r="DJ282" s="89"/>
      <c r="DK282" s="89"/>
      <c r="DL282" s="89"/>
      <c r="DM282" s="89"/>
      <c r="DN282" s="89"/>
      <c r="DO282" s="89"/>
      <c r="DP282" s="89"/>
      <c r="DQ282" s="89"/>
      <c r="DR282" s="89"/>
      <c r="DS282" s="89"/>
      <c r="DT282" s="89"/>
      <c r="DU282" s="89"/>
      <c r="DV282" s="89"/>
      <c r="DW282" s="89"/>
      <c r="DX282" s="89"/>
      <c r="DY282" s="89"/>
      <c r="DZ282" s="89"/>
      <c r="EA282" s="89"/>
      <c r="EB282" s="89"/>
      <c r="EC282" s="89"/>
      <c r="ED282" s="89"/>
      <c r="EE282" s="89"/>
      <c r="EF282" s="89"/>
      <c r="EG282" s="89"/>
      <c r="EH282" s="89"/>
      <c r="EI282" s="89"/>
      <c r="EJ282" s="89"/>
      <c r="EK282" s="89"/>
      <c r="EL282" s="89"/>
      <c r="EM282" s="89"/>
      <c r="EN282" s="89"/>
      <c r="EO282" s="89"/>
    </row>
    <row r="283" spans="1:145" s="87" customFormat="1">
      <c r="B283" s="362"/>
      <c r="C283" s="155"/>
      <c r="D283" s="352"/>
      <c r="E283" s="158"/>
      <c r="F283" s="158"/>
      <c r="G283" s="446"/>
      <c r="H283" s="158"/>
      <c r="I283" s="158"/>
      <c r="J283" s="177"/>
      <c r="K283" s="158"/>
      <c r="L283" s="158"/>
      <c r="M283" s="158"/>
      <c r="N283" s="158"/>
      <c r="O283" s="158"/>
      <c r="P283" s="158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89"/>
      <c r="AJ283" s="89"/>
      <c r="AK283" s="89"/>
      <c r="AL283" s="89"/>
      <c r="AM283" s="89"/>
      <c r="AN283" s="89"/>
      <c r="AO283" s="89"/>
      <c r="AP283" s="89"/>
      <c r="AQ283" s="89"/>
      <c r="AR283" s="89"/>
      <c r="AS283" s="89"/>
      <c r="AT283" s="89"/>
      <c r="AU283" s="89"/>
      <c r="AV283" s="89"/>
      <c r="AW283" s="89"/>
      <c r="AX283" s="89"/>
      <c r="AY283" s="89"/>
      <c r="AZ283" s="89"/>
      <c r="BA283" s="89"/>
      <c r="BB283" s="89"/>
      <c r="BC283" s="89"/>
      <c r="BD283" s="89"/>
      <c r="BE283" s="89"/>
      <c r="BF283" s="89"/>
      <c r="BG283" s="89"/>
      <c r="BH283" s="89"/>
      <c r="BI283" s="89"/>
      <c r="BJ283" s="89"/>
      <c r="BK283" s="89"/>
      <c r="BL283" s="89"/>
      <c r="BM283" s="89"/>
      <c r="BN283" s="89"/>
      <c r="BO283" s="89"/>
      <c r="BP283" s="89"/>
      <c r="BQ283" s="89"/>
      <c r="BR283" s="89"/>
      <c r="BS283" s="89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89"/>
      <c r="DF283" s="89"/>
      <c r="DG283" s="89"/>
      <c r="DH283" s="89"/>
      <c r="DI283" s="89"/>
      <c r="DJ283" s="89"/>
      <c r="DK283" s="89"/>
      <c r="DL283" s="89"/>
      <c r="DM283" s="89"/>
      <c r="DN283" s="89"/>
      <c r="DO283" s="89"/>
      <c r="DP283" s="89"/>
      <c r="DQ283" s="89"/>
      <c r="DR283" s="89"/>
      <c r="DS283" s="89"/>
      <c r="DT283" s="89"/>
      <c r="DU283" s="89"/>
      <c r="DV283" s="89"/>
      <c r="DW283" s="89"/>
      <c r="DX283" s="89"/>
      <c r="DY283" s="89"/>
      <c r="DZ283" s="89"/>
      <c r="EA283" s="89"/>
      <c r="EB283" s="89"/>
      <c r="EC283" s="89"/>
      <c r="ED283" s="89"/>
      <c r="EE283" s="89"/>
      <c r="EF283" s="89"/>
      <c r="EG283" s="89"/>
      <c r="EH283" s="89"/>
      <c r="EI283" s="89"/>
      <c r="EJ283" s="89"/>
      <c r="EK283" s="89"/>
      <c r="EL283" s="89"/>
      <c r="EM283" s="89"/>
      <c r="EN283" s="89"/>
      <c r="EO283" s="89"/>
    </row>
    <row r="284" spans="1:145" s="87" customFormat="1">
      <c r="A284" s="361" t="s">
        <v>8</v>
      </c>
      <c r="B284" s="361" t="s">
        <v>0</v>
      </c>
      <c r="C284" s="361" t="s">
        <v>7</v>
      </c>
      <c r="D284" s="353" t="str">
        <f t="shared" ref="D284:P284" si="117">D13</f>
        <v>Oct-22</v>
      </c>
      <c r="E284" s="353" t="str">
        <f t="shared" si="117"/>
        <v>Nov-22</v>
      </c>
      <c r="F284" s="353" t="str">
        <f t="shared" si="117"/>
        <v>Dec-22</v>
      </c>
      <c r="G284" s="353" t="str">
        <f t="shared" si="117"/>
        <v>Jan-23</v>
      </c>
      <c r="H284" s="353" t="str">
        <f t="shared" si="117"/>
        <v>Feb-23</v>
      </c>
      <c r="I284" s="353" t="str">
        <f t="shared" si="117"/>
        <v>Mar-23</v>
      </c>
      <c r="J284" s="353" t="str">
        <f t="shared" si="117"/>
        <v>Apr-23</v>
      </c>
      <c r="K284" s="353" t="str">
        <f t="shared" si="117"/>
        <v>May-23</v>
      </c>
      <c r="L284" s="353" t="str">
        <f t="shared" si="117"/>
        <v>Jun-23</v>
      </c>
      <c r="M284" s="353" t="str">
        <f t="shared" si="117"/>
        <v>Jul-23</v>
      </c>
      <c r="N284" s="353" t="str">
        <f t="shared" si="117"/>
        <v>Aug-23</v>
      </c>
      <c r="O284" s="353" t="str">
        <f t="shared" si="117"/>
        <v>Sep-23</v>
      </c>
      <c r="P284" s="353" t="str">
        <f t="shared" si="117"/>
        <v>TOTAL</v>
      </c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89"/>
      <c r="AJ284" s="89"/>
      <c r="AK284" s="89"/>
      <c r="AL284" s="89"/>
      <c r="AM284" s="89"/>
      <c r="AN284" s="89"/>
      <c r="AO284" s="89"/>
      <c r="AP284" s="89"/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89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89"/>
      <c r="DB284" s="89"/>
      <c r="DC284" s="89"/>
      <c r="DD284" s="89"/>
      <c r="DE284" s="89"/>
      <c r="DF284" s="89"/>
      <c r="DG284" s="89"/>
      <c r="DH284" s="89"/>
      <c r="DI284" s="89"/>
      <c r="DJ284" s="89"/>
      <c r="DK284" s="89"/>
      <c r="DL284" s="89"/>
      <c r="DM284" s="89"/>
      <c r="DN284" s="89"/>
      <c r="DO284" s="89"/>
      <c r="DP284" s="89"/>
      <c r="DQ284" s="89"/>
      <c r="DR284" s="89"/>
      <c r="DS284" s="89"/>
      <c r="DT284" s="89"/>
      <c r="DU284" s="89"/>
      <c r="DV284" s="89"/>
      <c r="DW284" s="89"/>
      <c r="DX284" s="89"/>
      <c r="DY284" s="89"/>
      <c r="DZ284" s="89"/>
      <c r="EA284" s="89"/>
      <c r="EB284" s="89"/>
      <c r="EC284" s="89"/>
      <c r="ED284" s="89"/>
      <c r="EE284" s="89"/>
      <c r="EF284" s="89"/>
      <c r="EG284" s="89"/>
      <c r="EH284" s="89"/>
      <c r="EI284" s="89"/>
      <c r="EJ284" s="89"/>
      <c r="EK284" s="89"/>
      <c r="EL284" s="89"/>
      <c r="EM284" s="89"/>
      <c r="EN284" s="89"/>
      <c r="EO284" s="89"/>
    </row>
    <row r="285" spans="1:145" s="87" customFormat="1">
      <c r="B285" s="89"/>
      <c r="C285" s="157"/>
      <c r="D285" s="158"/>
      <c r="E285" s="158"/>
      <c r="F285" s="158"/>
      <c r="G285" s="158"/>
      <c r="H285" s="158"/>
      <c r="I285" s="158"/>
      <c r="J285" s="158"/>
      <c r="K285" s="158"/>
      <c r="L285" s="158"/>
      <c r="M285" s="158"/>
      <c r="N285" s="158"/>
      <c r="O285" s="158"/>
      <c r="P285" s="158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89"/>
      <c r="AJ285" s="89"/>
      <c r="AK285" s="89"/>
      <c r="AL285" s="89"/>
      <c r="AM285" s="89"/>
      <c r="AN285" s="89"/>
      <c r="AO285" s="89"/>
      <c r="AP285" s="89"/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89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89"/>
      <c r="DB285" s="89"/>
      <c r="DC285" s="89"/>
      <c r="DD285" s="89"/>
      <c r="DE285" s="89"/>
      <c r="DF285" s="89"/>
      <c r="DG285" s="89"/>
      <c r="DH285" s="89"/>
      <c r="DI285" s="89"/>
      <c r="DJ285" s="89"/>
      <c r="DK285" s="89"/>
      <c r="DL285" s="89"/>
      <c r="DM285" s="89"/>
      <c r="DN285" s="89"/>
      <c r="DO285" s="89"/>
      <c r="DP285" s="89"/>
      <c r="DQ285" s="89"/>
      <c r="DR285" s="89"/>
      <c r="DS285" s="89"/>
      <c r="DT285" s="89"/>
      <c r="DU285" s="89"/>
      <c r="DV285" s="89"/>
      <c r="DW285" s="89"/>
      <c r="DX285" s="89"/>
      <c r="DY285" s="89"/>
      <c r="DZ285" s="89"/>
      <c r="EA285" s="89"/>
      <c r="EB285" s="89"/>
      <c r="EC285" s="89"/>
      <c r="ED285" s="89"/>
      <c r="EE285" s="89"/>
      <c r="EF285" s="89"/>
      <c r="EG285" s="89"/>
      <c r="EH285" s="89"/>
      <c r="EI285" s="89"/>
      <c r="EJ285" s="89"/>
      <c r="EK285" s="89"/>
      <c r="EL285" s="89"/>
      <c r="EM285" s="89"/>
      <c r="EN285" s="89"/>
      <c r="EO285" s="89"/>
    </row>
    <row r="286" spans="1:145" s="87" customFormat="1">
      <c r="A286" s="432" t="s">
        <v>9</v>
      </c>
      <c r="B286" s="87" t="s">
        <v>17</v>
      </c>
      <c r="C286" s="99" t="s">
        <v>4</v>
      </c>
      <c r="D286" s="177">
        <f>+'[5]Revenue BG'!C49</f>
        <v>520413.65446001949</v>
      </c>
      <c r="E286" s="177">
        <f>+'[5]Revenue BG'!D49</f>
        <v>390639.8589969789</v>
      </c>
      <c r="F286" s="177">
        <f>+'[5]Revenue BG'!E49</f>
        <v>416608.80767688277</v>
      </c>
      <c r="G286" s="177">
        <f>+'[5]Revenue BG'!F49</f>
        <v>410525.98586132913</v>
      </c>
      <c r="H286" s="177">
        <f>+'[5]Revenue BG'!G49</f>
        <v>336894.68122091918</v>
      </c>
      <c r="I286" s="177">
        <f>+'[5]Revenue BG'!H49</f>
        <v>285264.2840020858</v>
      </c>
      <c r="J286" s="177">
        <f>+'[5]Revenue BG'!I49</f>
        <v>233308.58563989116</v>
      </c>
      <c r="K286" s="177">
        <f>+'[5]Revenue BG'!J49</f>
        <v>143497.64554290799</v>
      </c>
      <c r="L286" s="177">
        <f>+'[5]Revenue BG'!K49</f>
        <v>104202.69067831626</v>
      </c>
      <c r="M286" s="177">
        <f>+'[5]Revenue BG'!L49</f>
        <v>12657.727811669069</v>
      </c>
      <c r="N286" s="177">
        <f>+'[5]Revenue BG'!M49</f>
        <v>-26690.175393111047</v>
      </c>
      <c r="O286" s="177">
        <f>+'[5]Revenue BG'!N49</f>
        <v>0</v>
      </c>
      <c r="P286" s="424">
        <f>SUM(D286:O286)</f>
        <v>2827323.7464978886</v>
      </c>
      <c r="Q286" s="138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89"/>
      <c r="AJ286" s="89"/>
      <c r="AK286" s="89"/>
      <c r="AL286" s="89"/>
      <c r="AM286" s="89"/>
      <c r="AN286" s="89"/>
      <c r="AO286" s="89"/>
      <c r="AP286" s="89"/>
      <c r="AQ286" s="89"/>
      <c r="AR286" s="89"/>
      <c r="AS286" s="89"/>
      <c r="AT286" s="89"/>
      <c r="AU286" s="89"/>
      <c r="AV286" s="89"/>
      <c r="AW286" s="89"/>
      <c r="AX286" s="89"/>
      <c r="AY286" s="89"/>
      <c r="AZ286" s="89"/>
      <c r="BA286" s="89"/>
      <c r="BB286" s="89"/>
      <c r="BC286" s="89"/>
      <c r="BD286" s="89"/>
      <c r="BE286" s="89"/>
      <c r="BF286" s="89"/>
      <c r="BG286" s="89"/>
      <c r="BH286" s="89"/>
      <c r="BI286" s="89"/>
      <c r="BJ286" s="89"/>
      <c r="BK286" s="89"/>
      <c r="BL286" s="89"/>
      <c r="BM286" s="89"/>
      <c r="BN286" s="89"/>
      <c r="BO286" s="89"/>
      <c r="BP286" s="89"/>
      <c r="BQ286" s="89"/>
      <c r="BR286" s="89"/>
      <c r="BS286" s="89"/>
      <c r="BT286" s="89"/>
      <c r="BU286" s="89"/>
      <c r="BV286" s="89"/>
      <c r="BW286" s="89"/>
      <c r="BX286" s="89"/>
      <c r="BY286" s="89"/>
      <c r="BZ286" s="89"/>
      <c r="CA286" s="89"/>
      <c r="CB286" s="89"/>
      <c r="CC286" s="89"/>
      <c r="CD286" s="89"/>
      <c r="CE286" s="89"/>
      <c r="CF286" s="89"/>
      <c r="CG286" s="89"/>
      <c r="CH286" s="89"/>
      <c r="CI286" s="89"/>
      <c r="CJ286" s="89"/>
      <c r="CK286" s="89"/>
      <c r="CL286" s="89"/>
      <c r="CM286" s="89"/>
      <c r="CN286" s="89"/>
      <c r="CO286" s="89"/>
      <c r="CP286" s="89"/>
      <c r="CQ286" s="89"/>
      <c r="CR286" s="89"/>
      <c r="CS286" s="89"/>
      <c r="CT286" s="89"/>
      <c r="CU286" s="89"/>
      <c r="CV286" s="89"/>
      <c r="CW286" s="89"/>
      <c r="CX286" s="89"/>
      <c r="CY286" s="89"/>
      <c r="CZ286" s="89"/>
      <c r="DA286" s="89"/>
      <c r="DB286" s="89"/>
      <c r="DC286" s="89"/>
      <c r="DD286" s="89"/>
      <c r="DE286" s="89"/>
      <c r="DF286" s="89"/>
      <c r="DG286" s="89"/>
      <c r="DH286" s="89"/>
      <c r="DI286" s="89"/>
      <c r="DJ286" s="89"/>
      <c r="DK286" s="89"/>
      <c r="DL286" s="89"/>
      <c r="DM286" s="89"/>
      <c r="DN286" s="89"/>
      <c r="DO286" s="89"/>
      <c r="DP286" s="89"/>
      <c r="DQ286" s="89"/>
      <c r="DR286" s="89"/>
      <c r="DS286" s="89"/>
      <c r="DT286" s="89"/>
      <c r="DU286" s="89"/>
      <c r="DV286" s="89"/>
      <c r="DW286" s="89"/>
      <c r="DX286" s="89"/>
      <c r="DY286" s="89"/>
      <c r="DZ286" s="89"/>
      <c r="EA286" s="89"/>
      <c r="EB286" s="89"/>
      <c r="EC286" s="89"/>
      <c r="ED286" s="89"/>
      <c r="EE286" s="89"/>
      <c r="EF286" s="89"/>
      <c r="EG286" s="89"/>
      <c r="EH286" s="89"/>
      <c r="EI286" s="89"/>
      <c r="EJ286" s="89"/>
      <c r="EK286" s="89"/>
      <c r="EL286" s="89"/>
      <c r="EM286" s="89"/>
      <c r="EN286" s="89"/>
      <c r="EO286" s="89"/>
    </row>
    <row r="287" spans="1:145" s="87" customFormat="1">
      <c r="C287" s="99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89"/>
      <c r="AJ287" s="89"/>
      <c r="AK287" s="89"/>
      <c r="AL287" s="89"/>
      <c r="AM287" s="89"/>
      <c r="AN287" s="89"/>
      <c r="AO287" s="89"/>
      <c r="AP287" s="89"/>
      <c r="AQ287" s="89"/>
      <c r="AR287" s="89"/>
      <c r="AS287" s="89"/>
      <c r="AT287" s="89"/>
      <c r="AU287" s="89"/>
      <c r="AV287" s="89"/>
      <c r="AW287" s="89"/>
      <c r="AX287" s="89"/>
      <c r="AY287" s="89"/>
      <c r="AZ287" s="89"/>
      <c r="BA287" s="89"/>
      <c r="BB287" s="89"/>
      <c r="BC287" s="89"/>
      <c r="BD287" s="89"/>
      <c r="BE287" s="89"/>
      <c r="BF287" s="89"/>
      <c r="BG287" s="89"/>
      <c r="BH287" s="89"/>
      <c r="BI287" s="89"/>
      <c r="BJ287" s="89"/>
      <c r="BK287" s="89"/>
      <c r="BL287" s="89"/>
      <c r="BM287" s="89"/>
      <c r="BN287" s="89"/>
      <c r="BO287" s="89"/>
      <c r="BP287" s="89"/>
      <c r="BQ287" s="89"/>
      <c r="BR287" s="89"/>
      <c r="BS287" s="89"/>
      <c r="BT287" s="89"/>
      <c r="BU287" s="89"/>
      <c r="BV287" s="89"/>
      <c r="BW287" s="89"/>
      <c r="BX287" s="89"/>
      <c r="BY287" s="89"/>
      <c r="BZ287" s="89"/>
      <c r="CA287" s="89"/>
      <c r="CB287" s="89"/>
      <c r="CC287" s="89"/>
      <c r="CD287" s="89"/>
      <c r="CE287" s="89"/>
      <c r="CF287" s="89"/>
      <c r="CG287" s="89"/>
      <c r="CH287" s="89"/>
      <c r="CI287" s="89"/>
      <c r="CJ287" s="89"/>
      <c r="CK287" s="89"/>
      <c r="CL287" s="89"/>
      <c r="CM287" s="89"/>
      <c r="CN287" s="89"/>
      <c r="CO287" s="89"/>
      <c r="CP287" s="89"/>
      <c r="CQ287" s="89"/>
      <c r="CR287" s="89"/>
      <c r="CS287" s="89"/>
      <c r="CT287" s="89"/>
      <c r="CU287" s="89"/>
      <c r="CV287" s="89"/>
      <c r="CW287" s="89"/>
      <c r="CX287" s="89"/>
      <c r="CY287" s="89"/>
      <c r="CZ287" s="89"/>
      <c r="DA287" s="89"/>
      <c r="DB287" s="89"/>
      <c r="DC287" s="89"/>
      <c r="DD287" s="89"/>
      <c r="DE287" s="89"/>
      <c r="DF287" s="89"/>
      <c r="DG287" s="89"/>
      <c r="DH287" s="89"/>
      <c r="DI287" s="89"/>
      <c r="DJ287" s="89"/>
      <c r="DK287" s="89"/>
      <c r="DL287" s="89"/>
      <c r="DM287" s="89"/>
      <c r="DN287" s="89"/>
      <c r="DO287" s="89"/>
      <c r="DP287" s="89"/>
      <c r="DQ287" s="89"/>
      <c r="DR287" s="89"/>
      <c r="DS287" s="89"/>
      <c r="DT287" s="89"/>
      <c r="DU287" s="89"/>
      <c r="DV287" s="89"/>
      <c r="DW287" s="89"/>
      <c r="DX287" s="89"/>
      <c r="DY287" s="89"/>
      <c r="DZ287" s="89"/>
      <c r="EA287" s="89"/>
      <c r="EB287" s="89"/>
      <c r="EC287" s="89"/>
      <c r="ED287" s="89"/>
      <c r="EE287" s="89"/>
      <c r="EF287" s="89"/>
      <c r="EG287" s="89"/>
      <c r="EH287" s="89"/>
      <c r="EI287" s="89"/>
      <c r="EJ287" s="89"/>
      <c r="EK287" s="89"/>
      <c r="EL287" s="89"/>
      <c r="EM287" s="89"/>
      <c r="EN287" s="89"/>
      <c r="EO287" s="89"/>
    </row>
    <row r="288" spans="1:145" s="87" customFormat="1">
      <c r="A288" s="432">
        <v>2</v>
      </c>
      <c r="B288" s="87" t="s">
        <v>20</v>
      </c>
      <c r="C288" s="99" t="s">
        <v>4</v>
      </c>
      <c r="D288" s="177">
        <f>+'[5]Revenue BG'!C50</f>
        <v>1717.2153704151156</v>
      </c>
      <c r="E288" s="177">
        <f>+'[5]Revenue BG'!D50</f>
        <v>-1963.578344418419</v>
      </c>
      <c r="F288" s="177">
        <f>+'[5]Revenue BG'!E50</f>
        <v>818.2188002711307</v>
      </c>
      <c r="G288" s="177">
        <f>+'[5]Revenue BG'!F50</f>
        <v>18312.557171501856</v>
      </c>
      <c r="H288" s="177">
        <f>+'[5]Revenue BG'!G50</f>
        <v>24491.582715029497</v>
      </c>
      <c r="I288" s="177">
        <f>+'[5]Revenue BG'!H50</f>
        <v>21758.178114263348</v>
      </c>
      <c r="J288" s="177">
        <f>+'[5]Revenue BG'!I50</f>
        <v>12746.702951862997</v>
      </c>
      <c r="K288" s="177">
        <f>+'[5]Revenue BG'!J50</f>
        <v>3974.7534389459406</v>
      </c>
      <c r="L288" s="177">
        <f>+'[5]Revenue BG'!K50</f>
        <v>2196.4951000918827</v>
      </c>
      <c r="M288" s="177">
        <f>+'[5]Revenue BG'!L50</f>
        <v>1899.7870132185305</v>
      </c>
      <c r="N288" s="177">
        <f>+'[5]Revenue BG'!M50</f>
        <v>-1871.6149851853604</v>
      </c>
      <c r="O288" s="177">
        <f>+'[5]Revenue BG'!N50</f>
        <v>0</v>
      </c>
      <c r="P288" s="101">
        <f>SUM(D288:O288)</f>
        <v>84080.297345996529</v>
      </c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89"/>
      <c r="AJ288" s="89"/>
      <c r="AK288" s="89"/>
      <c r="AL288" s="89"/>
      <c r="AM288" s="89"/>
      <c r="AN288" s="89"/>
      <c r="AO288" s="89"/>
      <c r="AP288" s="89"/>
      <c r="AQ288" s="89"/>
      <c r="AR288" s="89"/>
      <c r="AS288" s="89"/>
      <c r="AT288" s="89"/>
      <c r="AU288" s="89"/>
      <c r="AV288" s="89"/>
      <c r="AW288" s="89"/>
      <c r="AX288" s="89"/>
      <c r="AY288" s="89"/>
      <c r="AZ288" s="89"/>
      <c r="BA288" s="89"/>
      <c r="BB288" s="89"/>
      <c r="BC288" s="89"/>
      <c r="BD288" s="89"/>
      <c r="BE288" s="89"/>
      <c r="BF288" s="89"/>
      <c r="BG288" s="89"/>
      <c r="BH288" s="89"/>
      <c r="BI288" s="89"/>
      <c r="BJ288" s="89"/>
      <c r="BK288" s="89"/>
      <c r="BL288" s="89"/>
      <c r="BM288" s="89"/>
      <c r="BN288" s="89"/>
      <c r="BO288" s="89"/>
      <c r="BP288" s="89"/>
      <c r="BQ288" s="89"/>
      <c r="BR288" s="89"/>
      <c r="BS288" s="89"/>
      <c r="BT288" s="89"/>
      <c r="BU288" s="89"/>
      <c r="BV288" s="89"/>
      <c r="BW288" s="89"/>
      <c r="BX288" s="89"/>
      <c r="BY288" s="89"/>
      <c r="BZ288" s="89"/>
      <c r="CA288" s="89"/>
      <c r="CB288" s="89"/>
      <c r="CC288" s="89"/>
      <c r="CD288" s="89"/>
      <c r="CE288" s="89"/>
      <c r="CF288" s="89"/>
      <c r="CG288" s="89"/>
      <c r="CH288" s="89"/>
      <c r="CI288" s="89"/>
      <c r="CJ288" s="89"/>
      <c r="CK288" s="89"/>
      <c r="CL288" s="89"/>
      <c r="CM288" s="89"/>
      <c r="CN288" s="89"/>
      <c r="CO288" s="89"/>
      <c r="CP288" s="89"/>
      <c r="CQ288" s="89"/>
      <c r="CR288" s="89"/>
      <c r="CS288" s="89"/>
      <c r="CT288" s="89"/>
      <c r="CU288" s="89"/>
      <c r="CV288" s="89"/>
      <c r="CW288" s="89"/>
      <c r="CX288" s="89"/>
      <c r="CY288" s="89"/>
      <c r="CZ288" s="89"/>
      <c r="DA288" s="89"/>
      <c r="DB288" s="89"/>
      <c r="DC288" s="89"/>
      <c r="DD288" s="89"/>
      <c r="DE288" s="89"/>
      <c r="DF288" s="89"/>
      <c r="DG288" s="89"/>
      <c r="DH288" s="89"/>
      <c r="DI288" s="89"/>
      <c r="DJ288" s="89"/>
      <c r="DK288" s="89"/>
      <c r="DL288" s="89"/>
      <c r="DM288" s="89"/>
      <c r="DN288" s="89"/>
      <c r="DO288" s="89"/>
      <c r="DP288" s="89"/>
      <c r="DQ288" s="89"/>
      <c r="DR288" s="89"/>
      <c r="DS288" s="89"/>
      <c r="DT288" s="89"/>
      <c r="DU288" s="89"/>
      <c r="DV288" s="89"/>
      <c r="DW288" s="89"/>
      <c r="DX288" s="89"/>
      <c r="DY288" s="89"/>
      <c r="DZ288" s="89"/>
      <c r="EA288" s="89"/>
      <c r="EB288" s="89"/>
      <c r="EC288" s="89"/>
      <c r="ED288" s="89"/>
      <c r="EE288" s="89"/>
      <c r="EF288" s="89"/>
      <c r="EG288" s="89"/>
      <c r="EH288" s="89"/>
      <c r="EI288" s="89"/>
      <c r="EJ288" s="89"/>
      <c r="EK288" s="89"/>
      <c r="EL288" s="89"/>
      <c r="EM288" s="89"/>
      <c r="EN288" s="89"/>
      <c r="EO288" s="89"/>
    </row>
    <row r="289" spans="1:145" s="87" customFormat="1">
      <c r="A289" s="432"/>
      <c r="C289" s="99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  <c r="O289" s="177"/>
      <c r="P289" s="101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89"/>
      <c r="AJ289" s="89"/>
      <c r="AK289" s="89"/>
      <c r="AL289" s="89"/>
      <c r="AM289" s="89"/>
      <c r="AN289" s="89"/>
      <c r="AO289" s="89"/>
      <c r="AP289" s="89"/>
      <c r="AQ289" s="89"/>
      <c r="AR289" s="89"/>
      <c r="AS289" s="89"/>
      <c r="AT289" s="89"/>
      <c r="AU289" s="89"/>
      <c r="AV289" s="89"/>
      <c r="AW289" s="89"/>
      <c r="AX289" s="89"/>
      <c r="AY289" s="89"/>
      <c r="AZ289" s="89"/>
      <c r="BA289" s="89"/>
      <c r="BB289" s="89"/>
      <c r="BC289" s="89"/>
      <c r="BD289" s="89"/>
      <c r="BE289" s="89"/>
      <c r="BF289" s="89"/>
      <c r="BG289" s="89"/>
      <c r="BH289" s="89"/>
      <c r="BI289" s="89"/>
      <c r="BJ289" s="89"/>
      <c r="BK289" s="89"/>
      <c r="BL289" s="89"/>
      <c r="BM289" s="89"/>
      <c r="BN289" s="89"/>
      <c r="BO289" s="89"/>
      <c r="BP289" s="89"/>
      <c r="BQ289" s="89"/>
      <c r="BR289" s="89"/>
      <c r="BS289" s="89"/>
      <c r="BT289" s="89"/>
      <c r="BU289" s="89"/>
      <c r="BV289" s="89"/>
      <c r="BW289" s="89"/>
      <c r="BX289" s="89"/>
      <c r="BY289" s="89"/>
      <c r="BZ289" s="89"/>
      <c r="CA289" s="89"/>
      <c r="CB289" s="89"/>
      <c r="CC289" s="89"/>
      <c r="CD289" s="89"/>
      <c r="CE289" s="89"/>
      <c r="CF289" s="89"/>
      <c r="CG289" s="89"/>
      <c r="CH289" s="89"/>
      <c r="CI289" s="89"/>
      <c r="CJ289" s="89"/>
      <c r="CK289" s="89"/>
      <c r="CL289" s="89"/>
      <c r="CM289" s="89"/>
      <c r="CN289" s="89"/>
      <c r="CO289" s="89"/>
      <c r="CP289" s="89"/>
      <c r="CQ289" s="89"/>
      <c r="CR289" s="89"/>
      <c r="CS289" s="89"/>
      <c r="CT289" s="89"/>
      <c r="CU289" s="89"/>
      <c r="CV289" s="89"/>
      <c r="CW289" s="89"/>
      <c r="CX289" s="89"/>
      <c r="CY289" s="89"/>
      <c r="CZ289" s="89"/>
      <c r="DA289" s="89"/>
      <c r="DB289" s="89"/>
      <c r="DC289" s="89"/>
      <c r="DD289" s="89"/>
      <c r="DE289" s="89"/>
      <c r="DF289" s="89"/>
      <c r="DG289" s="89"/>
      <c r="DH289" s="89"/>
      <c r="DI289" s="89"/>
      <c r="DJ289" s="89"/>
      <c r="DK289" s="89"/>
      <c r="DL289" s="89"/>
      <c r="DM289" s="89"/>
      <c r="DN289" s="89"/>
      <c r="DO289" s="89"/>
      <c r="DP289" s="89"/>
      <c r="DQ289" s="89"/>
      <c r="DR289" s="89"/>
      <c r="DS289" s="89"/>
      <c r="DT289" s="89"/>
      <c r="DU289" s="89"/>
      <c r="DV289" s="89"/>
      <c r="DW289" s="89"/>
      <c r="DX289" s="89"/>
      <c r="DY289" s="89"/>
      <c r="DZ289" s="89"/>
      <c r="EA289" s="89"/>
      <c r="EB289" s="89"/>
      <c r="EC289" s="89"/>
      <c r="ED289" s="89"/>
      <c r="EE289" s="89"/>
      <c r="EF289" s="89"/>
      <c r="EG289" s="89"/>
      <c r="EH289" s="89"/>
      <c r="EI289" s="89"/>
      <c r="EJ289" s="89"/>
      <c r="EK289" s="89"/>
      <c r="EL289" s="89"/>
      <c r="EM289" s="89"/>
      <c r="EN289" s="89"/>
      <c r="EO289" s="89"/>
    </row>
    <row r="290" spans="1:145" s="87" customFormat="1">
      <c r="A290" s="432">
        <v>3</v>
      </c>
      <c r="B290" s="87" t="s">
        <v>81</v>
      </c>
      <c r="C290" s="157" t="s">
        <v>4</v>
      </c>
      <c r="D290" s="177">
        <f>+'[5]Revenue BG'!C51</f>
        <v>234693.23501892222</v>
      </c>
      <c r="E290" s="177">
        <f>+'[5]Revenue BG'!D51</f>
        <v>259565.89803632753</v>
      </c>
      <c r="F290" s="177">
        <f>+'[5]Revenue BG'!E51</f>
        <v>245106.01607743106</v>
      </c>
      <c r="G290" s="177">
        <f>+'[5]Revenue BG'!F51</f>
        <v>53200.153797704712</v>
      </c>
      <c r="H290" s="177">
        <f>+'[5]Revenue BG'!G51</f>
        <v>-34484.224276385721</v>
      </c>
      <c r="I290" s="177">
        <f>+'[5]Revenue BG'!H51</f>
        <v>-39819.100084257167</v>
      </c>
      <c r="J290" s="177">
        <f>+'[5]Revenue BG'!I51</f>
        <v>55187.570600013605</v>
      </c>
      <c r="K290" s="177">
        <f>+'[5]Revenue BG'!J51</f>
        <v>44207.453256467736</v>
      </c>
      <c r="L290" s="177">
        <f>+'[5]Revenue BG'!K51</f>
        <v>27596.00280914679</v>
      </c>
      <c r="M290" s="177">
        <f>+'[5]Revenue BG'!L51</f>
        <v>15203.14055119055</v>
      </c>
      <c r="N290" s="177">
        <f>+'[5]Revenue BG'!M51</f>
        <v>-21035.039502084262</v>
      </c>
      <c r="O290" s="177">
        <f>+'[5]Revenue BG'!N51</f>
        <v>0</v>
      </c>
      <c r="P290" s="101">
        <f>SUM(D290:O290)</f>
        <v>839421.10628447705</v>
      </c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89"/>
      <c r="AJ290" s="89"/>
      <c r="AK290" s="89"/>
      <c r="AL290" s="89"/>
      <c r="AM290" s="89"/>
      <c r="AN290" s="89"/>
      <c r="AO290" s="89"/>
      <c r="AP290" s="89"/>
      <c r="AQ290" s="89"/>
      <c r="AR290" s="89"/>
      <c r="AS290" s="89"/>
      <c r="AT290" s="89"/>
      <c r="AU290" s="89"/>
      <c r="AV290" s="89"/>
      <c r="AW290" s="89"/>
      <c r="AX290" s="89"/>
      <c r="AY290" s="89"/>
      <c r="AZ290" s="89"/>
      <c r="BA290" s="89"/>
      <c r="BB290" s="89"/>
      <c r="BC290" s="89"/>
      <c r="BD290" s="89"/>
      <c r="BE290" s="89"/>
      <c r="BF290" s="89"/>
      <c r="BG290" s="89"/>
      <c r="BH290" s="89"/>
      <c r="BI290" s="89"/>
      <c r="BJ290" s="89"/>
      <c r="BK290" s="89"/>
      <c r="BL290" s="89"/>
      <c r="BM290" s="89"/>
      <c r="BN290" s="89"/>
      <c r="BO290" s="89"/>
      <c r="BP290" s="89"/>
      <c r="BQ290" s="89"/>
      <c r="BR290" s="89"/>
      <c r="BS290" s="89"/>
      <c r="BT290" s="89"/>
      <c r="BU290" s="89"/>
      <c r="BV290" s="89"/>
      <c r="BW290" s="89"/>
      <c r="BX290" s="89"/>
      <c r="BY290" s="89"/>
      <c r="BZ290" s="89"/>
      <c r="CA290" s="89"/>
      <c r="CB290" s="89"/>
      <c r="CC290" s="89"/>
      <c r="CD290" s="89"/>
      <c r="CE290" s="89"/>
      <c r="CF290" s="89"/>
      <c r="CG290" s="89"/>
      <c r="CH290" s="89"/>
      <c r="CI290" s="89"/>
      <c r="CJ290" s="89"/>
      <c r="CK290" s="89"/>
      <c r="CL290" s="89"/>
      <c r="CM290" s="89"/>
      <c r="CN290" s="89"/>
      <c r="CO290" s="89"/>
      <c r="CP290" s="89"/>
      <c r="CQ290" s="89"/>
      <c r="CR290" s="89"/>
      <c r="CS290" s="89"/>
      <c r="CT290" s="89"/>
      <c r="CU290" s="89"/>
      <c r="CV290" s="89"/>
      <c r="CW290" s="89"/>
      <c r="CX290" s="89"/>
      <c r="CY290" s="89"/>
      <c r="CZ290" s="89"/>
      <c r="DA290" s="89"/>
      <c r="DB290" s="89"/>
      <c r="DC290" s="89"/>
      <c r="DD290" s="89"/>
      <c r="DE290" s="89"/>
      <c r="DF290" s="89"/>
      <c r="DG290" s="89"/>
      <c r="DH290" s="89"/>
      <c r="DI290" s="89"/>
      <c r="DJ290" s="89"/>
      <c r="DK290" s="89"/>
      <c r="DL290" s="89"/>
      <c r="DM290" s="89"/>
      <c r="DN290" s="89"/>
      <c r="DO290" s="89"/>
      <c r="DP290" s="89"/>
      <c r="DQ290" s="89"/>
      <c r="DR290" s="89"/>
      <c r="DS290" s="89"/>
      <c r="DT290" s="89"/>
      <c r="DU290" s="89"/>
      <c r="DV290" s="89"/>
      <c r="DW290" s="89"/>
      <c r="DX290" s="89"/>
      <c r="DY290" s="89"/>
      <c r="DZ290" s="89"/>
      <c r="EA290" s="89"/>
      <c r="EB290" s="89"/>
      <c r="EC290" s="89"/>
      <c r="ED290" s="89"/>
      <c r="EE290" s="89"/>
      <c r="EF290" s="89"/>
      <c r="EG290" s="89"/>
      <c r="EH290" s="89"/>
      <c r="EI290" s="89"/>
      <c r="EJ290" s="89"/>
      <c r="EK290" s="89"/>
      <c r="EL290" s="89"/>
      <c r="EM290" s="89"/>
      <c r="EN290" s="89"/>
      <c r="EO290" s="89"/>
    </row>
    <row r="291" spans="1:145" s="87" customFormat="1">
      <c r="A291" s="432">
        <v>4</v>
      </c>
      <c r="B291" s="87" t="s">
        <v>85</v>
      </c>
      <c r="C291" s="157" t="s">
        <v>4</v>
      </c>
      <c r="D291" s="388">
        <f>+'[5]Revenue BG'!C52</f>
        <v>54400.360934938908</v>
      </c>
      <c r="E291" s="388">
        <f>+'[5]Revenue BG'!D52</f>
        <v>29076.243560050352</v>
      </c>
      <c r="F291" s="388">
        <f>+'[5]Revenue BG'!E52</f>
        <v>28385.14818191385</v>
      </c>
      <c r="G291" s="388">
        <f>+'[5]Revenue BG'!F52</f>
        <v>31683.251222871873</v>
      </c>
      <c r="H291" s="388">
        <f>+'[5]Revenue BG'!G52</f>
        <v>24237.662890997784</v>
      </c>
      <c r="I291" s="388">
        <f>+'[5]Revenue BG'!H52</f>
        <v>15291.358454895239</v>
      </c>
      <c r="J291" s="388">
        <f>+'[5]Revenue BG'!I52</f>
        <v>10081.541327456547</v>
      </c>
      <c r="K291" s="388">
        <f>+'[5]Revenue BG'!J52</f>
        <v>402.12613247989384</v>
      </c>
      <c r="L291" s="388">
        <f>+'[5]Revenue BG'!K52</f>
        <v>-6605.214249610427</v>
      </c>
      <c r="M291" s="388">
        <f>+'[5]Revenue BG'!L52</f>
        <v>-5290.5023272727667</v>
      </c>
      <c r="N291" s="388">
        <f>+'[5]Revenue BG'!M52</f>
        <v>-15878.239072565862</v>
      </c>
      <c r="O291" s="388">
        <f>+'[5]Revenue BG'!N52</f>
        <v>0</v>
      </c>
      <c r="P291" s="388">
        <f>SUM(D291:O291)</f>
        <v>165783.7370561554</v>
      </c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89"/>
      <c r="AJ291" s="89"/>
      <c r="AK291" s="89"/>
      <c r="AL291" s="89"/>
      <c r="AM291" s="89"/>
      <c r="AN291" s="89"/>
      <c r="AO291" s="89"/>
      <c r="AP291" s="89"/>
      <c r="AQ291" s="89"/>
      <c r="AR291" s="89"/>
      <c r="AS291" s="89"/>
      <c r="AT291" s="89"/>
      <c r="AU291" s="89"/>
      <c r="AV291" s="89"/>
      <c r="AW291" s="89"/>
      <c r="AX291" s="89"/>
      <c r="AY291" s="89"/>
      <c r="AZ291" s="89"/>
      <c r="BA291" s="89"/>
      <c r="BB291" s="89"/>
      <c r="BC291" s="89"/>
      <c r="BD291" s="89"/>
      <c r="BE291" s="89"/>
      <c r="BF291" s="89"/>
      <c r="BG291" s="89"/>
      <c r="BH291" s="89"/>
      <c r="BI291" s="89"/>
      <c r="BJ291" s="89"/>
      <c r="BK291" s="89"/>
      <c r="BL291" s="89"/>
      <c r="BM291" s="89"/>
      <c r="BN291" s="89"/>
      <c r="BO291" s="89"/>
      <c r="BP291" s="89"/>
      <c r="BQ291" s="89"/>
      <c r="BR291" s="89"/>
      <c r="BS291" s="89"/>
      <c r="BT291" s="89"/>
      <c r="BU291" s="89"/>
      <c r="BV291" s="89"/>
      <c r="BW291" s="89"/>
      <c r="BX291" s="89"/>
      <c r="BY291" s="89"/>
      <c r="BZ291" s="89"/>
      <c r="CA291" s="89"/>
      <c r="CB291" s="89"/>
      <c r="CC291" s="89"/>
      <c r="CD291" s="89"/>
      <c r="CE291" s="89"/>
      <c r="CF291" s="89"/>
      <c r="CG291" s="89"/>
      <c r="CH291" s="89"/>
      <c r="CI291" s="89"/>
      <c r="CJ291" s="89"/>
      <c r="CK291" s="89"/>
      <c r="CL291" s="89"/>
      <c r="CM291" s="89"/>
      <c r="CN291" s="89"/>
      <c r="CO291" s="89"/>
      <c r="CP291" s="89"/>
      <c r="CQ291" s="89"/>
      <c r="CR291" s="89"/>
      <c r="CS291" s="89"/>
      <c r="CT291" s="89"/>
      <c r="CU291" s="89"/>
      <c r="CV291" s="89"/>
      <c r="CW291" s="89"/>
      <c r="CX291" s="89"/>
      <c r="CY291" s="89"/>
      <c r="CZ291" s="89"/>
      <c r="DA291" s="89"/>
      <c r="DB291" s="89"/>
      <c r="DC291" s="89"/>
      <c r="DD291" s="89"/>
      <c r="DE291" s="89"/>
      <c r="DF291" s="89"/>
      <c r="DG291" s="89"/>
      <c r="DH291" s="89"/>
      <c r="DI291" s="89"/>
      <c r="DJ291" s="89"/>
      <c r="DK291" s="89"/>
      <c r="DL291" s="89"/>
      <c r="DM291" s="89"/>
      <c r="DN291" s="89"/>
      <c r="DO291" s="89"/>
      <c r="DP291" s="89"/>
      <c r="DQ291" s="89"/>
      <c r="DR291" s="89"/>
      <c r="DS291" s="89"/>
      <c r="DT291" s="89"/>
      <c r="DU291" s="89"/>
      <c r="DV291" s="89"/>
      <c r="DW291" s="89"/>
      <c r="DX291" s="89"/>
      <c r="DY291" s="89"/>
      <c r="DZ291" s="89"/>
      <c r="EA291" s="89"/>
      <c r="EB291" s="89"/>
      <c r="EC291" s="89"/>
      <c r="ED291" s="89"/>
      <c r="EE291" s="89"/>
      <c r="EF291" s="89"/>
      <c r="EG291" s="89"/>
      <c r="EH291" s="89"/>
      <c r="EI291" s="89"/>
      <c r="EJ291" s="89"/>
      <c r="EK291" s="89"/>
      <c r="EL291" s="89"/>
      <c r="EM291" s="89"/>
      <c r="EN291" s="89"/>
      <c r="EO291" s="89"/>
    </row>
    <row r="292" spans="1:145" s="87" customFormat="1">
      <c r="A292" s="432">
        <v>5</v>
      </c>
      <c r="B292" s="131" t="s">
        <v>18</v>
      </c>
      <c r="C292" s="99"/>
      <c r="D292" s="177">
        <f>SUM(D290:D291)</f>
        <v>289093.59595386114</v>
      </c>
      <c r="E292" s="177">
        <f t="shared" ref="E292:O292" si="118">SUM(E290:E291)</f>
        <v>288642.14159637789</v>
      </c>
      <c r="F292" s="177">
        <f t="shared" si="118"/>
        <v>273491.16425934492</v>
      </c>
      <c r="G292" s="177">
        <f t="shared" si="118"/>
        <v>84883.405020576582</v>
      </c>
      <c r="H292" s="177">
        <f t="shared" si="118"/>
        <v>-10246.561385387937</v>
      </c>
      <c r="I292" s="177">
        <f t="shared" si="118"/>
        <v>-24527.741629361928</v>
      </c>
      <c r="J292" s="177">
        <f t="shared" si="118"/>
        <v>65269.111927470149</v>
      </c>
      <c r="K292" s="177">
        <f t="shared" si="118"/>
        <v>44609.579388947626</v>
      </c>
      <c r="L292" s="177">
        <f t="shared" si="118"/>
        <v>20990.788559536362</v>
      </c>
      <c r="M292" s="177">
        <f t="shared" si="118"/>
        <v>9912.6382239177838</v>
      </c>
      <c r="N292" s="177">
        <f t="shared" si="118"/>
        <v>-36913.278574650125</v>
      </c>
      <c r="O292" s="177">
        <f t="shared" si="118"/>
        <v>0</v>
      </c>
      <c r="P292" s="177">
        <f>SUM(P290:P291)</f>
        <v>1005204.8433406325</v>
      </c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89"/>
      <c r="AJ292" s="89"/>
      <c r="AK292" s="89"/>
      <c r="AL292" s="89"/>
      <c r="AM292" s="89"/>
      <c r="AN292" s="89"/>
      <c r="AO292" s="89"/>
      <c r="AP292" s="89"/>
      <c r="AQ292" s="89"/>
      <c r="AR292" s="89"/>
      <c r="AS292" s="89"/>
      <c r="AT292" s="89"/>
      <c r="AU292" s="89"/>
      <c r="AV292" s="89"/>
      <c r="AW292" s="89"/>
      <c r="AX292" s="89"/>
      <c r="AY292" s="89"/>
      <c r="AZ292" s="89"/>
      <c r="BA292" s="89"/>
      <c r="BB292" s="89"/>
      <c r="BC292" s="89"/>
      <c r="BD292" s="89"/>
      <c r="BE292" s="89"/>
      <c r="BF292" s="89"/>
      <c r="BG292" s="89"/>
      <c r="BH292" s="89"/>
      <c r="BI292" s="89"/>
      <c r="BJ292" s="89"/>
      <c r="BK292" s="89"/>
      <c r="BL292" s="89"/>
      <c r="BM292" s="89"/>
      <c r="BN292" s="89"/>
      <c r="BO292" s="89"/>
      <c r="BP292" s="89"/>
      <c r="BQ292" s="89"/>
      <c r="BR292" s="89"/>
      <c r="BS292" s="89"/>
      <c r="BT292" s="89"/>
      <c r="BU292" s="89"/>
      <c r="BV292" s="89"/>
      <c r="BW292" s="89"/>
      <c r="BX292" s="89"/>
      <c r="BY292" s="89"/>
      <c r="BZ292" s="89"/>
      <c r="CA292" s="89"/>
      <c r="CB292" s="89"/>
      <c r="CC292" s="89"/>
      <c r="CD292" s="89"/>
      <c r="CE292" s="89"/>
      <c r="CF292" s="89"/>
      <c r="CG292" s="89"/>
      <c r="CH292" s="89"/>
      <c r="CI292" s="89"/>
      <c r="CJ292" s="89"/>
      <c r="CK292" s="89"/>
      <c r="CL292" s="89"/>
      <c r="CM292" s="89"/>
      <c r="CN292" s="89"/>
      <c r="CO292" s="89"/>
      <c r="CP292" s="89"/>
      <c r="CQ292" s="89"/>
      <c r="CR292" s="89"/>
      <c r="CS292" s="89"/>
      <c r="CT292" s="89"/>
      <c r="CU292" s="89"/>
      <c r="CV292" s="89"/>
      <c r="CW292" s="89"/>
      <c r="CX292" s="89"/>
      <c r="CY292" s="89"/>
      <c r="CZ292" s="89"/>
      <c r="DA292" s="89"/>
      <c r="DB292" s="89"/>
      <c r="DC292" s="89"/>
      <c r="DD292" s="89"/>
      <c r="DE292" s="89"/>
      <c r="DF292" s="89"/>
      <c r="DG292" s="89"/>
      <c r="DH292" s="89"/>
      <c r="DI292" s="89"/>
      <c r="DJ292" s="89"/>
      <c r="DK292" s="89"/>
      <c r="DL292" s="89"/>
      <c r="DM292" s="89"/>
      <c r="DN292" s="89"/>
      <c r="DO292" s="89"/>
      <c r="DP292" s="89"/>
      <c r="DQ292" s="89"/>
      <c r="DR292" s="89"/>
      <c r="DS292" s="89"/>
      <c r="DT292" s="89"/>
      <c r="DU292" s="89"/>
      <c r="DV292" s="89"/>
      <c r="DW292" s="89"/>
      <c r="DX292" s="89"/>
      <c r="DY292" s="89"/>
      <c r="DZ292" s="89"/>
      <c r="EA292" s="89"/>
      <c r="EB292" s="89"/>
      <c r="EC292" s="89"/>
      <c r="ED292" s="89"/>
      <c r="EE292" s="89"/>
      <c r="EF292" s="89"/>
      <c r="EG292" s="89"/>
      <c r="EH292" s="89"/>
      <c r="EI292" s="89"/>
      <c r="EJ292" s="89"/>
      <c r="EK292" s="89"/>
      <c r="EL292" s="89"/>
      <c r="EM292" s="89"/>
      <c r="EN292" s="89"/>
      <c r="EO292" s="89"/>
    </row>
    <row r="293" spans="1:145" s="87" customFormat="1">
      <c r="B293" s="147"/>
      <c r="C293" s="99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  <c r="O293" s="177"/>
      <c r="P293" s="177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89"/>
      <c r="AJ293" s="89"/>
      <c r="AK293" s="89"/>
      <c r="AL293" s="89"/>
      <c r="AM293" s="89"/>
      <c r="AN293" s="89"/>
      <c r="AO293" s="89"/>
      <c r="AP293" s="89"/>
      <c r="AQ293" s="89"/>
      <c r="AR293" s="89"/>
      <c r="AS293" s="89"/>
      <c r="AT293" s="89"/>
      <c r="AU293" s="89"/>
      <c r="AV293" s="89"/>
      <c r="AW293" s="89"/>
      <c r="AX293" s="89"/>
      <c r="AY293" s="89"/>
      <c r="AZ293" s="89"/>
      <c r="BA293" s="89"/>
      <c r="BB293" s="89"/>
      <c r="BC293" s="89"/>
      <c r="BD293" s="89"/>
      <c r="BE293" s="89"/>
      <c r="BF293" s="89"/>
      <c r="BG293" s="89"/>
      <c r="BH293" s="89"/>
      <c r="BI293" s="89"/>
      <c r="BJ293" s="89"/>
      <c r="BK293" s="89"/>
      <c r="BL293" s="89"/>
      <c r="BM293" s="89"/>
      <c r="BN293" s="89"/>
      <c r="BO293" s="89"/>
      <c r="BP293" s="89"/>
      <c r="BQ293" s="89"/>
      <c r="BR293" s="89"/>
      <c r="BS293" s="89"/>
      <c r="BT293" s="89"/>
      <c r="BU293" s="89"/>
      <c r="BV293" s="89"/>
      <c r="BW293" s="89"/>
      <c r="BX293" s="89"/>
      <c r="BY293" s="89"/>
      <c r="BZ293" s="89"/>
      <c r="CA293" s="89"/>
      <c r="CB293" s="89"/>
      <c r="CC293" s="89"/>
      <c r="CD293" s="89"/>
      <c r="CE293" s="89"/>
      <c r="CF293" s="89"/>
      <c r="CG293" s="89"/>
      <c r="CH293" s="89"/>
      <c r="CI293" s="89"/>
      <c r="CJ293" s="89"/>
      <c r="CK293" s="89"/>
      <c r="CL293" s="89"/>
      <c r="CM293" s="89"/>
      <c r="CN293" s="89"/>
      <c r="CO293" s="89"/>
      <c r="CP293" s="89"/>
      <c r="CQ293" s="89"/>
      <c r="CR293" s="89"/>
      <c r="CS293" s="89"/>
      <c r="CT293" s="89"/>
      <c r="CU293" s="89"/>
      <c r="CV293" s="89"/>
      <c r="CW293" s="89"/>
      <c r="CX293" s="89"/>
      <c r="CY293" s="89"/>
      <c r="CZ293" s="89"/>
      <c r="DA293" s="89"/>
      <c r="DB293" s="89"/>
      <c r="DC293" s="89"/>
      <c r="DD293" s="89"/>
      <c r="DE293" s="89"/>
      <c r="DF293" s="89"/>
      <c r="DG293" s="89"/>
      <c r="DH293" s="89"/>
      <c r="DI293" s="89"/>
      <c r="DJ293" s="89"/>
      <c r="DK293" s="89"/>
      <c r="DL293" s="89"/>
      <c r="DM293" s="89"/>
      <c r="DN293" s="89"/>
      <c r="DO293" s="89"/>
      <c r="DP293" s="89"/>
      <c r="DQ293" s="89"/>
      <c r="DR293" s="89"/>
      <c r="DS293" s="89"/>
      <c r="DT293" s="89"/>
      <c r="DU293" s="89"/>
      <c r="DV293" s="89"/>
      <c r="DW293" s="89"/>
      <c r="DX293" s="89"/>
      <c r="DY293" s="89"/>
      <c r="DZ293" s="89"/>
      <c r="EA293" s="89"/>
      <c r="EB293" s="89"/>
      <c r="EC293" s="89"/>
      <c r="ED293" s="89"/>
      <c r="EE293" s="89"/>
      <c r="EF293" s="89"/>
      <c r="EG293" s="89"/>
      <c r="EH293" s="89"/>
      <c r="EI293" s="89"/>
      <c r="EJ293" s="89"/>
      <c r="EK293" s="89"/>
      <c r="EL293" s="89"/>
      <c r="EM293" s="89"/>
      <c r="EN293" s="89"/>
      <c r="EO293" s="89"/>
    </row>
    <row r="294" spans="1:145" s="87" customFormat="1">
      <c r="A294" s="432">
        <v>6</v>
      </c>
      <c r="B294" s="87" t="s">
        <v>82</v>
      </c>
      <c r="C294" s="157" t="s">
        <v>5</v>
      </c>
      <c r="D294" s="177">
        <f>+'[5]Revenue BG'!C53</f>
        <v>-676.6899027115328</v>
      </c>
      <c r="E294" s="177">
        <f>+'[5]Revenue BG'!D53</f>
        <v>-771.33924142712931</v>
      </c>
      <c r="F294" s="177">
        <f>+'[5]Revenue BG'!E53</f>
        <v>-694.544534801238</v>
      </c>
      <c r="G294" s="177">
        <f>+'[5]Revenue BG'!F53</f>
        <v>-646.76337533130913</v>
      </c>
      <c r="H294" s="177">
        <f>+'[5]Revenue BG'!G53</f>
        <v>-223.8386094771281</v>
      </c>
      <c r="I294" s="177">
        <f>+'[5]Revenue BG'!H53</f>
        <v>962.26840882352599</v>
      </c>
      <c r="J294" s="177">
        <f>+'[5]Revenue BG'!I53</f>
        <v>0</v>
      </c>
      <c r="K294" s="177">
        <f>+'[5]Revenue BG'!J53</f>
        <v>-999.74296350366376</v>
      </c>
      <c r="L294" s="177">
        <f>+'[5]Revenue BG'!K53</f>
        <v>-1421.4624786885263</v>
      </c>
      <c r="M294" s="177">
        <f>+'[5]Revenue BG'!L53</f>
        <v>-1517.7984349726792</v>
      </c>
      <c r="N294" s="177">
        <f>+'[5]Revenue BG'!M53</f>
        <v>479.03873614677451</v>
      </c>
      <c r="O294" s="177">
        <f>+'[5]Revenue BG'!N53</f>
        <v>0</v>
      </c>
      <c r="P294" s="101">
        <f>SUM(D294:O294)</f>
        <v>-5510.8723959429062</v>
      </c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89"/>
      <c r="AJ294" s="89"/>
      <c r="AK294" s="89"/>
      <c r="AL294" s="89"/>
      <c r="AM294" s="89"/>
      <c r="AN294" s="89"/>
      <c r="AO294" s="89"/>
      <c r="AP294" s="89"/>
      <c r="AQ294" s="89"/>
      <c r="AR294" s="89"/>
      <c r="AS294" s="89"/>
      <c r="AT294" s="89"/>
      <c r="AU294" s="89"/>
      <c r="AV294" s="89"/>
      <c r="AW294" s="89"/>
      <c r="AX294" s="89"/>
      <c r="AY294" s="89"/>
      <c r="AZ294" s="89"/>
      <c r="BA294" s="89"/>
      <c r="BB294" s="89"/>
      <c r="BC294" s="89"/>
      <c r="BD294" s="89"/>
      <c r="BE294" s="89"/>
      <c r="BF294" s="89"/>
      <c r="BG294" s="89"/>
      <c r="BH294" s="89"/>
      <c r="BI294" s="89"/>
      <c r="BJ294" s="89"/>
      <c r="BK294" s="89"/>
      <c r="BL294" s="89"/>
      <c r="BM294" s="89"/>
      <c r="BN294" s="89"/>
      <c r="BO294" s="89"/>
      <c r="BP294" s="89"/>
      <c r="BQ294" s="89"/>
      <c r="BR294" s="89"/>
      <c r="BS294" s="89"/>
      <c r="BT294" s="89"/>
      <c r="BU294" s="89"/>
      <c r="BV294" s="89"/>
      <c r="BW294" s="89"/>
      <c r="BX294" s="89"/>
      <c r="BY294" s="89"/>
      <c r="BZ294" s="89"/>
      <c r="CA294" s="89"/>
      <c r="CB294" s="89"/>
      <c r="CC294" s="89"/>
      <c r="CD294" s="89"/>
      <c r="CE294" s="89"/>
      <c r="CF294" s="89"/>
      <c r="CG294" s="89"/>
      <c r="CH294" s="89"/>
      <c r="CI294" s="89"/>
      <c r="CJ294" s="89"/>
      <c r="CK294" s="89"/>
      <c r="CL294" s="89"/>
      <c r="CM294" s="89"/>
      <c r="CN294" s="89"/>
      <c r="CO294" s="89"/>
      <c r="CP294" s="89"/>
      <c r="CQ294" s="89"/>
      <c r="CR294" s="89"/>
      <c r="CS294" s="89"/>
      <c r="CT294" s="89"/>
      <c r="CU294" s="89"/>
      <c r="CV294" s="89"/>
      <c r="CW294" s="89"/>
      <c r="CX294" s="89"/>
      <c r="CY294" s="89"/>
      <c r="CZ294" s="89"/>
      <c r="DA294" s="89"/>
      <c r="DB294" s="89"/>
      <c r="DC294" s="89"/>
      <c r="DD294" s="89"/>
      <c r="DE294" s="89"/>
      <c r="DF294" s="89"/>
      <c r="DG294" s="89"/>
      <c r="DH294" s="89"/>
      <c r="DI294" s="89"/>
      <c r="DJ294" s="89"/>
      <c r="DK294" s="89"/>
      <c r="DL294" s="89"/>
      <c r="DM294" s="89"/>
      <c r="DN294" s="89"/>
      <c r="DO294" s="89"/>
      <c r="DP294" s="89"/>
      <c r="DQ294" s="89"/>
      <c r="DR294" s="89"/>
      <c r="DS294" s="89"/>
      <c r="DT294" s="89"/>
      <c r="DU294" s="89"/>
      <c r="DV294" s="89"/>
      <c r="DW294" s="89"/>
      <c r="DX294" s="89"/>
      <c r="DY294" s="89"/>
      <c r="DZ294" s="89"/>
      <c r="EA294" s="89"/>
      <c r="EB294" s="89"/>
      <c r="EC294" s="89"/>
      <c r="ED294" s="89"/>
      <c r="EE294" s="89"/>
      <c r="EF294" s="89"/>
      <c r="EG294" s="89"/>
      <c r="EH294" s="89"/>
      <c r="EI294" s="89"/>
      <c r="EJ294" s="89"/>
      <c r="EK294" s="89"/>
      <c r="EL294" s="89"/>
      <c r="EM294" s="89"/>
      <c r="EN294" s="89"/>
      <c r="EO294" s="89"/>
    </row>
    <row r="295" spans="1:145" s="87" customFormat="1">
      <c r="A295" s="432">
        <v>7</v>
      </c>
      <c r="B295" s="87" t="s">
        <v>83</v>
      </c>
      <c r="C295" s="157" t="s">
        <v>5</v>
      </c>
      <c r="D295" s="177">
        <f>+'[5]Revenue BG'!C54</f>
        <v>52666.695490124286</v>
      </c>
      <c r="E295" s="177">
        <f>+'[5]Revenue BG'!D54</f>
        <v>-3041.632450672299</v>
      </c>
      <c r="F295" s="177">
        <f>+'[5]Revenue BG'!E54</f>
        <v>-33501.601121285246</v>
      </c>
      <c r="G295" s="177">
        <f>+'[5]Revenue BG'!F54</f>
        <v>-12069.309105317237</v>
      </c>
      <c r="H295" s="177">
        <f>+'[5]Revenue BG'!G54</f>
        <v>-53462.14374629478</v>
      </c>
      <c r="I295" s="177">
        <f>+'[5]Revenue BG'!H54</f>
        <v>-24216.287152258046</v>
      </c>
      <c r="J295" s="177">
        <f>+'[5]Revenue BG'!I54</f>
        <v>-2575.0958933333332</v>
      </c>
      <c r="K295" s="177">
        <f>+'[5]Revenue BG'!J54</f>
        <v>-78008.655519156659</v>
      </c>
      <c r="L295" s="177">
        <f>+'[5]Revenue BG'!K54</f>
        <v>-61572.117697358568</v>
      </c>
      <c r="M295" s="177">
        <f>+'[5]Revenue BG'!L54</f>
        <v>-22190.810948387079</v>
      </c>
      <c r="N295" s="177">
        <f>+'[5]Revenue BG'!M54</f>
        <v>-86879.566160630071</v>
      </c>
      <c r="O295" s="177">
        <f>+'[5]Revenue BG'!N54</f>
        <v>0</v>
      </c>
      <c r="P295" s="158">
        <f>SUM(D295:O295)</f>
        <v>-324850.524304569</v>
      </c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  <c r="AS295" s="89"/>
      <c r="AT295" s="89"/>
      <c r="AU295" s="89"/>
      <c r="AV295" s="89"/>
      <c r="AW295" s="89"/>
      <c r="AX295" s="89"/>
      <c r="AY295" s="89"/>
      <c r="AZ295" s="89"/>
      <c r="BA295" s="89"/>
      <c r="BB295" s="89"/>
      <c r="BC295" s="89"/>
      <c r="BD295" s="89"/>
      <c r="BE295" s="89"/>
      <c r="BF295" s="89"/>
      <c r="BG295" s="89"/>
      <c r="BH295" s="89"/>
      <c r="BI295" s="89"/>
      <c r="BJ295" s="89"/>
      <c r="BK295" s="89"/>
      <c r="BL295" s="89"/>
      <c r="BM295" s="89"/>
      <c r="BN295" s="89"/>
      <c r="BO295" s="89"/>
      <c r="BP295" s="89"/>
      <c r="BQ295" s="89"/>
      <c r="BR295" s="89"/>
      <c r="BS295" s="89"/>
      <c r="BT295" s="89"/>
      <c r="BU295" s="89"/>
      <c r="BV295" s="89"/>
      <c r="BW295" s="89"/>
      <c r="BX295" s="89"/>
      <c r="BY295" s="89"/>
      <c r="BZ295" s="89"/>
      <c r="CA295" s="89"/>
      <c r="CB295" s="89"/>
      <c r="CC295" s="89"/>
      <c r="CD295" s="89"/>
      <c r="CE295" s="89"/>
      <c r="CF295" s="89"/>
      <c r="CG295" s="89"/>
      <c r="CH295" s="89"/>
      <c r="CI295" s="89"/>
      <c r="CJ295" s="89"/>
      <c r="CK295" s="89"/>
      <c r="CL295" s="89"/>
      <c r="CM295" s="89"/>
      <c r="CN295" s="89"/>
      <c r="CO295" s="89"/>
      <c r="CP295" s="89"/>
      <c r="CQ295" s="89"/>
      <c r="CR295" s="89"/>
      <c r="CS295" s="89"/>
      <c r="CT295" s="89"/>
      <c r="CU295" s="89"/>
      <c r="CV295" s="89"/>
      <c r="CW295" s="89"/>
      <c r="CX295" s="89"/>
      <c r="CY295" s="89"/>
      <c r="CZ295" s="89"/>
      <c r="DA295" s="89"/>
      <c r="DB295" s="89"/>
      <c r="DC295" s="89"/>
      <c r="DD295" s="89"/>
      <c r="DE295" s="89"/>
      <c r="DF295" s="89"/>
      <c r="DG295" s="89"/>
      <c r="DH295" s="89"/>
      <c r="DI295" s="89"/>
      <c r="DJ295" s="89"/>
      <c r="DK295" s="89"/>
      <c r="DL295" s="89"/>
      <c r="DM295" s="89"/>
      <c r="DN295" s="89"/>
      <c r="DO295" s="89"/>
      <c r="DP295" s="89"/>
      <c r="DQ295" s="89"/>
      <c r="DR295" s="89"/>
      <c r="DS295" s="89"/>
      <c r="DT295" s="89"/>
      <c r="DU295" s="89"/>
      <c r="DV295" s="89"/>
      <c r="DW295" s="89"/>
      <c r="DX295" s="89"/>
      <c r="DY295" s="89"/>
      <c r="DZ295" s="89"/>
      <c r="EA295" s="89"/>
      <c r="EB295" s="89"/>
      <c r="EC295" s="89"/>
      <c r="ED295" s="89"/>
      <c r="EE295" s="89"/>
      <c r="EF295" s="89"/>
      <c r="EG295" s="89"/>
      <c r="EH295" s="89"/>
      <c r="EI295" s="89"/>
      <c r="EJ295" s="89"/>
      <c r="EK295" s="89"/>
      <c r="EL295" s="89"/>
      <c r="EM295" s="89"/>
      <c r="EN295" s="89"/>
      <c r="EO295" s="89"/>
    </row>
    <row r="296" spans="1:145" s="87" customFormat="1">
      <c r="A296" s="432">
        <v>8</v>
      </c>
      <c r="B296" s="87" t="s">
        <v>148</v>
      </c>
      <c r="C296" s="157" t="s">
        <v>5</v>
      </c>
      <c r="D296" s="177">
        <f>+('II-H-3.1-3'!D58*'II-H-3.1-3'!$R24)+('II-H-3.1-3'!D58*'II-H-3.1-3'!$S24)</f>
        <v>0</v>
      </c>
      <c r="E296" s="177">
        <f>+('II-H-3.1-3'!E58*'II-H-3.1-3'!$R24)+('II-H-3.1-3'!E58*'II-H-3.1-3'!$S24)</f>
        <v>0</v>
      </c>
      <c r="F296" s="177">
        <f>+('II-H-3.1-3'!F58*'II-H-3.1-3'!$R24)+('II-H-3.1-3'!F58*'II-H-3.1-3'!$S24)</f>
        <v>0</v>
      </c>
      <c r="G296" s="177">
        <f>+('II-H-3.1-3'!G58*'II-H-3.1-3'!$R24)+('II-H-3.1-3'!G58*'II-H-3.1-3'!$S24)</f>
        <v>0</v>
      </c>
      <c r="H296" s="177">
        <f>+('II-H-3.1-3'!H58*'II-H-3.1-3'!$R24)+('II-H-3.1-3'!H58*'II-H-3.1-3'!$S24)</f>
        <v>0</v>
      </c>
      <c r="I296" s="177">
        <f>+('II-H-3.1-3'!I58*'II-H-3.1-3'!$R24)+('II-H-3.1-3'!I58*'II-H-3.1-3'!$S24)</f>
        <v>0</v>
      </c>
      <c r="J296" s="177">
        <f>+('II-H-3.1-3'!J58*'II-H-3.1-3'!$R24)+('II-H-3.1-3'!J58*'II-H-3.1-3'!$S24)</f>
        <v>0</v>
      </c>
      <c r="K296" s="177">
        <f>+('II-H-3.1-3'!K58*'II-H-3.1-3'!$R24)+('II-H-3.1-3'!K58*'II-H-3.1-3'!$S24)</f>
        <v>0</v>
      </c>
      <c r="L296" s="177">
        <f>+('II-H-3.1-3'!L58*'II-H-3.1-3'!$R24)+('II-H-3.1-3'!L58*'II-H-3.1-3'!$S24)</f>
        <v>0</v>
      </c>
      <c r="M296" s="177">
        <f>+('II-H-3.1-3'!M58*'II-H-3.1-3'!$R24)+('II-H-3.1-3'!M58*'II-H-3.1-3'!$S24)</f>
        <v>0</v>
      </c>
      <c r="N296" s="177">
        <f>+('II-H-3.1-3'!N58*'II-H-3.1-3'!$R24)+('II-H-3.1-3'!N58*'II-H-3.1-3'!$S24)</f>
        <v>0</v>
      </c>
      <c r="O296" s="177">
        <f>+('II-H-3.1-3'!O58*'II-H-3.1-3'!$R24)+('II-H-3.1-3'!O58*'II-H-3.1-3'!$S24)</f>
        <v>0</v>
      </c>
      <c r="P296" s="158">
        <f t="shared" ref="P296:P297" si="119">SUM(D296:O296)</f>
        <v>0</v>
      </c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89"/>
      <c r="AJ296" s="89"/>
      <c r="AK296" s="89"/>
      <c r="AL296" s="89"/>
      <c r="AM296" s="89"/>
      <c r="AN296" s="89"/>
      <c r="AO296" s="89"/>
      <c r="AP296" s="89"/>
      <c r="AQ296" s="89"/>
      <c r="AR296" s="89"/>
      <c r="AS296" s="89"/>
      <c r="AT296" s="89"/>
      <c r="AU296" s="89"/>
      <c r="AV296" s="89"/>
      <c r="AW296" s="89"/>
      <c r="AX296" s="89"/>
      <c r="AY296" s="89"/>
      <c r="AZ296" s="89"/>
      <c r="BA296" s="89"/>
      <c r="BB296" s="89"/>
      <c r="BC296" s="89"/>
      <c r="BD296" s="89"/>
      <c r="BE296" s="89"/>
      <c r="BF296" s="89"/>
      <c r="BG296" s="89"/>
      <c r="BH296" s="89"/>
      <c r="BI296" s="89"/>
      <c r="BJ296" s="89"/>
      <c r="BK296" s="89"/>
      <c r="BL296" s="89"/>
      <c r="BM296" s="89"/>
      <c r="BN296" s="89"/>
      <c r="BO296" s="89"/>
      <c r="BP296" s="89"/>
      <c r="BQ296" s="89"/>
      <c r="BR296" s="89"/>
      <c r="BS296" s="89"/>
      <c r="BT296" s="89"/>
      <c r="BU296" s="89"/>
      <c r="BV296" s="89"/>
      <c r="BW296" s="89"/>
      <c r="BX296" s="89"/>
      <c r="BY296" s="89"/>
      <c r="BZ296" s="89"/>
      <c r="CA296" s="89"/>
      <c r="CB296" s="89"/>
      <c r="CC296" s="89"/>
      <c r="CD296" s="89"/>
      <c r="CE296" s="89"/>
      <c r="CF296" s="89"/>
      <c r="CG296" s="89"/>
      <c r="CH296" s="89"/>
      <c r="CI296" s="89"/>
      <c r="CJ296" s="89"/>
      <c r="CK296" s="89"/>
      <c r="CL296" s="89"/>
      <c r="CM296" s="89"/>
      <c r="CN296" s="89"/>
      <c r="CO296" s="89"/>
      <c r="CP296" s="89"/>
      <c r="CQ296" s="89"/>
      <c r="CR296" s="89"/>
      <c r="CS296" s="89"/>
      <c r="CT296" s="89"/>
      <c r="CU296" s="89"/>
      <c r="CV296" s="89"/>
      <c r="CW296" s="89"/>
      <c r="CX296" s="89"/>
      <c r="CY296" s="89"/>
      <c r="CZ296" s="89"/>
      <c r="DA296" s="89"/>
      <c r="DB296" s="89"/>
      <c r="DC296" s="89"/>
      <c r="DD296" s="89"/>
      <c r="DE296" s="89"/>
      <c r="DF296" s="89"/>
      <c r="DG296" s="89"/>
      <c r="DH296" s="89"/>
      <c r="DI296" s="89"/>
      <c r="DJ296" s="89"/>
      <c r="DK296" s="89"/>
      <c r="DL296" s="89"/>
      <c r="DM296" s="89"/>
      <c r="DN296" s="89"/>
      <c r="DO296" s="89"/>
      <c r="DP296" s="89"/>
      <c r="DQ296" s="89"/>
      <c r="DR296" s="89"/>
      <c r="DS296" s="89"/>
      <c r="DT296" s="89"/>
      <c r="DU296" s="89"/>
      <c r="DV296" s="89"/>
      <c r="DW296" s="89"/>
      <c r="DX296" s="89"/>
      <c r="DY296" s="89"/>
      <c r="DZ296" s="89"/>
      <c r="EA296" s="89"/>
      <c r="EB296" s="89"/>
      <c r="EC296" s="89"/>
      <c r="ED296" s="89"/>
      <c r="EE296" s="89"/>
      <c r="EF296" s="89"/>
      <c r="EG296" s="89"/>
      <c r="EH296" s="89"/>
      <c r="EI296" s="89"/>
      <c r="EJ296" s="89"/>
      <c r="EK296" s="89"/>
      <c r="EL296" s="89"/>
      <c r="EM296" s="89"/>
      <c r="EN296" s="89"/>
      <c r="EO296" s="89"/>
    </row>
    <row r="297" spans="1:145" s="87" customFormat="1">
      <c r="A297" s="432">
        <v>9</v>
      </c>
      <c r="B297" s="87" t="s">
        <v>149</v>
      </c>
      <c r="C297" s="157" t="s">
        <v>5</v>
      </c>
      <c r="D297" s="177">
        <f>+('II-H-3.1-3'!D59*'II-H-3.1-3'!$R25)+('II-H-3.1-3'!D59*'II-H-3.1-3'!$S25)</f>
        <v>0</v>
      </c>
      <c r="E297" s="177">
        <f>+('II-H-3.1-3'!E59*'II-H-3.1-3'!$R25)+('II-H-3.1-3'!E59*'II-H-3.1-3'!$S25)</f>
        <v>0</v>
      </c>
      <c r="F297" s="177">
        <f>+('II-H-3.1-3'!F59*'II-H-3.1-3'!$R25)+('II-H-3.1-3'!F59*'II-H-3.1-3'!$S25)</f>
        <v>0</v>
      </c>
      <c r="G297" s="177">
        <f>+('II-H-3.1-3'!G59*'II-H-3.1-3'!$R25)+('II-H-3.1-3'!G59*'II-H-3.1-3'!$S25)</f>
        <v>0</v>
      </c>
      <c r="H297" s="177">
        <f>+('II-H-3.1-3'!H59*'II-H-3.1-3'!$R25)+('II-H-3.1-3'!H59*'II-H-3.1-3'!$S25)</f>
        <v>0</v>
      </c>
      <c r="I297" s="177">
        <f>+('II-H-3.1-3'!I59*'II-H-3.1-3'!$R25)+('II-H-3.1-3'!I59*'II-H-3.1-3'!$S25)</f>
        <v>0</v>
      </c>
      <c r="J297" s="177">
        <f>+('II-H-3.1-3'!J59*'II-H-3.1-3'!$R25)+('II-H-3.1-3'!J59*'II-H-3.1-3'!$S25)</f>
        <v>0</v>
      </c>
      <c r="K297" s="177">
        <f>+('II-H-3.1-3'!K59*'II-H-3.1-3'!$R25)+('II-H-3.1-3'!K59*'II-H-3.1-3'!$S25)</f>
        <v>0</v>
      </c>
      <c r="L297" s="177">
        <f>+('II-H-3.1-3'!L59*'II-H-3.1-3'!$R25)+('II-H-3.1-3'!L59*'II-H-3.1-3'!$S25)</f>
        <v>0</v>
      </c>
      <c r="M297" s="177">
        <f>+('II-H-3.1-3'!M59*'II-H-3.1-3'!$R25)+('II-H-3.1-3'!M59*'II-H-3.1-3'!$S25)</f>
        <v>0</v>
      </c>
      <c r="N297" s="177">
        <f>+('II-H-3.1-3'!N59*'II-H-3.1-3'!$R25)+('II-H-3.1-3'!N59*'II-H-3.1-3'!$S25)</f>
        <v>0</v>
      </c>
      <c r="O297" s="177">
        <f>+('II-H-3.1-3'!O59*'II-H-3.1-3'!$R25)+('II-H-3.1-3'!O59*'II-H-3.1-3'!$S25)</f>
        <v>0</v>
      </c>
      <c r="P297" s="158">
        <f t="shared" si="119"/>
        <v>0</v>
      </c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89"/>
      <c r="AJ297" s="89"/>
      <c r="AK297" s="89"/>
      <c r="AL297" s="89"/>
      <c r="AM297" s="89"/>
      <c r="AN297" s="89"/>
      <c r="AO297" s="89"/>
      <c r="AP297" s="89"/>
      <c r="AQ297" s="89"/>
      <c r="AR297" s="89"/>
      <c r="AS297" s="89"/>
      <c r="AT297" s="89"/>
      <c r="AU297" s="89"/>
      <c r="AV297" s="89"/>
      <c r="AW297" s="89"/>
      <c r="AX297" s="89"/>
      <c r="AY297" s="89"/>
      <c r="AZ297" s="89"/>
      <c r="BA297" s="89"/>
      <c r="BB297" s="89"/>
      <c r="BC297" s="89"/>
      <c r="BD297" s="89"/>
      <c r="BE297" s="89"/>
      <c r="BF297" s="89"/>
      <c r="BG297" s="89"/>
      <c r="BH297" s="89"/>
      <c r="BI297" s="89"/>
      <c r="BJ297" s="89"/>
      <c r="BK297" s="89"/>
      <c r="BL297" s="89"/>
      <c r="BM297" s="89"/>
      <c r="BN297" s="89"/>
      <c r="BO297" s="89"/>
      <c r="BP297" s="89"/>
      <c r="BQ297" s="89"/>
      <c r="BR297" s="89"/>
      <c r="BS297" s="89"/>
      <c r="BT297" s="89"/>
      <c r="BU297" s="89"/>
      <c r="BV297" s="89"/>
      <c r="BW297" s="89"/>
      <c r="BX297" s="89"/>
      <c r="BY297" s="89"/>
      <c r="BZ297" s="89"/>
      <c r="CA297" s="89"/>
      <c r="CB297" s="89"/>
      <c r="CC297" s="89"/>
      <c r="CD297" s="89"/>
      <c r="CE297" s="89"/>
      <c r="CF297" s="89"/>
      <c r="CG297" s="89"/>
      <c r="CH297" s="89"/>
      <c r="CI297" s="89"/>
      <c r="CJ297" s="89"/>
      <c r="CK297" s="89"/>
      <c r="CL297" s="89"/>
      <c r="CM297" s="89"/>
      <c r="CN297" s="89"/>
      <c r="CO297" s="89"/>
      <c r="CP297" s="89"/>
      <c r="CQ297" s="89"/>
      <c r="CR297" s="89"/>
      <c r="CS297" s="89"/>
      <c r="CT297" s="89"/>
      <c r="CU297" s="89"/>
      <c r="CV297" s="89"/>
      <c r="CW297" s="89"/>
      <c r="CX297" s="89"/>
      <c r="CY297" s="89"/>
      <c r="CZ297" s="89"/>
      <c r="DA297" s="89"/>
      <c r="DB297" s="89"/>
      <c r="DC297" s="89"/>
      <c r="DD297" s="89"/>
      <c r="DE297" s="89"/>
      <c r="DF297" s="89"/>
      <c r="DG297" s="89"/>
      <c r="DH297" s="89"/>
      <c r="DI297" s="89"/>
      <c r="DJ297" s="89"/>
      <c r="DK297" s="89"/>
      <c r="DL297" s="89"/>
      <c r="DM297" s="89"/>
      <c r="DN297" s="89"/>
      <c r="DO297" s="89"/>
      <c r="DP297" s="89"/>
      <c r="DQ297" s="89"/>
      <c r="DR297" s="89"/>
      <c r="DS297" s="89"/>
      <c r="DT297" s="89"/>
      <c r="DU297" s="89"/>
      <c r="DV297" s="89"/>
      <c r="DW297" s="89"/>
      <c r="DX297" s="89"/>
      <c r="DY297" s="89"/>
      <c r="DZ297" s="89"/>
      <c r="EA297" s="89"/>
      <c r="EB297" s="89"/>
      <c r="EC297" s="89"/>
      <c r="ED297" s="89"/>
      <c r="EE297" s="89"/>
      <c r="EF297" s="89"/>
      <c r="EG297" s="89"/>
      <c r="EH297" s="89"/>
      <c r="EI297" s="89"/>
      <c r="EJ297" s="89"/>
      <c r="EK297" s="89"/>
      <c r="EL297" s="89"/>
      <c r="EM297" s="89"/>
      <c r="EN297" s="89"/>
      <c r="EO297" s="89"/>
    </row>
    <row r="298" spans="1:145" s="87" customFormat="1">
      <c r="A298" s="432">
        <v>10</v>
      </c>
      <c r="B298" s="87" t="s">
        <v>19</v>
      </c>
      <c r="C298" s="157"/>
      <c r="D298" s="391">
        <f>SUM(D294:D297)</f>
        <v>51990.00558741275</v>
      </c>
      <c r="E298" s="391">
        <f t="shared" ref="E298:O298" si="120">SUM(E294:E297)</f>
        <v>-3812.9716920994283</v>
      </c>
      <c r="F298" s="391">
        <f t="shared" si="120"/>
        <v>-34196.145656086483</v>
      </c>
      <c r="G298" s="391">
        <f t="shared" si="120"/>
        <v>-12716.072480648547</v>
      </c>
      <c r="H298" s="391">
        <f t="shared" si="120"/>
        <v>-53685.982355771906</v>
      </c>
      <c r="I298" s="391">
        <f t="shared" si="120"/>
        <v>-23254.018743434521</v>
      </c>
      <c r="J298" s="391">
        <f t="shared" si="120"/>
        <v>-2575.0958933333332</v>
      </c>
      <c r="K298" s="391">
        <f t="shared" si="120"/>
        <v>-79008.398482660326</v>
      </c>
      <c r="L298" s="391">
        <f t="shared" si="120"/>
        <v>-62993.580176047093</v>
      </c>
      <c r="M298" s="391">
        <f t="shared" si="120"/>
        <v>-23708.609383359759</v>
      </c>
      <c r="N298" s="391">
        <f t="shared" si="120"/>
        <v>-86400.527424483298</v>
      </c>
      <c r="O298" s="391">
        <f t="shared" si="120"/>
        <v>0</v>
      </c>
      <c r="P298" s="391">
        <f t="shared" ref="P298" si="121">SUM(P294:P297)</f>
        <v>-330361.39670051192</v>
      </c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89"/>
      <c r="AJ298" s="89"/>
      <c r="AK298" s="89"/>
      <c r="AL298" s="89"/>
      <c r="AM298" s="89"/>
      <c r="AN298" s="89"/>
      <c r="AO298" s="89"/>
      <c r="AP298" s="89"/>
      <c r="AQ298" s="89"/>
      <c r="AR298" s="89"/>
      <c r="AS298" s="89"/>
      <c r="AT298" s="89"/>
      <c r="AU298" s="89"/>
      <c r="AV298" s="89"/>
      <c r="AW298" s="89"/>
      <c r="AX298" s="89"/>
      <c r="AY298" s="89"/>
      <c r="AZ298" s="89"/>
      <c r="BA298" s="89"/>
      <c r="BB298" s="89"/>
      <c r="BC298" s="89"/>
      <c r="BD298" s="89"/>
      <c r="BE298" s="89"/>
      <c r="BF298" s="89"/>
      <c r="BG298" s="89"/>
      <c r="BH298" s="89"/>
      <c r="BI298" s="89"/>
      <c r="BJ298" s="89"/>
      <c r="BK298" s="89"/>
      <c r="BL298" s="89"/>
      <c r="BM298" s="89"/>
      <c r="BN298" s="89"/>
      <c r="BO298" s="89"/>
      <c r="BP298" s="89"/>
      <c r="BQ298" s="89"/>
      <c r="BR298" s="89"/>
      <c r="BS298" s="89"/>
      <c r="BT298" s="89"/>
      <c r="BU298" s="89"/>
      <c r="BV298" s="89"/>
      <c r="BW298" s="89"/>
      <c r="BX298" s="89"/>
      <c r="BY298" s="89"/>
      <c r="BZ298" s="89"/>
      <c r="CA298" s="89"/>
      <c r="CB298" s="89"/>
      <c r="CC298" s="89"/>
      <c r="CD298" s="89"/>
      <c r="CE298" s="89"/>
      <c r="CF298" s="89"/>
      <c r="CG298" s="89"/>
      <c r="CH298" s="89"/>
      <c r="CI298" s="89"/>
      <c r="CJ298" s="89"/>
      <c r="CK298" s="89"/>
      <c r="CL298" s="89"/>
      <c r="CM298" s="89"/>
      <c r="CN298" s="89"/>
      <c r="CO298" s="89"/>
      <c r="CP298" s="89"/>
      <c r="CQ298" s="89"/>
      <c r="CR298" s="89"/>
      <c r="CS298" s="89"/>
      <c r="CT298" s="89"/>
      <c r="CU298" s="89"/>
      <c r="CV298" s="89"/>
      <c r="CW298" s="89"/>
      <c r="CX298" s="89"/>
      <c r="CY298" s="89"/>
      <c r="CZ298" s="89"/>
      <c r="DA298" s="89"/>
      <c r="DB298" s="89"/>
      <c r="DC298" s="89"/>
      <c r="DD298" s="89"/>
      <c r="DE298" s="89"/>
      <c r="DF298" s="89"/>
      <c r="DG298" s="89"/>
      <c r="DH298" s="89"/>
      <c r="DI298" s="89"/>
      <c r="DJ298" s="89"/>
      <c r="DK298" s="89"/>
      <c r="DL298" s="89"/>
      <c r="DM298" s="89"/>
      <c r="DN298" s="89"/>
      <c r="DO298" s="89"/>
      <c r="DP298" s="89"/>
      <c r="DQ298" s="89"/>
      <c r="DR298" s="89"/>
      <c r="DS298" s="89"/>
      <c r="DT298" s="89"/>
      <c r="DU298" s="89"/>
      <c r="DV298" s="89"/>
      <c r="DW298" s="89"/>
      <c r="DX298" s="89"/>
      <c r="DY298" s="89"/>
      <c r="DZ298" s="89"/>
      <c r="EA298" s="89"/>
      <c r="EB298" s="89"/>
      <c r="EC298" s="89"/>
      <c r="ED298" s="89"/>
      <c r="EE298" s="89"/>
      <c r="EF298" s="89"/>
      <c r="EG298" s="89"/>
      <c r="EH298" s="89"/>
      <c r="EI298" s="89"/>
      <c r="EJ298" s="89"/>
      <c r="EK298" s="89"/>
      <c r="EL298" s="89"/>
      <c r="EM298" s="89"/>
      <c r="EN298" s="89"/>
      <c r="EO298" s="89"/>
    </row>
    <row r="299" spans="1:145" s="87" customFormat="1">
      <c r="A299" s="432"/>
      <c r="C299" s="15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  <c r="O299" s="177"/>
      <c r="P299" s="101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89"/>
      <c r="AJ299" s="89"/>
      <c r="AK299" s="89"/>
      <c r="AL299" s="89"/>
      <c r="AM299" s="89"/>
      <c r="AN299" s="89"/>
      <c r="AO299" s="89"/>
      <c r="AP299" s="89"/>
      <c r="AQ299" s="89"/>
      <c r="AR299" s="89"/>
      <c r="AS299" s="89"/>
      <c r="AT299" s="89"/>
      <c r="AU299" s="89"/>
      <c r="AV299" s="89"/>
      <c r="AW299" s="89"/>
      <c r="AX299" s="89"/>
      <c r="AY299" s="89"/>
      <c r="AZ299" s="89"/>
      <c r="BA299" s="89"/>
      <c r="BB299" s="89"/>
      <c r="BC299" s="89"/>
      <c r="BD299" s="89"/>
      <c r="BE299" s="89"/>
      <c r="BF299" s="89"/>
      <c r="BG299" s="89"/>
      <c r="BH299" s="89"/>
      <c r="BI299" s="89"/>
      <c r="BJ299" s="89"/>
      <c r="BK299" s="89"/>
      <c r="BL299" s="89"/>
      <c r="BM299" s="89"/>
      <c r="BN299" s="89"/>
      <c r="BO299" s="89"/>
      <c r="BP299" s="89"/>
      <c r="BQ299" s="89"/>
      <c r="BR299" s="89"/>
      <c r="BS299" s="89"/>
      <c r="BT299" s="89"/>
      <c r="BU299" s="89"/>
      <c r="BV299" s="89"/>
      <c r="BW299" s="89"/>
      <c r="BX299" s="89"/>
      <c r="BY299" s="89"/>
      <c r="BZ299" s="89"/>
      <c r="CA299" s="89"/>
      <c r="CB299" s="89"/>
      <c r="CC299" s="89"/>
      <c r="CD299" s="89"/>
      <c r="CE299" s="89"/>
      <c r="CF299" s="89"/>
      <c r="CG299" s="89"/>
      <c r="CH299" s="89"/>
      <c r="CI299" s="89"/>
      <c r="CJ299" s="89"/>
      <c r="CK299" s="89"/>
      <c r="CL299" s="89"/>
      <c r="CM299" s="89"/>
      <c r="CN299" s="89"/>
      <c r="CO299" s="89"/>
      <c r="CP299" s="89"/>
      <c r="CQ299" s="89"/>
      <c r="CR299" s="89"/>
      <c r="CS299" s="89"/>
      <c r="CT299" s="89"/>
      <c r="CU299" s="89"/>
      <c r="CV299" s="89"/>
      <c r="CW299" s="89"/>
      <c r="CX299" s="89"/>
      <c r="CY299" s="89"/>
      <c r="CZ299" s="89"/>
      <c r="DA299" s="89"/>
      <c r="DB299" s="89"/>
      <c r="DC299" s="89"/>
      <c r="DD299" s="89"/>
      <c r="DE299" s="89"/>
      <c r="DF299" s="89"/>
      <c r="DG299" s="89"/>
      <c r="DH299" s="89"/>
      <c r="DI299" s="89"/>
      <c r="DJ299" s="89"/>
      <c r="DK299" s="89"/>
      <c r="DL299" s="89"/>
      <c r="DM299" s="89"/>
      <c r="DN299" s="89"/>
      <c r="DO299" s="89"/>
      <c r="DP299" s="89"/>
      <c r="DQ299" s="89"/>
      <c r="DR299" s="89"/>
      <c r="DS299" s="89"/>
      <c r="DT299" s="89"/>
      <c r="DU299" s="89"/>
      <c r="DV299" s="89"/>
      <c r="DW299" s="89"/>
      <c r="DX299" s="89"/>
      <c r="DY299" s="89"/>
      <c r="DZ299" s="89"/>
      <c r="EA299" s="89"/>
      <c r="EB299" s="89"/>
      <c r="EC299" s="89"/>
      <c r="ED299" s="89"/>
      <c r="EE299" s="89"/>
      <c r="EF299" s="89"/>
      <c r="EG299" s="89"/>
      <c r="EH299" s="89"/>
      <c r="EI299" s="89"/>
      <c r="EJ299" s="89"/>
      <c r="EK299" s="89"/>
      <c r="EL299" s="89"/>
      <c r="EM299" s="89"/>
      <c r="EN299" s="89"/>
      <c r="EO299" s="89"/>
    </row>
    <row r="300" spans="1:145" s="87" customFormat="1">
      <c r="A300" s="432">
        <v>11</v>
      </c>
      <c r="B300" s="131" t="s">
        <v>86</v>
      </c>
      <c r="C300" s="157" t="s">
        <v>6</v>
      </c>
      <c r="D300" s="177">
        <f>+'[5]Revenue BG'!C55</f>
        <v>-8946.0403999999926</v>
      </c>
      <c r="E300" s="177">
        <f>+'[5]Revenue BG'!D55</f>
        <v>1012.2555360054412</v>
      </c>
      <c r="F300" s="177">
        <f>+'[5]Revenue BG'!E55</f>
        <v>20052.37855368789</v>
      </c>
      <c r="G300" s="177">
        <f>+'[5]Revenue BG'!F55</f>
        <v>-12496.831223033125</v>
      </c>
      <c r="H300" s="177">
        <f>+'[5]Revenue BG'!G55</f>
        <v>-1690.6361539130621</v>
      </c>
      <c r="I300" s="177">
        <f>+'[5]Revenue BG'!H55</f>
        <v>-12353.634630434773</v>
      </c>
      <c r="J300" s="177">
        <f>+'[5]Revenue BG'!I55</f>
        <v>561.38939953175213</v>
      </c>
      <c r="K300" s="177">
        <f>+'[5]Revenue BG'!J55</f>
        <v>-23171.530698881968</v>
      </c>
      <c r="L300" s="177">
        <f>+'[5]Revenue BG'!K55</f>
        <v>-1064.2498884950037</v>
      </c>
      <c r="M300" s="177">
        <f>+'[5]Revenue BG'!L55</f>
        <v>-41393.767742734555</v>
      </c>
      <c r="N300" s="177">
        <f>+'[5]Revenue BG'!M55</f>
        <v>-28265.552576000009</v>
      </c>
      <c r="O300" s="177">
        <f>+'[5]Revenue BG'!N55</f>
        <v>0</v>
      </c>
      <c r="P300" s="101">
        <f>SUM(D300:O300)</f>
        <v>-107756.21982426741</v>
      </c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89"/>
      <c r="AJ300" s="89"/>
      <c r="AK300" s="89"/>
      <c r="AL300" s="89"/>
      <c r="AM300" s="89"/>
      <c r="AN300" s="89"/>
      <c r="AO300" s="89"/>
      <c r="AP300" s="89"/>
      <c r="AQ300" s="89"/>
      <c r="AR300" s="89"/>
      <c r="AS300" s="89"/>
      <c r="AT300" s="89"/>
      <c r="AU300" s="89"/>
      <c r="AV300" s="89"/>
      <c r="AW300" s="89"/>
      <c r="AX300" s="89"/>
      <c r="AY300" s="89"/>
      <c r="AZ300" s="89"/>
      <c r="BA300" s="89"/>
      <c r="BB300" s="89"/>
      <c r="BC300" s="89"/>
      <c r="BD300" s="89"/>
      <c r="BE300" s="89"/>
      <c r="BF300" s="89"/>
      <c r="BG300" s="89"/>
      <c r="BH300" s="89"/>
      <c r="BI300" s="89"/>
      <c r="BJ300" s="89"/>
      <c r="BK300" s="89"/>
      <c r="BL300" s="89"/>
      <c r="BM300" s="89"/>
      <c r="BN300" s="89"/>
      <c r="BO300" s="89"/>
      <c r="BP300" s="89"/>
      <c r="BQ300" s="89"/>
      <c r="BR300" s="89"/>
      <c r="BS300" s="89"/>
      <c r="BT300" s="89"/>
      <c r="BU300" s="89"/>
      <c r="BV300" s="89"/>
      <c r="BW300" s="89"/>
      <c r="BX300" s="89"/>
      <c r="BY300" s="89"/>
      <c r="BZ300" s="89"/>
      <c r="CA300" s="89"/>
      <c r="CB300" s="89"/>
      <c r="CC300" s="89"/>
      <c r="CD300" s="89"/>
      <c r="CE300" s="89"/>
      <c r="CF300" s="89"/>
      <c r="CG300" s="89"/>
      <c r="CH300" s="89"/>
      <c r="CI300" s="89"/>
      <c r="CJ300" s="89"/>
      <c r="CK300" s="89"/>
      <c r="CL300" s="89"/>
      <c r="CM300" s="89"/>
      <c r="CN300" s="89"/>
      <c r="CO300" s="89"/>
      <c r="CP300" s="89"/>
      <c r="CQ300" s="89"/>
      <c r="CR300" s="89"/>
      <c r="CS300" s="89"/>
      <c r="CT300" s="89"/>
      <c r="CU300" s="89"/>
      <c r="CV300" s="89"/>
      <c r="CW300" s="89"/>
      <c r="CX300" s="89"/>
      <c r="CY300" s="89"/>
      <c r="CZ300" s="89"/>
      <c r="DA300" s="89"/>
      <c r="DB300" s="89"/>
      <c r="DC300" s="89"/>
      <c r="DD300" s="89"/>
      <c r="DE300" s="89"/>
      <c r="DF300" s="89"/>
      <c r="DG300" s="89"/>
      <c r="DH300" s="89"/>
      <c r="DI300" s="89"/>
      <c r="DJ300" s="89"/>
      <c r="DK300" s="89"/>
      <c r="DL300" s="89"/>
      <c r="DM300" s="89"/>
      <c r="DN300" s="89"/>
      <c r="DO300" s="89"/>
      <c r="DP300" s="89"/>
      <c r="DQ300" s="89"/>
      <c r="DR300" s="89"/>
      <c r="DS300" s="89"/>
      <c r="DT300" s="89"/>
      <c r="DU300" s="89"/>
      <c r="DV300" s="89"/>
      <c r="DW300" s="89"/>
      <c r="DX300" s="89"/>
      <c r="DY300" s="89"/>
      <c r="DZ300" s="89"/>
      <c r="EA300" s="89"/>
      <c r="EB300" s="89"/>
      <c r="EC300" s="89"/>
      <c r="ED300" s="89"/>
      <c r="EE300" s="89"/>
      <c r="EF300" s="89"/>
      <c r="EG300" s="89"/>
      <c r="EH300" s="89"/>
      <c r="EI300" s="89"/>
      <c r="EJ300" s="89"/>
      <c r="EK300" s="89"/>
      <c r="EL300" s="89"/>
      <c r="EM300" s="89"/>
      <c r="EN300" s="89"/>
      <c r="EO300" s="89"/>
    </row>
    <row r="301" spans="1:145" s="87" customFormat="1">
      <c r="C301" s="99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  <c r="O301" s="177"/>
      <c r="P301" s="177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89"/>
      <c r="AJ301" s="89"/>
      <c r="AK301" s="89"/>
      <c r="AL301" s="89"/>
      <c r="AM301" s="89"/>
      <c r="AN301" s="89"/>
      <c r="AO301" s="89"/>
      <c r="AP301" s="89"/>
      <c r="AQ301" s="89"/>
      <c r="AR301" s="89"/>
      <c r="AS301" s="89"/>
      <c r="AT301" s="89"/>
      <c r="AU301" s="89"/>
      <c r="AV301" s="89"/>
      <c r="AW301" s="89"/>
      <c r="AX301" s="89"/>
      <c r="AY301" s="89"/>
      <c r="AZ301" s="89"/>
      <c r="BA301" s="89"/>
      <c r="BB301" s="89"/>
      <c r="BC301" s="89"/>
      <c r="BD301" s="89"/>
      <c r="BE301" s="89"/>
      <c r="BF301" s="89"/>
      <c r="BG301" s="89"/>
      <c r="BH301" s="89"/>
      <c r="BI301" s="89"/>
      <c r="BJ301" s="89"/>
      <c r="BK301" s="89"/>
      <c r="BL301" s="89"/>
      <c r="BM301" s="89"/>
      <c r="BN301" s="89"/>
      <c r="BO301" s="89"/>
      <c r="BP301" s="89"/>
      <c r="BQ301" s="89"/>
      <c r="BR301" s="89"/>
      <c r="BS301" s="89"/>
      <c r="BT301" s="89"/>
      <c r="BU301" s="89"/>
      <c r="BV301" s="89"/>
      <c r="BW301" s="89"/>
      <c r="BX301" s="89"/>
      <c r="BY301" s="89"/>
      <c r="BZ301" s="89"/>
      <c r="CA301" s="89"/>
      <c r="CB301" s="89"/>
      <c r="CC301" s="89"/>
      <c r="CD301" s="89"/>
      <c r="CE301" s="89"/>
      <c r="CF301" s="89"/>
      <c r="CG301" s="89"/>
      <c r="CH301" s="89"/>
      <c r="CI301" s="89"/>
      <c r="CJ301" s="89"/>
      <c r="CK301" s="89"/>
      <c r="CL301" s="89"/>
      <c r="CM301" s="89"/>
      <c r="CN301" s="89"/>
      <c r="CO301" s="89"/>
      <c r="CP301" s="89"/>
      <c r="CQ301" s="89"/>
      <c r="CR301" s="89"/>
      <c r="CS301" s="89"/>
      <c r="CT301" s="89"/>
      <c r="CU301" s="89"/>
      <c r="CV301" s="89"/>
      <c r="CW301" s="89"/>
      <c r="CX301" s="89"/>
      <c r="CY301" s="89"/>
      <c r="CZ301" s="89"/>
      <c r="DA301" s="89"/>
      <c r="DB301" s="89"/>
      <c r="DC301" s="89"/>
      <c r="DD301" s="89"/>
      <c r="DE301" s="89"/>
      <c r="DF301" s="89"/>
      <c r="DG301" s="89"/>
      <c r="DH301" s="89"/>
      <c r="DI301" s="89"/>
      <c r="DJ301" s="89"/>
      <c r="DK301" s="89"/>
      <c r="DL301" s="89"/>
      <c r="DM301" s="89"/>
      <c r="DN301" s="89"/>
      <c r="DO301" s="89"/>
      <c r="DP301" s="89"/>
      <c r="DQ301" s="89"/>
      <c r="DR301" s="89"/>
      <c r="DS301" s="89"/>
      <c r="DT301" s="89"/>
      <c r="DU301" s="89"/>
      <c r="DV301" s="89"/>
      <c r="DW301" s="89"/>
      <c r="DX301" s="89"/>
      <c r="DY301" s="89"/>
      <c r="DZ301" s="89"/>
      <c r="EA301" s="89"/>
      <c r="EB301" s="89"/>
      <c r="EC301" s="89"/>
      <c r="ED301" s="89"/>
      <c r="EE301" s="89"/>
      <c r="EF301" s="89"/>
      <c r="EG301" s="89"/>
      <c r="EH301" s="89"/>
      <c r="EI301" s="89"/>
      <c r="EJ301" s="89"/>
      <c r="EK301" s="89"/>
      <c r="EL301" s="89"/>
      <c r="EM301" s="89"/>
      <c r="EN301" s="89"/>
      <c r="EO301" s="89"/>
    </row>
    <row r="302" spans="1:145" s="87" customFormat="1">
      <c r="A302" s="432">
        <v>12</v>
      </c>
      <c r="B302" s="89" t="s">
        <v>21</v>
      </c>
      <c r="C302" s="157" t="s">
        <v>4</v>
      </c>
      <c r="D302" s="177">
        <f>+'[5]Revenue BG'!C56</f>
        <v>-3001.0130013167254</v>
      </c>
      <c r="E302" s="177">
        <f>+'[5]Revenue BG'!D56</f>
        <v>-12868.6233758205</v>
      </c>
      <c r="F302" s="177">
        <f>+'[5]Revenue BG'!E56</f>
        <v>-2500.1799142716322</v>
      </c>
      <c r="G302" s="177">
        <f>+'[5]Revenue BG'!F56</f>
        <v>4271.7757937135848</v>
      </c>
      <c r="H302" s="177">
        <f>+'[5]Revenue BG'!G56</f>
        <v>-15159.830602702894</v>
      </c>
      <c r="I302" s="177">
        <f>+'[5]Revenue BG'!H56</f>
        <v>4869.6657742757507</v>
      </c>
      <c r="J302" s="177">
        <f>+'[5]Revenue BG'!I56</f>
        <v>-2733.1874359022613</v>
      </c>
      <c r="K302" s="177">
        <f>+'[5]Revenue BG'!J56</f>
        <v>-8518.9478830008939</v>
      </c>
      <c r="L302" s="177">
        <f>+'[5]Revenue BG'!K56</f>
        <v>-4120.1755388000975</v>
      </c>
      <c r="M302" s="177">
        <f>+'[5]Revenue BG'!L56</f>
        <v>-11914.471026998983</v>
      </c>
      <c r="N302" s="177">
        <f>+'[5]Revenue BG'!M56</f>
        <v>-3533.5565742596136</v>
      </c>
      <c r="O302" s="177">
        <f>+'[5]Revenue BG'!N56</f>
        <v>0</v>
      </c>
      <c r="P302" s="101">
        <f>SUM(D302:O302)</f>
        <v>-55208.543785084265</v>
      </c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89"/>
      <c r="AJ302" s="89"/>
      <c r="AK302" s="89"/>
      <c r="AL302" s="89"/>
      <c r="AM302" s="89"/>
      <c r="AN302" s="89"/>
      <c r="AO302" s="89"/>
      <c r="AP302" s="89"/>
      <c r="AQ302" s="89"/>
      <c r="AR302" s="89"/>
      <c r="AS302" s="89"/>
      <c r="AT302" s="89"/>
      <c r="AU302" s="89"/>
      <c r="AV302" s="89"/>
      <c r="AW302" s="89"/>
      <c r="AX302" s="89"/>
      <c r="AY302" s="89"/>
      <c r="AZ302" s="89"/>
      <c r="BA302" s="89"/>
      <c r="BB302" s="89"/>
      <c r="BC302" s="89"/>
      <c r="BD302" s="89"/>
      <c r="BE302" s="89"/>
      <c r="BF302" s="89"/>
      <c r="BG302" s="89"/>
      <c r="BH302" s="89"/>
      <c r="BI302" s="89"/>
      <c r="BJ302" s="89"/>
      <c r="BK302" s="89"/>
      <c r="BL302" s="89"/>
      <c r="BM302" s="89"/>
      <c r="BN302" s="89"/>
      <c r="BO302" s="89"/>
      <c r="BP302" s="89"/>
      <c r="BQ302" s="89"/>
      <c r="BR302" s="89"/>
      <c r="BS302" s="89"/>
      <c r="BT302" s="89"/>
      <c r="BU302" s="89"/>
      <c r="BV302" s="89"/>
      <c r="BW302" s="89"/>
      <c r="BX302" s="89"/>
      <c r="BY302" s="89"/>
      <c r="BZ302" s="89"/>
      <c r="CA302" s="89"/>
      <c r="CB302" s="89"/>
      <c r="CC302" s="89"/>
      <c r="CD302" s="89"/>
      <c r="CE302" s="89"/>
      <c r="CF302" s="89"/>
      <c r="CG302" s="89"/>
      <c r="CH302" s="89"/>
      <c r="CI302" s="89"/>
      <c r="CJ302" s="89"/>
      <c r="CK302" s="89"/>
      <c r="CL302" s="89"/>
      <c r="CM302" s="89"/>
      <c r="CN302" s="89"/>
      <c r="CO302" s="89"/>
      <c r="CP302" s="89"/>
      <c r="CQ302" s="89"/>
      <c r="CR302" s="89"/>
      <c r="CS302" s="89"/>
      <c r="CT302" s="89"/>
      <c r="CU302" s="89"/>
      <c r="CV302" s="89"/>
      <c r="CW302" s="89"/>
      <c r="CX302" s="89"/>
      <c r="CY302" s="89"/>
      <c r="CZ302" s="89"/>
      <c r="DA302" s="89"/>
      <c r="DB302" s="89"/>
      <c r="DC302" s="89"/>
      <c r="DD302" s="89"/>
      <c r="DE302" s="89"/>
      <c r="DF302" s="89"/>
      <c r="DG302" s="89"/>
      <c r="DH302" s="89"/>
      <c r="DI302" s="89"/>
      <c r="DJ302" s="89"/>
      <c r="DK302" s="89"/>
      <c r="DL302" s="89"/>
      <c r="DM302" s="89"/>
      <c r="DN302" s="89"/>
      <c r="DO302" s="89"/>
      <c r="DP302" s="89"/>
      <c r="DQ302" s="89"/>
      <c r="DR302" s="89"/>
      <c r="DS302" s="89"/>
      <c r="DT302" s="89"/>
      <c r="DU302" s="89"/>
      <c r="DV302" s="89"/>
      <c r="DW302" s="89"/>
      <c r="DX302" s="89"/>
      <c r="DY302" s="89"/>
      <c r="DZ302" s="89"/>
      <c r="EA302" s="89"/>
      <c r="EB302" s="89"/>
      <c r="EC302" s="89"/>
      <c r="ED302" s="89"/>
      <c r="EE302" s="89"/>
      <c r="EF302" s="89"/>
      <c r="EG302" s="89"/>
      <c r="EH302" s="89"/>
      <c r="EI302" s="89"/>
      <c r="EJ302" s="89"/>
      <c r="EK302" s="89"/>
      <c r="EL302" s="89"/>
      <c r="EM302" s="89"/>
      <c r="EN302" s="89"/>
      <c r="EO302" s="89"/>
    </row>
    <row r="303" spans="1:145" s="87" customFormat="1">
      <c r="A303" s="432"/>
      <c r="C303" s="99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  <c r="O303" s="177"/>
      <c r="P303" s="177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89"/>
      <c r="AJ303" s="89"/>
      <c r="AK303" s="89"/>
      <c r="AL303" s="89"/>
      <c r="AM303" s="89"/>
      <c r="AN303" s="89"/>
      <c r="AO303" s="89"/>
      <c r="AP303" s="89"/>
      <c r="AQ303" s="89"/>
      <c r="AR303" s="89"/>
      <c r="AS303" s="89"/>
      <c r="AT303" s="89"/>
      <c r="AU303" s="89"/>
      <c r="AV303" s="89"/>
      <c r="AW303" s="89"/>
      <c r="AX303" s="89"/>
      <c r="AY303" s="89"/>
      <c r="AZ303" s="89"/>
      <c r="BA303" s="89"/>
      <c r="BB303" s="89"/>
      <c r="BC303" s="89"/>
      <c r="BD303" s="89"/>
      <c r="BE303" s="89"/>
      <c r="BF303" s="89"/>
      <c r="BG303" s="89"/>
      <c r="BH303" s="89"/>
      <c r="BI303" s="89"/>
      <c r="BJ303" s="89"/>
      <c r="BK303" s="89"/>
      <c r="BL303" s="89"/>
      <c r="BM303" s="89"/>
      <c r="BN303" s="89"/>
      <c r="BO303" s="89"/>
      <c r="BP303" s="89"/>
      <c r="BQ303" s="89"/>
      <c r="BR303" s="89"/>
      <c r="BS303" s="89"/>
      <c r="BT303" s="89"/>
      <c r="BU303" s="89"/>
      <c r="BV303" s="89"/>
      <c r="BW303" s="89"/>
      <c r="BX303" s="89"/>
      <c r="BY303" s="89"/>
      <c r="BZ303" s="89"/>
      <c r="CA303" s="89"/>
      <c r="CB303" s="89"/>
      <c r="CC303" s="89"/>
      <c r="CD303" s="89"/>
      <c r="CE303" s="89"/>
      <c r="CF303" s="89"/>
      <c r="CG303" s="89"/>
      <c r="CH303" s="89"/>
      <c r="CI303" s="89"/>
      <c r="CJ303" s="89"/>
      <c r="CK303" s="89"/>
      <c r="CL303" s="89"/>
      <c r="CM303" s="89"/>
      <c r="CN303" s="89"/>
      <c r="CO303" s="89"/>
      <c r="CP303" s="89"/>
      <c r="CQ303" s="89"/>
      <c r="CR303" s="89"/>
      <c r="CS303" s="89"/>
      <c r="CT303" s="89"/>
      <c r="CU303" s="89"/>
      <c r="CV303" s="89"/>
      <c r="CW303" s="89"/>
      <c r="CX303" s="89"/>
      <c r="CY303" s="89"/>
      <c r="CZ303" s="89"/>
      <c r="DA303" s="89"/>
      <c r="DB303" s="89"/>
      <c r="DC303" s="89"/>
      <c r="DD303" s="89"/>
      <c r="DE303" s="89"/>
      <c r="DF303" s="89"/>
      <c r="DG303" s="89"/>
      <c r="DH303" s="89"/>
      <c r="DI303" s="89"/>
      <c r="DJ303" s="89"/>
      <c r="DK303" s="89"/>
      <c r="DL303" s="89"/>
      <c r="DM303" s="89"/>
      <c r="DN303" s="89"/>
      <c r="DO303" s="89"/>
      <c r="DP303" s="89"/>
      <c r="DQ303" s="89"/>
      <c r="DR303" s="89"/>
      <c r="DS303" s="89"/>
      <c r="DT303" s="89"/>
      <c r="DU303" s="89"/>
      <c r="DV303" s="89"/>
      <c r="DW303" s="89"/>
      <c r="DX303" s="89"/>
      <c r="DY303" s="89"/>
      <c r="DZ303" s="89"/>
      <c r="EA303" s="89"/>
      <c r="EB303" s="89"/>
      <c r="EC303" s="89"/>
      <c r="ED303" s="89"/>
      <c r="EE303" s="89"/>
      <c r="EF303" s="89"/>
      <c r="EG303" s="89"/>
      <c r="EH303" s="89"/>
      <c r="EI303" s="89"/>
      <c r="EJ303" s="89"/>
      <c r="EK303" s="89"/>
      <c r="EL303" s="89"/>
      <c r="EM303" s="89"/>
      <c r="EN303" s="89"/>
      <c r="EO303" s="89"/>
    </row>
    <row r="304" spans="1:145" s="87" customFormat="1">
      <c r="A304" s="432">
        <v>13</v>
      </c>
      <c r="B304" s="393" t="s">
        <v>22</v>
      </c>
      <c r="C304" s="362"/>
      <c r="D304" s="394">
        <f>D302+D300+D298+D292+D288+D286</f>
        <v>851267.41797039181</v>
      </c>
      <c r="E304" s="394">
        <f t="shared" ref="E304:O304" si="122">E302+E300+E298+E292+E288+E286</f>
        <v>661649.08271702379</v>
      </c>
      <c r="F304" s="394">
        <f t="shared" si="122"/>
        <v>674274.24371982855</v>
      </c>
      <c r="G304" s="394">
        <f t="shared" si="122"/>
        <v>492780.82014343946</v>
      </c>
      <c r="H304" s="394">
        <f t="shared" si="122"/>
        <v>280603.25343817286</v>
      </c>
      <c r="I304" s="394">
        <f t="shared" si="122"/>
        <v>251756.73288739368</v>
      </c>
      <c r="J304" s="394">
        <f t="shared" si="122"/>
        <v>306577.50658952049</v>
      </c>
      <c r="K304" s="394">
        <f t="shared" si="122"/>
        <v>81383.101306258381</v>
      </c>
      <c r="L304" s="394">
        <f t="shared" si="122"/>
        <v>59211.968734602298</v>
      </c>
      <c r="M304" s="394">
        <f t="shared" si="122"/>
        <v>-52546.695104287908</v>
      </c>
      <c r="N304" s="394">
        <f t="shared" si="122"/>
        <v>-183674.70552768945</v>
      </c>
      <c r="O304" s="394">
        <f t="shared" si="122"/>
        <v>0</v>
      </c>
      <c r="P304" s="394">
        <f t="shared" ref="P304" si="123">P302+P300+P298+P292+P288+P286</f>
        <v>3423282.7268746542</v>
      </c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89"/>
      <c r="AJ304" s="89"/>
      <c r="AK304" s="89"/>
      <c r="AL304" s="89"/>
      <c r="AM304" s="89"/>
      <c r="AN304" s="89"/>
      <c r="AO304" s="89"/>
      <c r="AP304" s="89"/>
      <c r="AQ304" s="89"/>
      <c r="AR304" s="89"/>
      <c r="AS304" s="89"/>
      <c r="AT304" s="89"/>
      <c r="AU304" s="89"/>
      <c r="AV304" s="89"/>
      <c r="AW304" s="89"/>
      <c r="AX304" s="89"/>
      <c r="AY304" s="89"/>
      <c r="AZ304" s="89"/>
      <c r="BA304" s="89"/>
      <c r="BB304" s="89"/>
      <c r="BC304" s="89"/>
      <c r="BD304" s="89"/>
      <c r="BE304" s="89"/>
      <c r="BF304" s="89"/>
      <c r="BG304" s="89"/>
      <c r="BH304" s="89"/>
      <c r="BI304" s="89"/>
      <c r="BJ304" s="89"/>
      <c r="BK304" s="89"/>
      <c r="BL304" s="89"/>
      <c r="BM304" s="89"/>
      <c r="BN304" s="89"/>
      <c r="BO304" s="89"/>
      <c r="BP304" s="89"/>
      <c r="BQ304" s="89"/>
      <c r="BR304" s="89"/>
      <c r="BS304" s="89"/>
      <c r="BT304" s="89"/>
      <c r="BU304" s="89"/>
      <c r="BV304" s="89"/>
      <c r="BW304" s="89"/>
      <c r="BX304" s="89"/>
      <c r="BY304" s="89"/>
      <c r="BZ304" s="89"/>
      <c r="CA304" s="89"/>
      <c r="CB304" s="89"/>
      <c r="CC304" s="89"/>
      <c r="CD304" s="89"/>
      <c r="CE304" s="89"/>
      <c r="CF304" s="89"/>
      <c r="CG304" s="89"/>
      <c r="CH304" s="89"/>
      <c r="CI304" s="89"/>
      <c r="CJ304" s="89"/>
      <c r="CK304" s="89"/>
      <c r="CL304" s="89"/>
      <c r="CM304" s="89"/>
      <c r="CN304" s="89"/>
      <c r="CO304" s="89"/>
      <c r="CP304" s="89"/>
      <c r="CQ304" s="89"/>
      <c r="CR304" s="89"/>
      <c r="CS304" s="89"/>
      <c r="CT304" s="89"/>
      <c r="CU304" s="89"/>
      <c r="CV304" s="89"/>
      <c r="CW304" s="89"/>
      <c r="CX304" s="89"/>
      <c r="CY304" s="89"/>
      <c r="CZ304" s="89"/>
      <c r="DA304" s="89"/>
      <c r="DB304" s="89"/>
      <c r="DC304" s="89"/>
      <c r="DD304" s="89"/>
      <c r="DE304" s="89"/>
      <c r="DF304" s="89"/>
      <c r="DG304" s="89"/>
      <c r="DH304" s="89"/>
      <c r="DI304" s="89"/>
      <c r="DJ304" s="89"/>
      <c r="DK304" s="89"/>
      <c r="DL304" s="89"/>
      <c r="DM304" s="89"/>
      <c r="DN304" s="89"/>
      <c r="DO304" s="89"/>
      <c r="DP304" s="89"/>
      <c r="DQ304" s="89"/>
      <c r="DR304" s="89"/>
      <c r="DS304" s="89"/>
      <c r="DT304" s="89"/>
      <c r="DU304" s="89"/>
      <c r="DV304" s="89"/>
      <c r="DW304" s="89"/>
      <c r="DX304" s="89"/>
      <c r="DY304" s="89"/>
      <c r="DZ304" s="89"/>
      <c r="EA304" s="89"/>
      <c r="EB304" s="89"/>
      <c r="EC304" s="89"/>
      <c r="ED304" s="89"/>
      <c r="EE304" s="89"/>
      <c r="EF304" s="89"/>
      <c r="EG304" s="89"/>
      <c r="EH304" s="89"/>
      <c r="EI304" s="89"/>
      <c r="EJ304" s="89"/>
      <c r="EK304" s="89"/>
      <c r="EL304" s="89"/>
      <c r="EM304" s="89"/>
      <c r="EN304" s="89"/>
      <c r="EO304" s="89"/>
    </row>
    <row r="305" spans="1:145" s="87" customFormat="1">
      <c r="B305" s="362"/>
      <c r="C305" s="362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89"/>
      <c r="AJ305" s="89"/>
      <c r="AK305" s="89"/>
      <c r="AL305" s="89"/>
      <c r="AM305" s="89"/>
      <c r="AN305" s="89"/>
      <c r="AO305" s="89"/>
      <c r="AP305" s="89"/>
      <c r="AQ305" s="89"/>
      <c r="AR305" s="89"/>
      <c r="AS305" s="89"/>
      <c r="AT305" s="89"/>
      <c r="AU305" s="89"/>
      <c r="AV305" s="89"/>
      <c r="AW305" s="89"/>
      <c r="AX305" s="89"/>
      <c r="AY305" s="89"/>
      <c r="AZ305" s="89"/>
      <c r="BA305" s="89"/>
      <c r="BB305" s="89"/>
      <c r="BC305" s="89"/>
      <c r="BD305" s="89"/>
      <c r="BE305" s="89"/>
      <c r="BF305" s="89"/>
      <c r="BG305" s="89"/>
      <c r="BH305" s="89"/>
      <c r="BI305" s="89"/>
      <c r="BJ305" s="89"/>
      <c r="BK305" s="89"/>
      <c r="BL305" s="89"/>
      <c r="BM305" s="89"/>
      <c r="BN305" s="89"/>
      <c r="BO305" s="89"/>
      <c r="BP305" s="89"/>
      <c r="BQ305" s="89"/>
      <c r="BR305" s="89"/>
      <c r="BS305" s="89"/>
      <c r="BT305" s="89"/>
      <c r="BU305" s="89"/>
      <c r="BV305" s="89"/>
      <c r="BW305" s="89"/>
      <c r="BX305" s="89"/>
      <c r="BY305" s="89"/>
      <c r="BZ305" s="89"/>
      <c r="CA305" s="89"/>
      <c r="CB305" s="89"/>
      <c r="CC305" s="89"/>
      <c r="CD305" s="89"/>
      <c r="CE305" s="89"/>
      <c r="CF305" s="89"/>
      <c r="CG305" s="89"/>
      <c r="CH305" s="89"/>
      <c r="CI305" s="89"/>
      <c r="CJ305" s="89"/>
      <c r="CK305" s="89"/>
      <c r="CL305" s="89"/>
      <c r="CM305" s="89"/>
      <c r="CN305" s="89"/>
      <c r="CO305" s="89"/>
      <c r="CP305" s="89"/>
      <c r="CQ305" s="89"/>
      <c r="CR305" s="89"/>
      <c r="CS305" s="89"/>
      <c r="CT305" s="89"/>
      <c r="CU305" s="89"/>
      <c r="CV305" s="89"/>
      <c r="CW305" s="89"/>
      <c r="CX305" s="89"/>
      <c r="CY305" s="89"/>
      <c r="CZ305" s="89"/>
      <c r="DA305" s="89"/>
      <c r="DB305" s="89"/>
      <c r="DC305" s="89"/>
      <c r="DD305" s="89"/>
      <c r="DE305" s="89"/>
      <c r="DF305" s="89"/>
      <c r="DG305" s="89"/>
      <c r="DH305" s="89"/>
      <c r="DI305" s="89"/>
      <c r="DJ305" s="89"/>
      <c r="DK305" s="89"/>
      <c r="DL305" s="89"/>
      <c r="DM305" s="89"/>
      <c r="DN305" s="89"/>
      <c r="DO305" s="89"/>
      <c r="DP305" s="89"/>
      <c r="DQ305" s="89"/>
      <c r="DR305" s="89"/>
      <c r="DS305" s="89"/>
      <c r="DT305" s="89"/>
      <c r="DU305" s="89"/>
      <c r="DV305" s="89"/>
      <c r="DW305" s="89"/>
      <c r="DX305" s="89"/>
      <c r="DY305" s="89"/>
      <c r="DZ305" s="89"/>
      <c r="EA305" s="89"/>
      <c r="EB305" s="89"/>
      <c r="EC305" s="89"/>
      <c r="ED305" s="89"/>
      <c r="EE305" s="89"/>
      <c r="EF305" s="89"/>
      <c r="EG305" s="89"/>
      <c r="EH305" s="89"/>
      <c r="EI305" s="89"/>
      <c r="EJ305" s="89"/>
      <c r="EK305" s="89"/>
      <c r="EL305" s="89"/>
      <c r="EM305" s="89"/>
      <c r="EN305" s="89"/>
      <c r="EO305" s="89"/>
    </row>
    <row r="306" spans="1:145" s="87" customFormat="1">
      <c r="A306" s="432">
        <v>14</v>
      </c>
      <c r="B306" s="89" t="s">
        <v>69</v>
      </c>
      <c r="C306" s="157" t="s">
        <v>5</v>
      </c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  <c r="O306" s="177"/>
      <c r="P306" s="101">
        <f>SUM(D306:O306)</f>
        <v>0</v>
      </c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89"/>
      <c r="AJ306" s="89"/>
      <c r="AK306" s="89"/>
      <c r="AL306" s="89"/>
      <c r="AM306" s="89"/>
      <c r="AN306" s="89"/>
      <c r="AO306" s="89"/>
      <c r="AP306" s="89"/>
      <c r="AQ306" s="89"/>
      <c r="AR306" s="89"/>
      <c r="AS306" s="89"/>
      <c r="AT306" s="89"/>
      <c r="AU306" s="89"/>
      <c r="AV306" s="89"/>
      <c r="AW306" s="89"/>
      <c r="AX306" s="89"/>
      <c r="AY306" s="89"/>
      <c r="AZ306" s="89"/>
      <c r="BA306" s="89"/>
      <c r="BB306" s="89"/>
      <c r="BC306" s="89"/>
      <c r="BD306" s="89"/>
      <c r="BE306" s="89"/>
      <c r="BF306" s="89"/>
      <c r="BG306" s="89"/>
      <c r="BH306" s="89"/>
      <c r="BI306" s="89"/>
      <c r="BJ306" s="89"/>
      <c r="BK306" s="89"/>
      <c r="BL306" s="89"/>
      <c r="BM306" s="89"/>
      <c r="BN306" s="89"/>
      <c r="BO306" s="89"/>
      <c r="BP306" s="89"/>
      <c r="BQ306" s="89"/>
      <c r="BR306" s="89"/>
      <c r="BS306" s="89"/>
      <c r="BT306" s="89"/>
      <c r="BU306" s="89"/>
      <c r="BV306" s="89"/>
      <c r="BW306" s="89"/>
      <c r="BX306" s="89"/>
      <c r="BY306" s="89"/>
      <c r="BZ306" s="89"/>
      <c r="CA306" s="89"/>
      <c r="CB306" s="89"/>
      <c r="CC306" s="89"/>
      <c r="CD306" s="89"/>
      <c r="CE306" s="89"/>
      <c r="CF306" s="89"/>
      <c r="CG306" s="89"/>
      <c r="CH306" s="89"/>
      <c r="CI306" s="89"/>
      <c r="CJ306" s="89"/>
      <c r="CK306" s="89"/>
      <c r="CL306" s="89"/>
      <c r="CM306" s="89"/>
      <c r="CN306" s="89"/>
      <c r="CO306" s="89"/>
      <c r="CP306" s="89"/>
      <c r="CQ306" s="89"/>
      <c r="CR306" s="89"/>
      <c r="CS306" s="89"/>
      <c r="CT306" s="89"/>
      <c r="CU306" s="89"/>
      <c r="CV306" s="89"/>
      <c r="CW306" s="89"/>
      <c r="CX306" s="89"/>
      <c r="CY306" s="89"/>
      <c r="CZ306" s="89"/>
      <c r="DA306" s="89"/>
      <c r="DB306" s="89"/>
      <c r="DC306" s="89"/>
      <c r="DD306" s="89"/>
      <c r="DE306" s="89"/>
      <c r="DF306" s="89"/>
      <c r="DG306" s="89"/>
      <c r="DH306" s="89"/>
      <c r="DI306" s="89"/>
      <c r="DJ306" s="89"/>
      <c r="DK306" s="89"/>
      <c r="DL306" s="89"/>
      <c r="DM306" s="89"/>
      <c r="DN306" s="89"/>
      <c r="DO306" s="89"/>
      <c r="DP306" s="89"/>
      <c r="DQ306" s="89"/>
      <c r="DR306" s="89"/>
      <c r="DS306" s="89"/>
      <c r="DT306" s="89"/>
      <c r="DU306" s="89"/>
      <c r="DV306" s="89"/>
      <c r="DW306" s="89"/>
      <c r="DX306" s="89"/>
      <c r="DY306" s="89"/>
      <c r="DZ306" s="89"/>
      <c r="EA306" s="89"/>
      <c r="EB306" s="89"/>
      <c r="EC306" s="89"/>
      <c r="ED306" s="89"/>
      <c r="EE306" s="89"/>
      <c r="EF306" s="89"/>
      <c r="EG306" s="89"/>
      <c r="EH306" s="89"/>
      <c r="EI306" s="89"/>
      <c r="EJ306" s="89"/>
      <c r="EK306" s="89"/>
      <c r="EL306" s="89"/>
      <c r="EM306" s="89"/>
      <c r="EN306" s="89"/>
      <c r="EO306" s="89"/>
    </row>
    <row r="307" spans="1:145" s="87" customFormat="1">
      <c r="A307" s="432">
        <v>15</v>
      </c>
      <c r="B307" s="89" t="s">
        <v>70</v>
      </c>
      <c r="C307" s="157" t="s">
        <v>6</v>
      </c>
      <c r="D307" s="388"/>
      <c r="E307" s="388"/>
      <c r="F307" s="388"/>
      <c r="G307" s="388"/>
      <c r="H307" s="388"/>
      <c r="I307" s="388"/>
      <c r="J307" s="388"/>
      <c r="K307" s="388"/>
      <c r="L307" s="388"/>
      <c r="M307" s="388"/>
      <c r="N307" s="388"/>
      <c r="O307" s="388"/>
      <c r="P307" s="425">
        <f>SUM(D307:O307)</f>
        <v>0</v>
      </c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 s="89"/>
      <c r="BH307" s="89"/>
      <c r="BI307" s="89"/>
      <c r="BJ307" s="89"/>
      <c r="BK307" s="89"/>
      <c r="BL307" s="89"/>
      <c r="BM307" s="89"/>
      <c r="BN307" s="89"/>
      <c r="BO307" s="89"/>
      <c r="BP307" s="89"/>
      <c r="BQ307" s="89"/>
      <c r="BR307" s="89"/>
      <c r="BS307" s="89"/>
      <c r="BT307" s="89"/>
      <c r="BU307" s="89"/>
      <c r="BV307" s="89"/>
      <c r="BW307" s="89"/>
      <c r="BX307" s="89"/>
      <c r="BY307" s="89"/>
      <c r="BZ307" s="89"/>
      <c r="CA307" s="89"/>
      <c r="CB307" s="89"/>
      <c r="CC307" s="89"/>
      <c r="CD307" s="89"/>
      <c r="CE307" s="89"/>
      <c r="CF307" s="89"/>
      <c r="CG307" s="89"/>
      <c r="CH307" s="89"/>
      <c r="CI307" s="89"/>
      <c r="CJ307" s="89"/>
      <c r="CK307" s="89"/>
      <c r="CL307" s="89"/>
      <c r="CM307" s="89"/>
      <c r="CN307" s="89"/>
      <c r="CO307" s="89"/>
      <c r="CP307" s="89"/>
      <c r="CQ307" s="89"/>
      <c r="CR307" s="89"/>
      <c r="CS307" s="89"/>
      <c r="CT307" s="89"/>
      <c r="CU307" s="89"/>
      <c r="CV307" s="89"/>
      <c r="CW307" s="89"/>
      <c r="CX307" s="89"/>
      <c r="CY307" s="89"/>
      <c r="CZ307" s="89"/>
      <c r="DA307" s="89"/>
      <c r="DB307" s="89"/>
      <c r="DC307" s="89"/>
      <c r="DD307" s="89"/>
      <c r="DE307" s="89"/>
      <c r="DF307" s="89"/>
      <c r="DG307" s="89"/>
      <c r="DH307" s="89"/>
      <c r="DI307" s="89"/>
      <c r="DJ307" s="89"/>
      <c r="DK307" s="89"/>
      <c r="DL307" s="89"/>
      <c r="DM307" s="89"/>
      <c r="DN307" s="89"/>
      <c r="DO307" s="89"/>
      <c r="DP307" s="89"/>
      <c r="DQ307" s="89"/>
      <c r="DR307" s="89"/>
      <c r="DS307" s="89"/>
      <c r="DT307" s="89"/>
      <c r="DU307" s="89"/>
      <c r="DV307" s="89"/>
      <c r="DW307" s="89"/>
      <c r="DX307" s="89"/>
      <c r="DY307" s="89"/>
      <c r="DZ307" s="89"/>
      <c r="EA307" s="89"/>
      <c r="EB307" s="89"/>
      <c r="EC307" s="89"/>
      <c r="ED307" s="89"/>
      <c r="EE307" s="89"/>
      <c r="EF307" s="89"/>
      <c r="EG307" s="89"/>
      <c r="EH307" s="89"/>
      <c r="EI307" s="89"/>
      <c r="EJ307" s="89"/>
      <c r="EK307" s="89"/>
      <c r="EL307" s="89"/>
      <c r="EM307" s="89"/>
      <c r="EN307" s="89"/>
      <c r="EO307" s="89"/>
    </row>
    <row r="308" spans="1:145" s="87" customFormat="1">
      <c r="A308" s="432">
        <v>16</v>
      </c>
      <c r="B308" s="393" t="s">
        <v>23</v>
      </c>
      <c r="C308" s="361"/>
      <c r="D308" s="101">
        <f t="shared" ref="D308:P308" si="124">SUM(D306:D307)</f>
        <v>0</v>
      </c>
      <c r="E308" s="101">
        <f t="shared" si="124"/>
        <v>0</v>
      </c>
      <c r="F308" s="101">
        <f t="shared" si="124"/>
        <v>0</v>
      </c>
      <c r="G308" s="101">
        <f t="shared" si="124"/>
        <v>0</v>
      </c>
      <c r="H308" s="101">
        <f t="shared" si="124"/>
        <v>0</v>
      </c>
      <c r="I308" s="101">
        <f t="shared" si="124"/>
        <v>0</v>
      </c>
      <c r="J308" s="101">
        <f t="shared" si="124"/>
        <v>0</v>
      </c>
      <c r="K308" s="101">
        <f t="shared" si="124"/>
        <v>0</v>
      </c>
      <c r="L308" s="101">
        <f t="shared" si="124"/>
        <v>0</v>
      </c>
      <c r="M308" s="101">
        <f t="shared" si="124"/>
        <v>0</v>
      </c>
      <c r="N308" s="101">
        <f t="shared" si="124"/>
        <v>0</v>
      </c>
      <c r="O308" s="101">
        <f t="shared" si="124"/>
        <v>0</v>
      </c>
      <c r="P308" s="101">
        <f t="shared" si="124"/>
        <v>0</v>
      </c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89"/>
      <c r="AJ308" s="89"/>
      <c r="AK308" s="89"/>
      <c r="AL308" s="89"/>
      <c r="AM308" s="89"/>
      <c r="AN308" s="89"/>
      <c r="AO308" s="89"/>
      <c r="AP308" s="89"/>
      <c r="AQ308" s="89"/>
      <c r="AR308" s="89"/>
      <c r="AS308" s="89"/>
      <c r="AT308" s="89"/>
      <c r="AU308" s="89"/>
      <c r="AV308" s="89"/>
      <c r="AW308" s="89"/>
      <c r="AX308" s="89"/>
      <c r="AY308" s="89"/>
      <c r="AZ308" s="89"/>
      <c r="BA308" s="89"/>
      <c r="BB308" s="89"/>
      <c r="BC308" s="89"/>
      <c r="BD308" s="89"/>
      <c r="BE308" s="89"/>
      <c r="BF308" s="89"/>
      <c r="BG308" s="89"/>
      <c r="BH308" s="89"/>
      <c r="BI308" s="89"/>
      <c r="BJ308" s="89"/>
      <c r="BK308" s="89"/>
      <c r="BL308" s="89"/>
      <c r="BM308" s="89"/>
      <c r="BN308" s="89"/>
      <c r="BO308" s="89"/>
      <c r="BP308" s="89"/>
      <c r="BQ308" s="89"/>
      <c r="BR308" s="89"/>
      <c r="BS308" s="89"/>
      <c r="BT308" s="89"/>
      <c r="BU308" s="89"/>
      <c r="BV308" s="89"/>
      <c r="BW308" s="89"/>
      <c r="BX308" s="89"/>
      <c r="BY308" s="89"/>
      <c r="BZ308" s="89"/>
      <c r="CA308" s="89"/>
      <c r="CB308" s="89"/>
      <c r="CC308" s="89"/>
      <c r="CD308" s="89"/>
      <c r="CE308" s="89"/>
      <c r="CF308" s="89"/>
      <c r="CG308" s="89"/>
      <c r="CH308" s="89"/>
      <c r="CI308" s="89"/>
      <c r="CJ308" s="89"/>
      <c r="CK308" s="89"/>
      <c r="CL308" s="89"/>
      <c r="CM308" s="89"/>
      <c r="CN308" s="89"/>
      <c r="CO308" s="89"/>
      <c r="CP308" s="89"/>
      <c r="CQ308" s="89"/>
      <c r="CR308" s="89"/>
      <c r="CS308" s="89"/>
      <c r="CT308" s="89"/>
      <c r="CU308" s="89"/>
      <c r="CV308" s="89"/>
      <c r="CW308" s="89"/>
      <c r="CX308" s="89"/>
      <c r="CY308" s="89"/>
      <c r="CZ308" s="89"/>
      <c r="DA308" s="89"/>
      <c r="DB308" s="89"/>
      <c r="DC308" s="89"/>
      <c r="DD308" s="89"/>
      <c r="DE308" s="89"/>
      <c r="DF308" s="89"/>
      <c r="DG308" s="89"/>
      <c r="DH308" s="89"/>
      <c r="DI308" s="89"/>
      <c r="DJ308" s="89"/>
      <c r="DK308" s="89"/>
      <c r="DL308" s="89"/>
      <c r="DM308" s="89"/>
      <c r="DN308" s="89"/>
      <c r="DO308" s="89"/>
      <c r="DP308" s="89"/>
      <c r="DQ308" s="89"/>
      <c r="DR308" s="89"/>
      <c r="DS308" s="89"/>
      <c r="DT308" s="89"/>
      <c r="DU308" s="89"/>
      <c r="DV308" s="89"/>
      <c r="DW308" s="89"/>
      <c r="DX308" s="89"/>
      <c r="DY308" s="89"/>
      <c r="DZ308" s="89"/>
      <c r="EA308" s="89"/>
      <c r="EB308" s="89"/>
      <c r="EC308" s="89"/>
      <c r="ED308" s="89"/>
      <c r="EE308" s="89"/>
      <c r="EF308" s="89"/>
      <c r="EG308" s="89"/>
      <c r="EH308" s="89"/>
      <c r="EI308" s="89"/>
      <c r="EJ308" s="89"/>
      <c r="EK308" s="89"/>
      <c r="EL308" s="89"/>
      <c r="EM308" s="89"/>
      <c r="EN308" s="89"/>
      <c r="EO308" s="89"/>
    </row>
    <row r="309" spans="1:145" s="87" customFormat="1">
      <c r="A309" s="432"/>
      <c r="C309" s="396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  <c r="O309" s="177"/>
      <c r="P309" s="177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89"/>
      <c r="AJ309" s="89"/>
      <c r="AK309" s="89"/>
      <c r="AL309" s="89"/>
      <c r="AM309" s="89"/>
      <c r="AN309" s="89"/>
      <c r="AO309" s="89"/>
      <c r="AP309" s="89"/>
      <c r="AQ309" s="89"/>
      <c r="AR309" s="89"/>
      <c r="AS309" s="89"/>
      <c r="AT309" s="89"/>
      <c r="AU309" s="89"/>
      <c r="AV309" s="89"/>
      <c r="AW309" s="89"/>
      <c r="AX309" s="89"/>
      <c r="AY309" s="89"/>
      <c r="AZ309" s="89"/>
      <c r="BA309" s="89"/>
      <c r="BB309" s="89"/>
      <c r="BC309" s="89"/>
      <c r="BD309" s="89"/>
      <c r="BE309" s="89"/>
      <c r="BF309" s="89"/>
      <c r="BG309" s="89"/>
      <c r="BH309" s="89"/>
      <c r="BI309" s="89"/>
      <c r="BJ309" s="89"/>
      <c r="BK309" s="89"/>
      <c r="BL309" s="89"/>
      <c r="BM309" s="89"/>
      <c r="BN309" s="89"/>
      <c r="BO309" s="89"/>
      <c r="BP309" s="89"/>
      <c r="BQ309" s="89"/>
      <c r="BR309" s="89"/>
      <c r="BS309" s="89"/>
      <c r="BT309" s="89"/>
      <c r="BU309" s="89"/>
      <c r="BV309" s="89"/>
      <c r="BW309" s="89"/>
      <c r="BX309" s="89"/>
      <c r="BY309" s="89"/>
      <c r="BZ309" s="89"/>
      <c r="CA309" s="89"/>
      <c r="CB309" s="89"/>
      <c r="CC309" s="89"/>
      <c r="CD309" s="89"/>
      <c r="CE309" s="89"/>
      <c r="CF309" s="89"/>
      <c r="CG309" s="89"/>
      <c r="CH309" s="89"/>
      <c r="CI309" s="89"/>
      <c r="CJ309" s="89"/>
      <c r="CK309" s="89"/>
      <c r="CL309" s="89"/>
      <c r="CM309" s="89"/>
      <c r="CN309" s="89"/>
      <c r="CO309" s="89"/>
      <c r="CP309" s="89"/>
      <c r="CQ309" s="89"/>
      <c r="CR309" s="89"/>
      <c r="CS309" s="89"/>
      <c r="CT309" s="89"/>
      <c r="CU309" s="89"/>
      <c r="CV309" s="89"/>
      <c r="CW309" s="89"/>
      <c r="CX309" s="89"/>
      <c r="CY309" s="89"/>
      <c r="CZ309" s="89"/>
      <c r="DA309" s="89"/>
      <c r="DB309" s="89"/>
      <c r="DC309" s="89"/>
      <c r="DD309" s="89"/>
      <c r="DE309" s="89"/>
      <c r="DF309" s="89"/>
      <c r="DG309" s="89"/>
      <c r="DH309" s="89"/>
      <c r="DI309" s="89"/>
      <c r="DJ309" s="89"/>
      <c r="DK309" s="89"/>
      <c r="DL309" s="89"/>
      <c r="DM309" s="89"/>
      <c r="DN309" s="89"/>
      <c r="DO309" s="89"/>
      <c r="DP309" s="89"/>
      <c r="DQ309" s="89"/>
      <c r="DR309" s="89"/>
      <c r="DS309" s="89"/>
      <c r="DT309" s="89"/>
      <c r="DU309" s="89"/>
      <c r="DV309" s="89"/>
      <c r="DW309" s="89"/>
      <c r="DX309" s="89"/>
      <c r="DY309" s="89"/>
      <c r="DZ309" s="89"/>
      <c r="EA309" s="89"/>
      <c r="EB309" s="89"/>
      <c r="EC309" s="89"/>
      <c r="ED309" s="89"/>
      <c r="EE309" s="89"/>
      <c r="EF309" s="89"/>
      <c r="EG309" s="89"/>
      <c r="EH309" s="89"/>
      <c r="EI309" s="89"/>
      <c r="EJ309" s="89"/>
      <c r="EK309" s="89"/>
      <c r="EL309" s="89"/>
      <c r="EM309" s="89"/>
      <c r="EN309" s="89"/>
      <c r="EO309" s="89"/>
    </row>
    <row r="310" spans="1:145" s="87" customFormat="1" ht="14.25" customHeight="1" thickBot="1">
      <c r="A310" s="432">
        <v>17</v>
      </c>
      <c r="B310" s="147" t="s">
        <v>92</v>
      </c>
      <c r="C310" s="361"/>
      <c r="D310" s="426">
        <f t="shared" ref="D310:P310" si="125">+D308+D304</f>
        <v>851267.41797039181</v>
      </c>
      <c r="E310" s="426">
        <f t="shared" si="125"/>
        <v>661649.08271702379</v>
      </c>
      <c r="F310" s="426">
        <f t="shared" si="125"/>
        <v>674274.24371982855</v>
      </c>
      <c r="G310" s="426">
        <f t="shared" si="125"/>
        <v>492780.82014343946</v>
      </c>
      <c r="H310" s="426">
        <f t="shared" si="125"/>
        <v>280603.25343817286</v>
      </c>
      <c r="I310" s="426">
        <f t="shared" si="125"/>
        <v>251756.73288739368</v>
      </c>
      <c r="J310" s="426">
        <f t="shared" si="125"/>
        <v>306577.50658952049</v>
      </c>
      <c r="K310" s="426">
        <f t="shared" si="125"/>
        <v>81383.101306258381</v>
      </c>
      <c r="L310" s="426">
        <f t="shared" si="125"/>
        <v>59211.968734602298</v>
      </c>
      <c r="M310" s="426">
        <f t="shared" si="125"/>
        <v>-52546.695104287908</v>
      </c>
      <c r="N310" s="426">
        <f t="shared" si="125"/>
        <v>-183674.70552768945</v>
      </c>
      <c r="O310" s="426">
        <f t="shared" si="125"/>
        <v>0</v>
      </c>
      <c r="P310" s="426">
        <f t="shared" si="125"/>
        <v>3423282.7268746542</v>
      </c>
      <c r="Q310" s="138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89"/>
      <c r="AJ310" s="89"/>
      <c r="AK310" s="89"/>
      <c r="AL310" s="89"/>
      <c r="AM310" s="89"/>
      <c r="AN310" s="89"/>
      <c r="AO310" s="89"/>
      <c r="AP310" s="89"/>
      <c r="AQ310" s="89"/>
      <c r="AR310" s="89"/>
      <c r="AS310" s="89"/>
      <c r="AT310" s="89"/>
      <c r="AU310" s="89"/>
      <c r="AV310" s="89"/>
      <c r="AW310" s="89"/>
      <c r="AX310" s="89"/>
      <c r="AY310" s="89"/>
      <c r="AZ310" s="89"/>
      <c r="BA310" s="89"/>
      <c r="BB310" s="89"/>
      <c r="BC310" s="89"/>
      <c r="BD310" s="89"/>
      <c r="BE310" s="89"/>
      <c r="BF310" s="89"/>
      <c r="BG310" s="89"/>
      <c r="BH310" s="89"/>
      <c r="BI310" s="89"/>
      <c r="BJ310" s="89"/>
      <c r="BK310" s="89"/>
      <c r="BL310" s="89"/>
      <c r="BM310" s="89"/>
      <c r="BN310" s="89"/>
      <c r="BO310" s="89"/>
      <c r="BP310" s="89"/>
      <c r="BQ310" s="89"/>
      <c r="BR310" s="89"/>
      <c r="BS310" s="89"/>
      <c r="BT310" s="89"/>
      <c r="BU310" s="89"/>
      <c r="BV310" s="89"/>
      <c r="BW310" s="89"/>
      <c r="BX310" s="89"/>
      <c r="BY310" s="89"/>
      <c r="BZ310" s="89"/>
      <c r="CA310" s="89"/>
      <c r="CB310" s="89"/>
      <c r="CC310" s="89"/>
      <c r="CD310" s="89"/>
      <c r="CE310" s="89"/>
      <c r="CF310" s="89"/>
      <c r="CG310" s="89"/>
      <c r="CH310" s="89"/>
      <c r="CI310" s="89"/>
      <c r="CJ310" s="89"/>
      <c r="CK310" s="89"/>
      <c r="CL310" s="89"/>
      <c r="CM310" s="89"/>
      <c r="CN310" s="89"/>
      <c r="CO310" s="89"/>
      <c r="CP310" s="89"/>
      <c r="CQ310" s="89"/>
      <c r="CR310" s="89"/>
      <c r="CS310" s="89"/>
      <c r="CT310" s="89"/>
      <c r="CU310" s="89"/>
      <c r="CV310" s="89"/>
      <c r="CW310" s="89"/>
      <c r="CX310" s="89"/>
      <c r="CY310" s="89"/>
      <c r="CZ310" s="89"/>
      <c r="DA310" s="89"/>
      <c r="DB310" s="89"/>
      <c r="DC310" s="89"/>
      <c r="DD310" s="89"/>
      <c r="DE310" s="89"/>
      <c r="DF310" s="89"/>
      <c r="DG310" s="89"/>
      <c r="DH310" s="89"/>
      <c r="DI310" s="89"/>
      <c r="DJ310" s="89"/>
      <c r="DK310" s="89"/>
      <c r="DL310" s="89"/>
      <c r="DM310" s="89"/>
      <c r="DN310" s="89"/>
      <c r="DO310" s="89"/>
      <c r="DP310" s="89"/>
      <c r="DQ310" s="89"/>
      <c r="DR310" s="89"/>
      <c r="DS310" s="89"/>
      <c r="DT310" s="89"/>
      <c r="DU310" s="89"/>
      <c r="DV310" s="89"/>
      <c r="DW310" s="89"/>
      <c r="DX310" s="89"/>
      <c r="DY310" s="89"/>
      <c r="DZ310" s="89"/>
      <c r="EA310" s="89"/>
      <c r="EB310" s="89"/>
      <c r="EC310" s="89"/>
      <c r="ED310" s="89"/>
      <c r="EE310" s="89"/>
      <c r="EF310" s="89"/>
      <c r="EG310" s="89"/>
      <c r="EH310" s="89"/>
      <c r="EI310" s="89"/>
      <c r="EJ310" s="89"/>
      <c r="EK310" s="89"/>
      <c r="EL310" s="89"/>
      <c r="EM310" s="89"/>
      <c r="EN310" s="89"/>
      <c r="EO310" s="89"/>
    </row>
    <row r="311" spans="1:145" s="87" customFormat="1" ht="23.25" customHeight="1" thickTop="1">
      <c r="B311" s="444" t="str">
        <f>B8</f>
        <v>AEP TEXAS</v>
      </c>
      <c r="C311" s="444"/>
      <c r="D311" s="444"/>
      <c r="E311" s="444"/>
      <c r="F311" s="444"/>
      <c r="G311" s="444"/>
      <c r="H311" s="444"/>
      <c r="I311" s="444"/>
      <c r="J311" s="444"/>
      <c r="K311" s="444"/>
      <c r="L311" s="444"/>
      <c r="M311" s="444"/>
      <c r="N311" s="444"/>
      <c r="O311" s="444"/>
      <c r="P311" s="444"/>
      <c r="Q311" s="138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89"/>
      <c r="AJ311" s="89"/>
      <c r="AK311" s="89"/>
      <c r="AL311" s="89"/>
      <c r="AM311" s="89"/>
      <c r="AN311" s="89"/>
      <c r="AO311" s="89"/>
      <c r="AP311" s="89"/>
      <c r="AQ311" s="89"/>
      <c r="AR311" s="89"/>
      <c r="AS311" s="89"/>
      <c r="AT311" s="89"/>
      <c r="AU311" s="89"/>
      <c r="AV311" s="89"/>
      <c r="AW311" s="89"/>
      <c r="AX311" s="89"/>
      <c r="AY311" s="89"/>
      <c r="AZ311" s="89"/>
      <c r="BA311" s="89"/>
      <c r="BB311" s="89"/>
      <c r="BC311" s="89"/>
      <c r="BD311" s="89"/>
      <c r="BE311" s="89"/>
      <c r="BF311" s="89"/>
      <c r="BG311" s="89"/>
      <c r="BH311" s="89"/>
      <c r="BI311" s="89"/>
      <c r="BJ311" s="89"/>
      <c r="BK311" s="89"/>
      <c r="BL311" s="89"/>
      <c r="BM311" s="89"/>
      <c r="BN311" s="89"/>
      <c r="BO311" s="89"/>
      <c r="BP311" s="89"/>
      <c r="BQ311" s="89"/>
      <c r="BR311" s="89"/>
      <c r="BS311" s="89"/>
      <c r="BT311" s="89"/>
      <c r="BU311" s="89"/>
      <c r="BV311" s="89"/>
      <c r="BW311" s="89"/>
      <c r="BX311" s="89"/>
      <c r="BY311" s="89"/>
      <c r="BZ311" s="89"/>
      <c r="CA311" s="89"/>
      <c r="CB311" s="89"/>
      <c r="CC311" s="89"/>
      <c r="CD311" s="89"/>
      <c r="CE311" s="89"/>
      <c r="CF311" s="89"/>
      <c r="CG311" s="89"/>
      <c r="CH311" s="89"/>
      <c r="CI311" s="89"/>
      <c r="CJ311" s="89"/>
      <c r="CK311" s="89"/>
      <c r="CL311" s="89"/>
      <c r="CM311" s="89"/>
      <c r="CN311" s="89"/>
      <c r="CO311" s="89"/>
      <c r="CP311" s="89"/>
      <c r="CQ311" s="89"/>
      <c r="CR311" s="89"/>
      <c r="CS311" s="89"/>
      <c r="CT311" s="89"/>
      <c r="CU311" s="89"/>
      <c r="CV311" s="89"/>
      <c r="CW311" s="89"/>
      <c r="CX311" s="89"/>
      <c r="CY311" s="89"/>
      <c r="CZ311" s="89"/>
      <c r="DA311" s="89"/>
      <c r="DB311" s="89"/>
      <c r="DC311" s="89"/>
      <c r="DD311" s="89"/>
      <c r="DE311" s="89"/>
      <c r="DF311" s="89"/>
      <c r="DG311" s="89"/>
      <c r="DH311" s="89"/>
      <c r="DI311" s="89"/>
      <c r="DJ311" s="89"/>
      <c r="DK311" s="89"/>
      <c r="DL311" s="89"/>
      <c r="DM311" s="89"/>
      <c r="DN311" s="89"/>
      <c r="DO311" s="89"/>
      <c r="DP311" s="89"/>
      <c r="DQ311" s="89"/>
      <c r="DR311" s="89"/>
      <c r="DS311" s="89"/>
      <c r="DT311" s="89"/>
      <c r="DU311" s="89"/>
      <c r="DV311" s="89"/>
      <c r="DW311" s="89"/>
      <c r="DX311" s="89"/>
      <c r="DY311" s="89"/>
      <c r="DZ311" s="89"/>
      <c r="EA311" s="89"/>
      <c r="EB311" s="89"/>
      <c r="EC311" s="89"/>
      <c r="ED311" s="89"/>
      <c r="EE311" s="89"/>
      <c r="EF311" s="89"/>
      <c r="EG311" s="89"/>
      <c r="EH311" s="89"/>
      <c r="EI311" s="89"/>
      <c r="EJ311" s="89"/>
      <c r="EK311" s="89"/>
      <c r="EL311" s="89"/>
      <c r="EM311" s="89"/>
      <c r="EN311" s="89"/>
      <c r="EO311" s="89"/>
    </row>
    <row r="312" spans="1:145" s="87" customFormat="1">
      <c r="B312" s="372" t="s">
        <v>49</v>
      </c>
      <c r="C312" s="444"/>
      <c r="D312" s="444"/>
      <c r="E312" s="444"/>
      <c r="F312" s="444"/>
      <c r="G312" s="444"/>
      <c r="H312" s="444"/>
      <c r="I312" s="444"/>
      <c r="J312" s="444"/>
      <c r="K312" s="444"/>
      <c r="L312" s="444"/>
      <c r="M312" s="444"/>
      <c r="N312" s="444"/>
      <c r="O312" s="444"/>
      <c r="P312" s="444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89"/>
      <c r="AJ312" s="89"/>
      <c r="AK312" s="89"/>
      <c r="AL312" s="89"/>
      <c r="AM312" s="89"/>
      <c r="AN312" s="89"/>
      <c r="AO312" s="89"/>
      <c r="AP312" s="89"/>
      <c r="AQ312" s="89"/>
      <c r="AR312" s="89"/>
      <c r="AS312" s="89"/>
      <c r="AT312" s="89"/>
      <c r="AU312" s="89"/>
      <c r="AV312" s="89"/>
      <c r="AW312" s="89"/>
      <c r="AX312" s="89"/>
      <c r="AY312" s="89"/>
      <c r="AZ312" s="89"/>
      <c r="BA312" s="89"/>
      <c r="BB312" s="89"/>
      <c r="BC312" s="89"/>
      <c r="BD312" s="89"/>
      <c r="BE312" s="89"/>
      <c r="BF312" s="89"/>
      <c r="BG312" s="89"/>
      <c r="BH312" s="89"/>
      <c r="BI312" s="89"/>
      <c r="BJ312" s="89"/>
      <c r="BK312" s="89"/>
      <c r="BL312" s="89"/>
      <c r="BM312" s="89"/>
      <c r="BN312" s="89"/>
      <c r="BO312" s="89"/>
      <c r="BP312" s="89"/>
      <c r="BQ312" s="89"/>
      <c r="BR312" s="89"/>
      <c r="BS312" s="89"/>
      <c r="BT312" s="89"/>
      <c r="BU312" s="89"/>
      <c r="BV312" s="89"/>
      <c r="BW312" s="89"/>
      <c r="BX312" s="89"/>
      <c r="BY312" s="89"/>
      <c r="BZ312" s="89"/>
      <c r="CA312" s="89"/>
      <c r="CB312" s="89"/>
      <c r="CC312" s="89"/>
      <c r="CD312" s="89"/>
      <c r="CE312" s="89"/>
      <c r="CF312" s="89"/>
      <c r="CG312" s="89"/>
      <c r="CH312" s="89"/>
      <c r="CI312" s="89"/>
      <c r="CJ312" s="89"/>
      <c r="CK312" s="89"/>
      <c r="CL312" s="89"/>
      <c r="CM312" s="89"/>
      <c r="CN312" s="89"/>
      <c r="CO312" s="89"/>
      <c r="CP312" s="89"/>
      <c r="CQ312" s="89"/>
      <c r="CR312" s="89"/>
      <c r="CS312" s="89"/>
      <c r="CT312" s="89"/>
      <c r="CU312" s="89"/>
      <c r="CV312" s="89"/>
      <c r="CW312" s="89"/>
      <c r="CX312" s="89"/>
      <c r="CY312" s="89"/>
      <c r="CZ312" s="89"/>
      <c r="DA312" s="89"/>
      <c r="DB312" s="89"/>
      <c r="DC312" s="89"/>
      <c r="DD312" s="89"/>
      <c r="DE312" s="89"/>
      <c r="DF312" s="89"/>
      <c r="DG312" s="89"/>
      <c r="DH312" s="89"/>
      <c r="DI312" s="89"/>
      <c r="DJ312" s="89"/>
      <c r="DK312" s="89"/>
      <c r="DL312" s="89"/>
      <c r="DM312" s="89"/>
      <c r="DN312" s="89"/>
      <c r="DO312" s="89"/>
      <c r="DP312" s="89"/>
      <c r="DQ312" s="89"/>
      <c r="DR312" s="89"/>
      <c r="DS312" s="89"/>
      <c r="DT312" s="89"/>
      <c r="DU312" s="89"/>
      <c r="DV312" s="89"/>
      <c r="DW312" s="89"/>
      <c r="DX312" s="89"/>
      <c r="DY312" s="89"/>
      <c r="DZ312" s="89"/>
      <c r="EA312" s="89"/>
      <c r="EB312" s="89"/>
      <c r="EC312" s="89"/>
      <c r="ED312" s="89"/>
      <c r="EE312" s="89"/>
      <c r="EF312" s="89"/>
      <c r="EG312" s="89"/>
      <c r="EH312" s="89"/>
      <c r="EI312" s="89"/>
      <c r="EJ312" s="89"/>
      <c r="EK312" s="89"/>
      <c r="EL312" s="89"/>
      <c r="EM312" s="89"/>
      <c r="EN312" s="89"/>
      <c r="EO312" s="89"/>
    </row>
    <row r="313" spans="1:145" s="87" customFormat="1">
      <c r="B313" s="444" t="str">
        <f>B10</f>
        <v>FOR TEST YEAR ENDED SEPTEMBER 30, 2023</v>
      </c>
      <c r="C313" s="444"/>
      <c r="D313" s="444"/>
      <c r="E313" s="444"/>
      <c r="F313" s="444"/>
      <c r="G313" s="444"/>
      <c r="H313" s="444"/>
      <c r="I313" s="444"/>
      <c r="J313" s="444"/>
      <c r="K313" s="444"/>
      <c r="L313" s="444"/>
      <c r="M313" s="444"/>
      <c r="N313" s="444"/>
      <c r="O313" s="444"/>
      <c r="P313" s="444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89"/>
      <c r="AJ313" s="89"/>
      <c r="AK313" s="89"/>
      <c r="AL313" s="89"/>
      <c r="AM313" s="89"/>
      <c r="AN313" s="89"/>
      <c r="AO313" s="89"/>
      <c r="AP313" s="89"/>
      <c r="AQ313" s="89"/>
      <c r="AR313" s="89"/>
      <c r="AS313" s="89"/>
      <c r="AT313" s="89"/>
      <c r="AU313" s="89"/>
      <c r="AV313" s="89"/>
      <c r="AW313" s="89"/>
      <c r="AX313" s="89"/>
      <c r="AY313" s="89"/>
      <c r="AZ313" s="89"/>
      <c r="BA313" s="89"/>
      <c r="BB313" s="89"/>
      <c r="BC313" s="89"/>
      <c r="BD313" s="89"/>
      <c r="BE313" s="89"/>
      <c r="BF313" s="89"/>
      <c r="BG313" s="89"/>
      <c r="BH313" s="89"/>
      <c r="BI313" s="89"/>
      <c r="BJ313" s="89"/>
      <c r="BK313" s="89"/>
      <c r="BL313" s="89"/>
      <c r="BM313" s="89"/>
      <c r="BN313" s="89"/>
      <c r="BO313" s="89"/>
      <c r="BP313" s="89"/>
      <c r="BQ313" s="89"/>
      <c r="BR313" s="89"/>
      <c r="BS313" s="89"/>
      <c r="BT313" s="89"/>
      <c r="BU313" s="89"/>
      <c r="BV313" s="89"/>
      <c r="BW313" s="89"/>
      <c r="BX313" s="89"/>
      <c r="BY313" s="89"/>
      <c r="BZ313" s="89"/>
      <c r="CA313" s="89"/>
      <c r="CB313" s="89"/>
      <c r="CC313" s="89"/>
      <c r="CD313" s="89"/>
      <c r="CE313" s="89"/>
      <c r="CF313" s="89"/>
      <c r="CG313" s="89"/>
      <c r="CH313" s="89"/>
      <c r="CI313" s="89"/>
      <c r="CJ313" s="89"/>
      <c r="CK313" s="89"/>
      <c r="CL313" s="89"/>
      <c r="CM313" s="89"/>
      <c r="CN313" s="89"/>
      <c r="CO313" s="89"/>
      <c r="CP313" s="89"/>
      <c r="CQ313" s="89"/>
      <c r="CR313" s="89"/>
      <c r="CS313" s="89"/>
      <c r="CT313" s="89"/>
      <c r="CU313" s="89"/>
      <c r="CV313" s="89"/>
      <c r="CW313" s="89"/>
      <c r="CX313" s="89"/>
      <c r="CY313" s="89"/>
      <c r="CZ313" s="89"/>
      <c r="DA313" s="89"/>
      <c r="DB313" s="89"/>
      <c r="DC313" s="89"/>
      <c r="DD313" s="89"/>
      <c r="DE313" s="89"/>
      <c r="DF313" s="89"/>
      <c r="DG313" s="89"/>
      <c r="DH313" s="89"/>
      <c r="DI313" s="89"/>
      <c r="DJ313" s="89"/>
      <c r="DK313" s="89"/>
      <c r="DL313" s="89"/>
      <c r="DM313" s="89"/>
      <c r="DN313" s="89"/>
      <c r="DO313" s="89"/>
      <c r="DP313" s="89"/>
      <c r="DQ313" s="89"/>
      <c r="DR313" s="89"/>
      <c r="DS313" s="89"/>
      <c r="DT313" s="89"/>
      <c r="DU313" s="89"/>
      <c r="DV313" s="89"/>
      <c r="DW313" s="89"/>
      <c r="DX313" s="89"/>
      <c r="DY313" s="89"/>
      <c r="DZ313" s="89"/>
      <c r="EA313" s="89"/>
      <c r="EB313" s="89"/>
      <c r="EC313" s="89"/>
      <c r="ED313" s="89"/>
      <c r="EE313" s="89"/>
      <c r="EF313" s="89"/>
      <c r="EG313" s="89"/>
      <c r="EH313" s="89"/>
      <c r="EI313" s="89"/>
      <c r="EJ313" s="89"/>
      <c r="EK313" s="89"/>
      <c r="EL313" s="89"/>
      <c r="EM313" s="89"/>
      <c r="EN313" s="89"/>
      <c r="EO313" s="89"/>
    </row>
    <row r="314" spans="1:145" s="87" customFormat="1">
      <c r="A314" s="99"/>
      <c r="B314" s="159"/>
      <c r="C314" s="160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89"/>
      <c r="AJ314" s="89"/>
      <c r="AK314" s="89"/>
      <c r="AL314" s="89"/>
      <c r="AM314" s="89"/>
      <c r="AN314" s="89"/>
      <c r="AO314" s="89"/>
      <c r="AP314" s="89"/>
      <c r="AQ314" s="89"/>
      <c r="AR314" s="89"/>
      <c r="AS314" s="89"/>
      <c r="AT314" s="89"/>
      <c r="AU314" s="89"/>
      <c r="AV314" s="89"/>
      <c r="AW314" s="89"/>
      <c r="AX314" s="89"/>
      <c r="AY314" s="89"/>
      <c r="AZ314" s="89"/>
      <c r="BA314" s="89"/>
      <c r="BB314" s="89"/>
      <c r="BC314" s="89"/>
      <c r="BD314" s="89"/>
      <c r="BE314" s="89"/>
      <c r="BF314" s="89"/>
      <c r="BG314" s="89"/>
      <c r="BH314" s="89"/>
      <c r="BI314" s="89"/>
      <c r="BJ314" s="89"/>
      <c r="BK314" s="89"/>
      <c r="BL314" s="89"/>
      <c r="BM314" s="89"/>
      <c r="BN314" s="89"/>
      <c r="BO314" s="89"/>
      <c r="BP314" s="89"/>
      <c r="BQ314" s="89"/>
      <c r="BR314" s="89"/>
      <c r="BS314" s="89"/>
      <c r="BT314" s="89"/>
      <c r="BU314" s="89"/>
      <c r="BV314" s="89"/>
      <c r="BW314" s="89"/>
      <c r="BX314" s="89"/>
      <c r="BY314" s="89"/>
      <c r="BZ314" s="89"/>
      <c r="CA314" s="89"/>
      <c r="CB314" s="89"/>
      <c r="CC314" s="89"/>
      <c r="CD314" s="89"/>
      <c r="CE314" s="89"/>
      <c r="CF314" s="89"/>
      <c r="CG314" s="89"/>
      <c r="CH314" s="89"/>
      <c r="CI314" s="89"/>
      <c r="CJ314" s="89"/>
      <c r="CK314" s="89"/>
      <c r="CL314" s="89"/>
      <c r="CM314" s="89"/>
      <c r="CN314" s="89"/>
      <c r="CO314" s="89"/>
      <c r="CP314" s="89"/>
      <c r="CQ314" s="89"/>
      <c r="CR314" s="89"/>
      <c r="CS314" s="89"/>
      <c r="CT314" s="89"/>
      <c r="CU314" s="89"/>
      <c r="CV314" s="89"/>
      <c r="CW314" s="89"/>
      <c r="CX314" s="89"/>
      <c r="CY314" s="89"/>
      <c r="CZ314" s="89"/>
      <c r="DA314" s="89"/>
      <c r="DB314" s="89"/>
      <c r="DC314" s="89"/>
      <c r="DD314" s="89"/>
      <c r="DE314" s="89"/>
      <c r="DF314" s="89"/>
      <c r="DG314" s="89"/>
      <c r="DH314" s="89"/>
      <c r="DI314" s="89"/>
      <c r="DJ314" s="89"/>
      <c r="DK314" s="89"/>
      <c r="DL314" s="89"/>
      <c r="DM314" s="89"/>
      <c r="DN314" s="89"/>
      <c r="DO314" s="89"/>
      <c r="DP314" s="89"/>
      <c r="DQ314" s="89"/>
      <c r="DR314" s="89"/>
      <c r="DS314" s="89"/>
      <c r="DT314" s="89"/>
      <c r="DU314" s="89"/>
      <c r="DV314" s="89"/>
      <c r="DW314" s="89"/>
      <c r="DX314" s="89"/>
      <c r="DY314" s="89"/>
      <c r="DZ314" s="89"/>
      <c r="EA314" s="89"/>
      <c r="EB314" s="89"/>
      <c r="EC314" s="89"/>
      <c r="ED314" s="89"/>
      <c r="EE314" s="89"/>
      <c r="EF314" s="89"/>
      <c r="EG314" s="89"/>
      <c r="EH314" s="89"/>
      <c r="EI314" s="89"/>
      <c r="EJ314" s="89"/>
      <c r="EK314" s="89"/>
      <c r="EL314" s="89"/>
      <c r="EM314" s="89"/>
      <c r="EN314" s="89"/>
      <c r="EO314" s="89"/>
    </row>
    <row r="315" spans="1:145" s="87" customFormat="1">
      <c r="B315" s="99"/>
      <c r="C315" s="161"/>
      <c r="D315" s="447"/>
      <c r="E315" s="101"/>
      <c r="F315" s="101"/>
      <c r="G315" s="448"/>
      <c r="H315" s="101"/>
      <c r="I315" s="101"/>
      <c r="J315" s="177"/>
      <c r="K315" s="101"/>
      <c r="L315" s="101"/>
      <c r="M315" s="101"/>
      <c r="N315" s="101"/>
      <c r="O315" s="101"/>
      <c r="P315" s="101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89"/>
      <c r="AJ315" s="89"/>
      <c r="AK315" s="89"/>
      <c r="AL315" s="89"/>
      <c r="AM315" s="89"/>
      <c r="AN315" s="89"/>
      <c r="AO315" s="89"/>
      <c r="AP315" s="89"/>
      <c r="AQ315" s="89"/>
      <c r="AR315" s="89"/>
      <c r="AS315" s="89"/>
      <c r="AT315" s="89"/>
      <c r="AU315" s="89"/>
      <c r="AV315" s="89"/>
      <c r="AW315" s="89"/>
      <c r="AX315" s="89"/>
      <c r="AY315" s="89"/>
      <c r="AZ315" s="89"/>
      <c r="BA315" s="89"/>
      <c r="BB315" s="89"/>
      <c r="BC315" s="89"/>
      <c r="BD315" s="89"/>
      <c r="BE315" s="89"/>
      <c r="BF315" s="89"/>
      <c r="BG315" s="89"/>
      <c r="BH315" s="89"/>
      <c r="BI315" s="89"/>
      <c r="BJ315" s="89"/>
      <c r="BK315" s="89"/>
      <c r="BL315" s="89"/>
      <c r="BM315" s="89"/>
      <c r="BN315" s="89"/>
      <c r="BO315" s="89"/>
      <c r="BP315" s="89"/>
      <c r="BQ315" s="89"/>
      <c r="BR315" s="89"/>
      <c r="BS315" s="89"/>
      <c r="BT315" s="89"/>
      <c r="BU315" s="89"/>
      <c r="BV315" s="89"/>
      <c r="BW315" s="89"/>
      <c r="BX315" s="89"/>
      <c r="BY315" s="89"/>
      <c r="BZ315" s="89"/>
      <c r="CA315" s="89"/>
      <c r="CB315" s="89"/>
      <c r="CC315" s="89"/>
      <c r="CD315" s="89"/>
      <c r="CE315" s="89"/>
      <c r="CF315" s="89"/>
      <c r="CG315" s="89"/>
      <c r="CH315" s="89"/>
      <c r="CI315" s="89"/>
      <c r="CJ315" s="89"/>
      <c r="CK315" s="89"/>
      <c r="CL315" s="89"/>
      <c r="CM315" s="89"/>
      <c r="CN315" s="89"/>
      <c r="CO315" s="89"/>
      <c r="CP315" s="89"/>
      <c r="CQ315" s="89"/>
      <c r="CR315" s="89"/>
      <c r="CS315" s="89"/>
      <c r="CT315" s="89"/>
      <c r="CU315" s="89"/>
      <c r="CV315" s="89"/>
      <c r="CW315" s="89"/>
      <c r="CX315" s="89"/>
      <c r="CY315" s="89"/>
      <c r="CZ315" s="89"/>
      <c r="DA315" s="89"/>
      <c r="DB315" s="89"/>
      <c r="DC315" s="89"/>
      <c r="DD315" s="89"/>
      <c r="DE315" s="89"/>
      <c r="DF315" s="89"/>
      <c r="DG315" s="89"/>
      <c r="DH315" s="89"/>
      <c r="DI315" s="89"/>
      <c r="DJ315" s="89"/>
      <c r="DK315" s="89"/>
      <c r="DL315" s="89"/>
      <c r="DM315" s="89"/>
      <c r="DN315" s="89"/>
      <c r="DO315" s="89"/>
      <c r="DP315" s="89"/>
      <c r="DQ315" s="89"/>
      <c r="DR315" s="89"/>
      <c r="DS315" s="89"/>
      <c r="DT315" s="89"/>
      <c r="DU315" s="89"/>
      <c r="DV315" s="89"/>
      <c r="DW315" s="89"/>
      <c r="DX315" s="89"/>
      <c r="DY315" s="89"/>
      <c r="DZ315" s="89"/>
      <c r="EA315" s="89"/>
      <c r="EB315" s="89"/>
      <c r="EC315" s="89"/>
      <c r="ED315" s="89"/>
      <c r="EE315" s="89"/>
      <c r="EF315" s="89"/>
      <c r="EG315" s="89"/>
      <c r="EH315" s="89"/>
      <c r="EI315" s="89"/>
      <c r="EJ315" s="89"/>
      <c r="EK315" s="89"/>
      <c r="EL315" s="89"/>
      <c r="EM315" s="89"/>
      <c r="EN315" s="89"/>
      <c r="EO315" s="89"/>
    </row>
    <row r="316" spans="1:145" s="87" customFormat="1">
      <c r="A316" s="449" t="s">
        <v>8</v>
      </c>
      <c r="B316" s="361" t="s">
        <v>0</v>
      </c>
      <c r="C316" s="361" t="s">
        <v>7</v>
      </c>
      <c r="D316" s="450" t="str">
        <f t="shared" ref="D316:O316" si="126">D13</f>
        <v>Oct-22</v>
      </c>
      <c r="E316" s="450" t="str">
        <f t="shared" si="126"/>
        <v>Nov-22</v>
      </c>
      <c r="F316" s="450" t="str">
        <f t="shared" si="126"/>
        <v>Dec-22</v>
      </c>
      <c r="G316" s="450" t="str">
        <f t="shared" si="126"/>
        <v>Jan-23</v>
      </c>
      <c r="H316" s="450" t="str">
        <f t="shared" si="126"/>
        <v>Feb-23</v>
      </c>
      <c r="I316" s="450" t="str">
        <f t="shared" si="126"/>
        <v>Mar-23</v>
      </c>
      <c r="J316" s="450" t="str">
        <f t="shared" si="126"/>
        <v>Apr-23</v>
      </c>
      <c r="K316" s="450" t="str">
        <f t="shared" si="126"/>
        <v>May-23</v>
      </c>
      <c r="L316" s="450" t="str">
        <f t="shared" si="126"/>
        <v>Jun-23</v>
      </c>
      <c r="M316" s="450" t="str">
        <f t="shared" si="126"/>
        <v>Jul-23</v>
      </c>
      <c r="N316" s="450" t="str">
        <f t="shared" si="126"/>
        <v>Aug-23</v>
      </c>
      <c r="O316" s="450" t="str">
        <f t="shared" si="126"/>
        <v>Sep-23</v>
      </c>
      <c r="P316" s="361" t="s">
        <v>2</v>
      </c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89"/>
      <c r="AL316" s="89"/>
      <c r="AM316" s="89"/>
      <c r="AN316" s="89"/>
      <c r="AO316" s="89"/>
      <c r="AP316" s="89"/>
      <c r="AQ316" s="89"/>
      <c r="AR316" s="89"/>
      <c r="AS316" s="89"/>
      <c r="AT316" s="89"/>
      <c r="AU316" s="89"/>
      <c r="AV316" s="89"/>
      <c r="AW316" s="89"/>
      <c r="AX316" s="89"/>
      <c r="AY316" s="89"/>
      <c r="AZ316" s="89"/>
      <c r="BA316" s="89"/>
      <c r="BB316" s="89"/>
      <c r="BC316" s="89"/>
      <c r="BD316" s="89"/>
      <c r="BE316" s="89"/>
      <c r="BF316" s="89"/>
      <c r="BG316" s="89"/>
      <c r="BH316" s="89"/>
      <c r="BI316" s="89"/>
      <c r="BJ316" s="89"/>
      <c r="BK316" s="89"/>
      <c r="BL316" s="89"/>
      <c r="BM316" s="89"/>
      <c r="BN316" s="89"/>
      <c r="BO316" s="89"/>
      <c r="BP316" s="89"/>
      <c r="BQ316" s="89"/>
      <c r="BR316" s="89"/>
      <c r="BS316" s="89"/>
      <c r="BT316" s="89"/>
      <c r="BU316" s="89"/>
      <c r="BV316" s="89"/>
      <c r="BW316" s="89"/>
      <c r="BX316" s="89"/>
      <c r="BY316" s="89"/>
      <c r="BZ316" s="89"/>
      <c r="CA316" s="89"/>
      <c r="CB316" s="89"/>
      <c r="CC316" s="89"/>
      <c r="CD316" s="89"/>
      <c r="CE316" s="89"/>
      <c r="CF316" s="89"/>
      <c r="CG316" s="89"/>
      <c r="CH316" s="89"/>
      <c r="CI316" s="89"/>
      <c r="CJ316" s="89"/>
      <c r="CK316" s="89"/>
      <c r="CL316" s="89"/>
      <c r="CM316" s="89"/>
      <c r="CN316" s="89"/>
      <c r="CO316" s="89"/>
      <c r="CP316" s="89"/>
      <c r="CQ316" s="89"/>
      <c r="CR316" s="89"/>
      <c r="CS316" s="89"/>
      <c r="CT316" s="89"/>
      <c r="CU316" s="89"/>
      <c r="CV316" s="89"/>
      <c r="CW316" s="89"/>
      <c r="CX316" s="89"/>
      <c r="CY316" s="89"/>
      <c r="CZ316" s="89"/>
      <c r="DA316" s="89"/>
      <c r="DB316" s="89"/>
      <c r="DC316" s="89"/>
      <c r="DD316" s="89"/>
      <c r="DE316" s="89"/>
      <c r="DF316" s="89"/>
      <c r="DG316" s="89"/>
      <c r="DH316" s="89"/>
      <c r="DI316" s="89"/>
      <c r="DJ316" s="89"/>
      <c r="DK316" s="89"/>
      <c r="DL316" s="89"/>
      <c r="DM316" s="89"/>
      <c r="DN316" s="89"/>
      <c r="DO316" s="89"/>
      <c r="DP316" s="89"/>
      <c r="DQ316" s="89"/>
      <c r="DR316" s="89"/>
      <c r="DS316" s="89"/>
      <c r="DT316" s="89"/>
      <c r="DU316" s="89"/>
      <c r="DV316" s="89"/>
      <c r="DW316" s="89"/>
      <c r="DX316" s="89"/>
      <c r="DY316" s="89"/>
      <c r="DZ316" s="89"/>
      <c r="EA316" s="89"/>
      <c r="EB316" s="89"/>
      <c r="EC316" s="89"/>
      <c r="ED316" s="89"/>
      <c r="EE316" s="89"/>
      <c r="EF316" s="89"/>
      <c r="EG316" s="89"/>
      <c r="EH316" s="89"/>
      <c r="EI316" s="89"/>
      <c r="EJ316" s="89"/>
      <c r="EK316" s="89"/>
      <c r="EL316" s="89"/>
      <c r="EM316" s="89"/>
      <c r="EN316" s="89"/>
      <c r="EO316" s="89"/>
    </row>
    <row r="317" spans="1:145" s="87" customFormat="1">
      <c r="B317" s="99"/>
      <c r="C317" s="161"/>
      <c r="D317" s="160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89"/>
      <c r="AJ317" s="89"/>
      <c r="AK317" s="89"/>
      <c r="AL317" s="89"/>
      <c r="AM317" s="89"/>
      <c r="AN317" s="89"/>
      <c r="AO317" s="89"/>
      <c r="AP317" s="89"/>
      <c r="AQ317" s="89"/>
      <c r="AR317" s="89"/>
      <c r="AS317" s="89"/>
      <c r="AT317" s="89"/>
      <c r="AU317" s="89"/>
      <c r="AV317" s="89"/>
      <c r="AW317" s="89"/>
      <c r="AX317" s="89"/>
      <c r="AY317" s="89"/>
      <c r="AZ317" s="89"/>
      <c r="BA317" s="89"/>
      <c r="BB317" s="89"/>
      <c r="BC317" s="89"/>
      <c r="BD317" s="89"/>
      <c r="BE317" s="89"/>
      <c r="BF317" s="89"/>
      <c r="BG317" s="89"/>
      <c r="BH317" s="89"/>
      <c r="BI317" s="89"/>
      <c r="BJ317" s="89"/>
      <c r="BK317" s="89"/>
      <c r="BL317" s="89"/>
      <c r="BM317" s="89"/>
      <c r="BN317" s="89"/>
      <c r="BO317" s="89"/>
      <c r="BP317" s="89"/>
      <c r="BQ317" s="89"/>
      <c r="BR317" s="89"/>
      <c r="BS317" s="89"/>
      <c r="BT317" s="89"/>
      <c r="BU317" s="89"/>
      <c r="BV317" s="89"/>
      <c r="BW317" s="89"/>
      <c r="BX317" s="89"/>
      <c r="BY317" s="89"/>
      <c r="BZ317" s="89"/>
      <c r="CA317" s="89"/>
      <c r="CB317" s="89"/>
      <c r="CC317" s="89"/>
      <c r="CD317" s="89"/>
      <c r="CE317" s="89"/>
      <c r="CF317" s="89"/>
      <c r="CG317" s="89"/>
      <c r="CH317" s="89"/>
      <c r="CI317" s="89"/>
      <c r="CJ317" s="89"/>
      <c r="CK317" s="89"/>
      <c r="CL317" s="89"/>
      <c r="CM317" s="89"/>
      <c r="CN317" s="89"/>
      <c r="CO317" s="89"/>
      <c r="CP317" s="89"/>
      <c r="CQ317" s="89"/>
      <c r="CR317" s="89"/>
      <c r="CS317" s="89"/>
      <c r="CT317" s="89"/>
      <c r="CU317" s="89"/>
      <c r="CV317" s="89"/>
      <c r="CW317" s="89"/>
      <c r="CX317" s="89"/>
      <c r="CY317" s="89"/>
      <c r="CZ317" s="89"/>
      <c r="DA317" s="89"/>
      <c r="DB317" s="89"/>
      <c r="DC317" s="89"/>
      <c r="DD317" s="89"/>
      <c r="DE317" s="89"/>
      <c r="DF317" s="89"/>
      <c r="DG317" s="89"/>
      <c r="DH317" s="89"/>
      <c r="DI317" s="89"/>
      <c r="DJ317" s="89"/>
      <c r="DK317" s="89"/>
      <c r="DL317" s="89"/>
      <c r="DM317" s="89"/>
      <c r="DN317" s="89"/>
      <c r="DO317" s="89"/>
      <c r="DP317" s="89"/>
      <c r="DQ317" s="89"/>
      <c r="DR317" s="89"/>
      <c r="DS317" s="89"/>
      <c r="DT317" s="89"/>
      <c r="DU317" s="89"/>
      <c r="DV317" s="89"/>
      <c r="DW317" s="89"/>
      <c r="DX317" s="89"/>
      <c r="DY317" s="89"/>
      <c r="DZ317" s="89"/>
      <c r="EA317" s="89"/>
      <c r="EB317" s="89"/>
      <c r="EC317" s="89"/>
      <c r="ED317" s="89"/>
      <c r="EE317" s="89"/>
      <c r="EF317" s="89"/>
      <c r="EG317" s="89"/>
      <c r="EH317" s="89"/>
      <c r="EI317" s="89"/>
      <c r="EJ317" s="89"/>
      <c r="EK317" s="89"/>
      <c r="EL317" s="89"/>
      <c r="EM317" s="89"/>
      <c r="EN317" s="89"/>
      <c r="EO317" s="89"/>
    </row>
    <row r="318" spans="1:145" s="87" customFormat="1">
      <c r="A318" s="432" t="s">
        <v>9</v>
      </c>
      <c r="B318" s="87" t="s">
        <v>17</v>
      </c>
      <c r="C318" s="99" t="s">
        <v>4</v>
      </c>
      <c r="D318" s="177">
        <f>+'[5]Revenue BG'!C89</f>
        <v>374568.7240679987</v>
      </c>
      <c r="E318" s="177">
        <f>+'[5]Revenue BG'!D89</f>
        <v>340665.45821000001</v>
      </c>
      <c r="F318" s="177">
        <f>+'[5]Revenue BG'!E89</f>
        <v>-1044821.2050429992</v>
      </c>
      <c r="G318" s="177">
        <f>+'[5]Revenue BG'!F89</f>
        <v>-608401.47314099967</v>
      </c>
      <c r="H318" s="177">
        <f>+'[5]Revenue BG'!G89</f>
        <v>582542.89970800083</v>
      </c>
      <c r="I318" s="177">
        <f>+'[5]Revenue BG'!H89</f>
        <v>-312294.53501399921</v>
      </c>
      <c r="J318" s="177">
        <f>+'[5]Revenue BG'!I89</f>
        <v>-826008.55644999957</v>
      </c>
      <c r="K318" s="177">
        <f>+'[5]Revenue BG'!J89</f>
        <v>858602.88051999919</v>
      </c>
      <c r="L318" s="177">
        <f>+'[5]Revenue BG'!K89</f>
        <v>563493.59974600293</v>
      </c>
      <c r="M318" s="177">
        <f>+'[5]Revenue BG'!L89</f>
        <v>-2382343.1752120005</v>
      </c>
      <c r="N318" s="177">
        <f>+'[5]Revenue BG'!M89</f>
        <v>-2183484.9157659994</v>
      </c>
      <c r="O318" s="177">
        <f>+'[5]Revenue BG'!N89</f>
        <v>-2184600.0919820005</v>
      </c>
      <c r="P318" s="424">
        <f>SUM(D318:O318)</f>
        <v>-6822080.3903559959</v>
      </c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89"/>
      <c r="AJ318" s="89"/>
      <c r="AK318" s="89"/>
      <c r="AL318" s="89"/>
      <c r="AM318" s="89"/>
      <c r="AN318" s="89"/>
      <c r="AO318" s="89"/>
      <c r="AP318" s="89"/>
      <c r="AQ318" s="89"/>
      <c r="AR318" s="89"/>
      <c r="AS318" s="89"/>
      <c r="AT318" s="89"/>
      <c r="AU318" s="89"/>
      <c r="AV318" s="89"/>
      <c r="AW318" s="89"/>
      <c r="AX318" s="89"/>
      <c r="AY318" s="89"/>
      <c r="AZ318" s="89"/>
      <c r="BA318" s="89"/>
      <c r="BB318" s="89"/>
      <c r="BC318" s="89"/>
      <c r="BD318" s="89"/>
      <c r="BE318" s="89"/>
      <c r="BF318" s="89"/>
      <c r="BG318" s="89"/>
      <c r="BH318" s="89"/>
      <c r="BI318" s="89"/>
      <c r="BJ318" s="89"/>
      <c r="BK318" s="89"/>
      <c r="BL318" s="89"/>
      <c r="BM318" s="89"/>
      <c r="BN318" s="89"/>
      <c r="BO318" s="89"/>
      <c r="BP318" s="89"/>
      <c r="BQ318" s="89"/>
      <c r="BR318" s="89"/>
      <c r="BS318" s="89"/>
      <c r="BT318" s="89"/>
      <c r="BU318" s="89"/>
      <c r="BV318" s="89"/>
      <c r="BW318" s="89"/>
      <c r="BX318" s="89"/>
      <c r="BY318" s="89"/>
      <c r="BZ318" s="89"/>
      <c r="CA318" s="89"/>
      <c r="CB318" s="89"/>
      <c r="CC318" s="89"/>
      <c r="CD318" s="89"/>
      <c r="CE318" s="89"/>
      <c r="CF318" s="89"/>
      <c r="CG318" s="89"/>
      <c r="CH318" s="89"/>
      <c r="CI318" s="89"/>
      <c r="CJ318" s="89"/>
      <c r="CK318" s="89"/>
      <c r="CL318" s="89"/>
      <c r="CM318" s="89"/>
      <c r="CN318" s="89"/>
      <c r="CO318" s="89"/>
      <c r="CP318" s="89"/>
      <c r="CQ318" s="89"/>
      <c r="CR318" s="89"/>
      <c r="CS318" s="89"/>
      <c r="CT318" s="89"/>
      <c r="CU318" s="89"/>
      <c r="CV318" s="89"/>
      <c r="CW318" s="89"/>
      <c r="CX318" s="89"/>
      <c r="CY318" s="89"/>
      <c r="CZ318" s="89"/>
      <c r="DA318" s="89"/>
      <c r="DB318" s="89"/>
      <c r="DC318" s="89"/>
      <c r="DD318" s="89"/>
      <c r="DE318" s="89"/>
      <c r="DF318" s="89"/>
      <c r="DG318" s="89"/>
      <c r="DH318" s="89"/>
      <c r="DI318" s="89"/>
      <c r="DJ318" s="89"/>
      <c r="DK318" s="89"/>
      <c r="DL318" s="89"/>
      <c r="DM318" s="89"/>
      <c r="DN318" s="89"/>
      <c r="DO318" s="89"/>
      <c r="DP318" s="89"/>
      <c r="DQ318" s="89"/>
      <c r="DR318" s="89"/>
      <c r="DS318" s="89"/>
      <c r="DT318" s="89"/>
      <c r="DU318" s="89"/>
      <c r="DV318" s="89"/>
      <c r="DW318" s="89"/>
      <c r="DX318" s="89"/>
      <c r="DY318" s="89"/>
      <c r="DZ318" s="89"/>
      <c r="EA318" s="89"/>
      <c r="EB318" s="89"/>
      <c r="EC318" s="89"/>
      <c r="ED318" s="89"/>
      <c r="EE318" s="89"/>
      <c r="EF318" s="89"/>
      <c r="EG318" s="89"/>
      <c r="EH318" s="89"/>
      <c r="EI318" s="89"/>
      <c r="EJ318" s="89"/>
      <c r="EK318" s="89"/>
      <c r="EL318" s="89"/>
      <c r="EM318" s="89"/>
      <c r="EN318" s="89"/>
      <c r="EO318" s="89"/>
    </row>
    <row r="319" spans="1:145" s="87" customFormat="1">
      <c r="C319" s="99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89"/>
      <c r="AJ319" s="89"/>
      <c r="AK319" s="89"/>
      <c r="AL319" s="89"/>
      <c r="AM319" s="89"/>
      <c r="AN319" s="89"/>
      <c r="AO319" s="89"/>
      <c r="AP319" s="89"/>
      <c r="AQ319" s="89"/>
      <c r="AR319" s="89"/>
      <c r="AS319" s="89"/>
      <c r="AT319" s="89"/>
      <c r="AU319" s="89"/>
      <c r="AV319" s="89"/>
      <c r="AW319" s="89"/>
      <c r="AX319" s="89"/>
      <c r="AY319" s="89"/>
      <c r="AZ319" s="89"/>
      <c r="BA319" s="89"/>
      <c r="BB319" s="89"/>
      <c r="BC319" s="89"/>
      <c r="BD319" s="89"/>
      <c r="BE319" s="89"/>
      <c r="BF319" s="89"/>
      <c r="BG319" s="89"/>
      <c r="BH319" s="89"/>
      <c r="BI319" s="89"/>
      <c r="BJ319" s="89"/>
      <c r="BK319" s="89"/>
      <c r="BL319" s="89"/>
      <c r="BM319" s="89"/>
      <c r="BN319" s="89"/>
      <c r="BO319" s="89"/>
      <c r="BP319" s="89"/>
      <c r="BQ319" s="89"/>
      <c r="BR319" s="89"/>
      <c r="BS319" s="89"/>
      <c r="BT319" s="89"/>
      <c r="BU319" s="89"/>
      <c r="BV319" s="89"/>
      <c r="BW319" s="89"/>
      <c r="BX319" s="89"/>
      <c r="BY319" s="89"/>
      <c r="BZ319" s="89"/>
      <c r="CA319" s="89"/>
      <c r="CB319" s="89"/>
      <c r="CC319" s="89"/>
      <c r="CD319" s="89"/>
      <c r="CE319" s="89"/>
      <c r="CF319" s="89"/>
      <c r="CG319" s="89"/>
      <c r="CH319" s="89"/>
      <c r="CI319" s="89"/>
      <c r="CJ319" s="89"/>
      <c r="CK319" s="89"/>
      <c r="CL319" s="89"/>
      <c r="CM319" s="89"/>
      <c r="CN319" s="89"/>
      <c r="CO319" s="89"/>
      <c r="CP319" s="89"/>
      <c r="CQ319" s="89"/>
      <c r="CR319" s="89"/>
      <c r="CS319" s="89"/>
      <c r="CT319" s="89"/>
      <c r="CU319" s="89"/>
      <c r="CV319" s="89"/>
      <c r="CW319" s="89"/>
      <c r="CX319" s="89"/>
      <c r="CY319" s="89"/>
      <c r="CZ319" s="89"/>
      <c r="DA319" s="89"/>
      <c r="DB319" s="89"/>
      <c r="DC319" s="89"/>
      <c r="DD319" s="89"/>
      <c r="DE319" s="89"/>
      <c r="DF319" s="89"/>
      <c r="DG319" s="89"/>
      <c r="DH319" s="89"/>
      <c r="DI319" s="89"/>
      <c r="DJ319" s="89"/>
      <c r="DK319" s="89"/>
      <c r="DL319" s="89"/>
      <c r="DM319" s="89"/>
      <c r="DN319" s="89"/>
      <c r="DO319" s="89"/>
      <c r="DP319" s="89"/>
      <c r="DQ319" s="89"/>
      <c r="DR319" s="89"/>
      <c r="DS319" s="89"/>
      <c r="DT319" s="89"/>
      <c r="DU319" s="89"/>
      <c r="DV319" s="89"/>
      <c r="DW319" s="89"/>
      <c r="DX319" s="89"/>
      <c r="DY319" s="89"/>
      <c r="DZ319" s="89"/>
      <c r="EA319" s="89"/>
      <c r="EB319" s="89"/>
      <c r="EC319" s="89"/>
      <c r="ED319" s="89"/>
      <c r="EE319" s="89"/>
      <c r="EF319" s="89"/>
      <c r="EG319" s="89"/>
      <c r="EH319" s="89"/>
      <c r="EI319" s="89"/>
      <c r="EJ319" s="89"/>
      <c r="EK319" s="89"/>
      <c r="EL319" s="89"/>
      <c r="EM319" s="89"/>
      <c r="EN319" s="89"/>
      <c r="EO319" s="89"/>
    </row>
    <row r="320" spans="1:145" s="87" customFormat="1">
      <c r="A320" s="432">
        <v>2</v>
      </c>
      <c r="B320" s="87" t="s">
        <v>20</v>
      </c>
      <c r="C320" s="99" t="s">
        <v>4</v>
      </c>
      <c r="D320" s="177">
        <f>+'[5]Revenue BG'!C90</f>
        <v>8317.4017222242437</v>
      </c>
      <c r="E320" s="177">
        <f>+'[5]Revenue BG'!D90</f>
        <v>11761.372898991161</v>
      </c>
      <c r="F320" s="177">
        <f>+'[5]Revenue BG'!E90</f>
        <v>-9827.4350601501737</v>
      </c>
      <c r="G320" s="177">
        <f>+'[5]Revenue BG'!F90</f>
        <v>-4366.5579156887552</v>
      </c>
      <c r="H320" s="177">
        <f>+'[5]Revenue BG'!G90</f>
        <v>638.60562430792652</v>
      </c>
      <c r="I320" s="177">
        <f>+'[5]Revenue BG'!H90</f>
        <v>-30590.580685392244</v>
      </c>
      <c r="J320" s="177">
        <f>+'[5]Revenue BG'!I90</f>
        <v>-14114.748736215988</v>
      </c>
      <c r="K320" s="177">
        <f>+'[5]Revenue BG'!J90</f>
        <v>17440.843625100148</v>
      </c>
      <c r="L320" s="177">
        <f>+'[5]Revenue BG'!K90</f>
        <v>14827.761433760632</v>
      </c>
      <c r="M320" s="177">
        <f>+'[5]Revenue BG'!L90</f>
        <v>-59540.442510742214</v>
      </c>
      <c r="N320" s="177">
        <f>+'[5]Revenue BG'!M90</f>
        <v>-60093.244976775961</v>
      </c>
      <c r="O320" s="177">
        <f>+'[5]Revenue BG'!N90</f>
        <v>-59390.214231088161</v>
      </c>
      <c r="P320" s="101">
        <f>SUM(D320:O320)</f>
        <v>-184937.23881166941</v>
      </c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89"/>
      <c r="AJ320" s="89"/>
      <c r="AK320" s="89"/>
      <c r="AL320" s="89"/>
      <c r="AM320" s="89"/>
      <c r="AN320" s="89"/>
      <c r="AO320" s="89"/>
      <c r="AP320" s="89"/>
      <c r="AQ320" s="89"/>
      <c r="AR320" s="89"/>
      <c r="AS320" s="89"/>
      <c r="AT320" s="89"/>
      <c r="AU320" s="89"/>
      <c r="AV320" s="89"/>
      <c r="AW320" s="89"/>
      <c r="AX320" s="89"/>
      <c r="AY320" s="89"/>
      <c r="AZ320" s="89"/>
      <c r="BA320" s="89"/>
      <c r="BB320" s="89"/>
      <c r="BC320" s="89"/>
      <c r="BD320" s="89"/>
      <c r="BE320" s="89"/>
      <c r="BF320" s="89"/>
      <c r="BG320" s="89"/>
      <c r="BH320" s="89"/>
      <c r="BI320" s="89"/>
      <c r="BJ320" s="89"/>
      <c r="BK320" s="89"/>
      <c r="BL320" s="89"/>
      <c r="BM320" s="89"/>
      <c r="BN320" s="89"/>
      <c r="BO320" s="89"/>
      <c r="BP320" s="89"/>
      <c r="BQ320" s="89"/>
      <c r="BR320" s="89"/>
      <c r="BS320" s="89"/>
      <c r="BT320" s="89"/>
      <c r="BU320" s="89"/>
      <c r="BV320" s="89"/>
      <c r="BW320" s="89"/>
      <c r="BX320" s="89"/>
      <c r="BY320" s="89"/>
      <c r="BZ320" s="89"/>
      <c r="CA320" s="89"/>
      <c r="CB320" s="89"/>
      <c r="CC320" s="89"/>
      <c r="CD320" s="89"/>
      <c r="CE320" s="89"/>
      <c r="CF320" s="89"/>
      <c r="CG320" s="89"/>
      <c r="CH320" s="89"/>
      <c r="CI320" s="89"/>
      <c r="CJ320" s="89"/>
      <c r="CK320" s="89"/>
      <c r="CL320" s="89"/>
      <c r="CM320" s="89"/>
      <c r="CN320" s="89"/>
      <c r="CO320" s="89"/>
      <c r="CP320" s="89"/>
      <c r="CQ320" s="89"/>
      <c r="CR320" s="89"/>
      <c r="CS320" s="89"/>
      <c r="CT320" s="89"/>
      <c r="CU320" s="89"/>
      <c r="CV320" s="89"/>
      <c r="CW320" s="89"/>
      <c r="CX320" s="89"/>
      <c r="CY320" s="89"/>
      <c r="CZ320" s="89"/>
      <c r="DA320" s="89"/>
      <c r="DB320" s="89"/>
      <c r="DC320" s="89"/>
      <c r="DD320" s="89"/>
      <c r="DE320" s="89"/>
      <c r="DF320" s="89"/>
      <c r="DG320" s="89"/>
      <c r="DH320" s="89"/>
      <c r="DI320" s="89"/>
      <c r="DJ320" s="89"/>
      <c r="DK320" s="89"/>
      <c r="DL320" s="89"/>
      <c r="DM320" s="89"/>
      <c r="DN320" s="89"/>
      <c r="DO320" s="89"/>
      <c r="DP320" s="89"/>
      <c r="DQ320" s="89"/>
      <c r="DR320" s="89"/>
      <c r="DS320" s="89"/>
      <c r="DT320" s="89"/>
      <c r="DU320" s="89"/>
      <c r="DV320" s="89"/>
      <c r="DW320" s="89"/>
      <c r="DX320" s="89"/>
      <c r="DY320" s="89"/>
      <c r="DZ320" s="89"/>
      <c r="EA320" s="89"/>
      <c r="EB320" s="89"/>
      <c r="EC320" s="89"/>
      <c r="ED320" s="89"/>
      <c r="EE320" s="89"/>
      <c r="EF320" s="89"/>
      <c r="EG320" s="89"/>
      <c r="EH320" s="89"/>
      <c r="EI320" s="89"/>
      <c r="EJ320" s="89"/>
      <c r="EK320" s="89"/>
      <c r="EL320" s="89"/>
      <c r="EM320" s="89"/>
      <c r="EN320" s="89"/>
      <c r="EO320" s="89"/>
    </row>
    <row r="321" spans="1:145" s="87" customFormat="1">
      <c r="A321" s="432"/>
      <c r="C321" s="99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  <c r="O321" s="177"/>
      <c r="P321" s="101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89"/>
      <c r="AJ321" s="89"/>
      <c r="AK321" s="89"/>
      <c r="AL321" s="89"/>
      <c r="AM321" s="89"/>
      <c r="AN321" s="89"/>
      <c r="AO321" s="89"/>
      <c r="AP321" s="89"/>
      <c r="AQ321" s="89"/>
      <c r="AR321" s="89"/>
      <c r="AS321" s="89"/>
      <c r="AT321" s="89"/>
      <c r="AU321" s="89"/>
      <c r="AV321" s="89"/>
      <c r="AW321" s="89"/>
      <c r="AX321" s="89"/>
      <c r="AY321" s="89"/>
      <c r="AZ321" s="89"/>
      <c r="BA321" s="89"/>
      <c r="BB321" s="89"/>
      <c r="BC321" s="89"/>
      <c r="BD321" s="89"/>
      <c r="BE321" s="89"/>
      <c r="BF321" s="89"/>
      <c r="BG321" s="89"/>
      <c r="BH321" s="89"/>
      <c r="BI321" s="89"/>
      <c r="BJ321" s="89"/>
      <c r="BK321" s="89"/>
      <c r="BL321" s="89"/>
      <c r="BM321" s="89"/>
      <c r="BN321" s="89"/>
      <c r="BO321" s="89"/>
      <c r="BP321" s="89"/>
      <c r="BQ321" s="89"/>
      <c r="BR321" s="89"/>
      <c r="BS321" s="89"/>
      <c r="BT321" s="89"/>
      <c r="BU321" s="89"/>
      <c r="BV321" s="89"/>
      <c r="BW321" s="89"/>
      <c r="BX321" s="89"/>
      <c r="BY321" s="89"/>
      <c r="BZ321" s="89"/>
      <c r="CA321" s="89"/>
      <c r="CB321" s="89"/>
      <c r="CC321" s="89"/>
      <c r="CD321" s="89"/>
      <c r="CE321" s="89"/>
      <c r="CF321" s="89"/>
      <c r="CG321" s="89"/>
      <c r="CH321" s="89"/>
      <c r="CI321" s="89"/>
      <c r="CJ321" s="89"/>
      <c r="CK321" s="89"/>
      <c r="CL321" s="89"/>
      <c r="CM321" s="89"/>
      <c r="CN321" s="89"/>
      <c r="CO321" s="89"/>
      <c r="CP321" s="89"/>
      <c r="CQ321" s="89"/>
      <c r="CR321" s="89"/>
      <c r="CS321" s="89"/>
      <c r="CT321" s="89"/>
      <c r="CU321" s="89"/>
      <c r="CV321" s="89"/>
      <c r="CW321" s="89"/>
      <c r="CX321" s="89"/>
      <c r="CY321" s="89"/>
      <c r="CZ321" s="89"/>
      <c r="DA321" s="89"/>
      <c r="DB321" s="89"/>
      <c r="DC321" s="89"/>
      <c r="DD321" s="89"/>
      <c r="DE321" s="89"/>
      <c r="DF321" s="89"/>
      <c r="DG321" s="89"/>
      <c r="DH321" s="89"/>
      <c r="DI321" s="89"/>
      <c r="DJ321" s="89"/>
      <c r="DK321" s="89"/>
      <c r="DL321" s="89"/>
      <c r="DM321" s="89"/>
      <c r="DN321" s="89"/>
      <c r="DO321" s="89"/>
      <c r="DP321" s="89"/>
      <c r="DQ321" s="89"/>
      <c r="DR321" s="89"/>
      <c r="DS321" s="89"/>
      <c r="DT321" s="89"/>
      <c r="DU321" s="89"/>
      <c r="DV321" s="89"/>
      <c r="DW321" s="89"/>
      <c r="DX321" s="89"/>
      <c r="DY321" s="89"/>
      <c r="DZ321" s="89"/>
      <c r="EA321" s="89"/>
      <c r="EB321" s="89"/>
      <c r="EC321" s="89"/>
      <c r="ED321" s="89"/>
      <c r="EE321" s="89"/>
      <c r="EF321" s="89"/>
      <c r="EG321" s="89"/>
      <c r="EH321" s="89"/>
      <c r="EI321" s="89"/>
      <c r="EJ321" s="89"/>
      <c r="EK321" s="89"/>
      <c r="EL321" s="89"/>
      <c r="EM321" s="89"/>
      <c r="EN321" s="89"/>
      <c r="EO321" s="89"/>
    </row>
    <row r="322" spans="1:145" s="87" customFormat="1">
      <c r="A322" s="432">
        <v>3</v>
      </c>
      <c r="B322" s="87" t="s">
        <v>81</v>
      </c>
      <c r="C322" s="157" t="s">
        <v>4</v>
      </c>
      <c r="D322" s="177">
        <f>+'[5]Revenue BG'!C91</f>
        <v>92624.486426885662</v>
      </c>
      <c r="E322" s="177">
        <f>+'[5]Revenue BG'!D91</f>
        <v>139878.64595456456</v>
      </c>
      <c r="F322" s="177">
        <f>+'[5]Revenue BG'!E91</f>
        <v>-108538.73862970517</v>
      </c>
      <c r="G322" s="177">
        <f>+'[5]Revenue BG'!F91</f>
        <v>-72844.207108743663</v>
      </c>
      <c r="H322" s="177">
        <f>+'[5]Revenue BG'!G91</f>
        <v>1614.6166497806271</v>
      </c>
      <c r="I322" s="177">
        <f>+'[5]Revenue BG'!H91</f>
        <v>-429446.16346444603</v>
      </c>
      <c r="J322" s="177">
        <f>+'[5]Revenue BG'!I91</f>
        <v>-183937.80023062768</v>
      </c>
      <c r="K322" s="177">
        <f>+'[5]Revenue BG'!J91</f>
        <v>211467.76195359678</v>
      </c>
      <c r="L322" s="177">
        <f>+'[5]Revenue BG'!K91</f>
        <v>146317.53328902772</v>
      </c>
      <c r="M322" s="177">
        <f>+'[5]Revenue BG'!L91</f>
        <v>-532084.10946886637</v>
      </c>
      <c r="N322" s="177">
        <f>+'[5]Revenue BG'!M91</f>
        <v>-500890.23450365715</v>
      </c>
      <c r="O322" s="177">
        <f>+'[5]Revenue BG'!N91</f>
        <v>-508353.92358344537</v>
      </c>
      <c r="P322" s="101">
        <f>SUM(D322:O322)</f>
        <v>-1744192.1327156362</v>
      </c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89"/>
      <c r="AJ322" s="89"/>
      <c r="AK322" s="89"/>
      <c r="AL322" s="89"/>
      <c r="AM322" s="89"/>
      <c r="AN322" s="89"/>
      <c r="AO322" s="89"/>
      <c r="AP322" s="89"/>
      <c r="AQ322" s="89"/>
      <c r="AR322" s="89"/>
      <c r="AS322" s="89"/>
      <c r="AT322" s="89"/>
      <c r="AU322" s="89"/>
      <c r="AV322" s="89"/>
      <c r="AW322" s="89"/>
      <c r="AX322" s="89"/>
      <c r="AY322" s="89"/>
      <c r="AZ322" s="89"/>
      <c r="BA322" s="89"/>
      <c r="BB322" s="89"/>
      <c r="BC322" s="89"/>
      <c r="BD322" s="89"/>
      <c r="BE322" s="89"/>
      <c r="BF322" s="89"/>
      <c r="BG322" s="89"/>
      <c r="BH322" s="89"/>
      <c r="BI322" s="89"/>
      <c r="BJ322" s="89"/>
      <c r="BK322" s="89"/>
      <c r="BL322" s="89"/>
      <c r="BM322" s="89"/>
      <c r="BN322" s="89"/>
      <c r="BO322" s="89"/>
      <c r="BP322" s="89"/>
      <c r="BQ322" s="89"/>
      <c r="BR322" s="89"/>
      <c r="BS322" s="89"/>
      <c r="BT322" s="89"/>
      <c r="BU322" s="89"/>
      <c r="BV322" s="89"/>
      <c r="BW322" s="89"/>
      <c r="BX322" s="89"/>
      <c r="BY322" s="89"/>
      <c r="BZ322" s="89"/>
      <c r="CA322" s="89"/>
      <c r="CB322" s="89"/>
      <c r="CC322" s="89"/>
      <c r="CD322" s="89"/>
      <c r="CE322" s="89"/>
      <c r="CF322" s="89"/>
      <c r="CG322" s="89"/>
      <c r="CH322" s="89"/>
      <c r="CI322" s="89"/>
      <c r="CJ322" s="89"/>
      <c r="CK322" s="89"/>
      <c r="CL322" s="89"/>
      <c r="CM322" s="89"/>
      <c r="CN322" s="89"/>
      <c r="CO322" s="89"/>
      <c r="CP322" s="89"/>
      <c r="CQ322" s="89"/>
      <c r="CR322" s="89"/>
      <c r="CS322" s="89"/>
      <c r="CT322" s="89"/>
      <c r="CU322" s="89"/>
      <c r="CV322" s="89"/>
      <c r="CW322" s="89"/>
      <c r="CX322" s="89"/>
      <c r="CY322" s="89"/>
      <c r="CZ322" s="89"/>
      <c r="DA322" s="89"/>
      <c r="DB322" s="89"/>
      <c r="DC322" s="89"/>
      <c r="DD322" s="89"/>
      <c r="DE322" s="89"/>
      <c r="DF322" s="89"/>
      <c r="DG322" s="89"/>
      <c r="DH322" s="89"/>
      <c r="DI322" s="89"/>
      <c r="DJ322" s="89"/>
      <c r="DK322" s="89"/>
      <c r="DL322" s="89"/>
      <c r="DM322" s="89"/>
      <c r="DN322" s="89"/>
      <c r="DO322" s="89"/>
      <c r="DP322" s="89"/>
      <c r="DQ322" s="89"/>
      <c r="DR322" s="89"/>
      <c r="DS322" s="89"/>
      <c r="DT322" s="89"/>
      <c r="DU322" s="89"/>
      <c r="DV322" s="89"/>
      <c r="DW322" s="89"/>
      <c r="DX322" s="89"/>
      <c r="DY322" s="89"/>
      <c r="DZ322" s="89"/>
      <c r="EA322" s="89"/>
      <c r="EB322" s="89"/>
      <c r="EC322" s="89"/>
      <c r="ED322" s="89"/>
      <c r="EE322" s="89"/>
      <c r="EF322" s="89"/>
      <c r="EG322" s="89"/>
      <c r="EH322" s="89"/>
      <c r="EI322" s="89"/>
      <c r="EJ322" s="89"/>
      <c r="EK322" s="89"/>
      <c r="EL322" s="89"/>
      <c r="EM322" s="89"/>
      <c r="EN322" s="89"/>
      <c r="EO322" s="89"/>
    </row>
    <row r="323" spans="1:145" s="87" customFormat="1">
      <c r="A323" s="432">
        <v>4</v>
      </c>
      <c r="B323" s="87" t="s">
        <v>85</v>
      </c>
      <c r="C323" s="157" t="s">
        <v>4</v>
      </c>
      <c r="D323" s="388">
        <f>+'[5]Revenue BG'!C92</f>
        <v>12409.804780518383</v>
      </c>
      <c r="E323" s="388">
        <f>+'[5]Revenue BG'!D92</f>
        <v>15173.855644069747</v>
      </c>
      <c r="F323" s="388">
        <f>+'[5]Revenue BG'!E92</f>
        <v>-5908.3817897958616</v>
      </c>
      <c r="G323" s="388">
        <f>+'[5]Revenue BG'!F92</f>
        <v>-7484.6400938250772</v>
      </c>
      <c r="H323" s="388">
        <f>+'[5]Revenue BG'!G92</f>
        <v>1664.7075981363814</v>
      </c>
      <c r="I323" s="388">
        <f>+'[5]Revenue BG'!H92</f>
        <v>-42294.533598681039</v>
      </c>
      <c r="J323" s="388">
        <f>+'[5]Revenue BG'!I92</f>
        <v>-15528.181670933827</v>
      </c>
      <c r="K323" s="388">
        <f>+'[5]Revenue BG'!J92</f>
        <v>25757.198416873369</v>
      </c>
      <c r="L323" s="388">
        <f>+'[5]Revenue BG'!K92</f>
        <v>10889.728439956583</v>
      </c>
      <c r="M323" s="388">
        <f>+'[5]Revenue BG'!L92</f>
        <v>-40159.011787807663</v>
      </c>
      <c r="N323" s="388">
        <f>+'[5]Revenue BG'!M92</f>
        <v>-30083.231749441111</v>
      </c>
      <c r="O323" s="388">
        <f>+'[5]Revenue BG'!N92</f>
        <v>-29573.640715704769</v>
      </c>
      <c r="P323" s="388">
        <f>SUM(D323:O323)</f>
        <v>-105136.32652663488</v>
      </c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89"/>
      <c r="AJ323" s="89"/>
      <c r="AK323" s="89"/>
      <c r="AL323" s="89"/>
      <c r="AM323" s="89"/>
      <c r="AN323" s="89"/>
      <c r="AO323" s="89"/>
      <c r="AP323" s="89"/>
      <c r="AQ323" s="89"/>
      <c r="AR323" s="89"/>
      <c r="AS323" s="89"/>
      <c r="AT323" s="89"/>
      <c r="AU323" s="89"/>
      <c r="AV323" s="89"/>
      <c r="AW323" s="89"/>
      <c r="AX323" s="89"/>
      <c r="AY323" s="89"/>
      <c r="AZ323" s="89"/>
      <c r="BA323" s="89"/>
      <c r="BB323" s="89"/>
      <c r="BC323" s="89"/>
      <c r="BD323" s="89"/>
      <c r="BE323" s="89"/>
      <c r="BF323" s="89"/>
      <c r="BG323" s="89"/>
      <c r="BH323" s="89"/>
      <c r="BI323" s="89"/>
      <c r="BJ323" s="89"/>
      <c r="BK323" s="89"/>
      <c r="BL323" s="89"/>
      <c r="BM323" s="89"/>
      <c r="BN323" s="89"/>
      <c r="BO323" s="89"/>
      <c r="BP323" s="89"/>
      <c r="BQ323" s="89"/>
      <c r="BR323" s="89"/>
      <c r="BS323" s="89"/>
      <c r="BT323" s="89"/>
      <c r="BU323" s="89"/>
      <c r="BV323" s="89"/>
      <c r="BW323" s="89"/>
      <c r="BX323" s="89"/>
      <c r="BY323" s="89"/>
      <c r="BZ323" s="89"/>
      <c r="CA323" s="89"/>
      <c r="CB323" s="89"/>
      <c r="CC323" s="89"/>
      <c r="CD323" s="89"/>
      <c r="CE323" s="89"/>
      <c r="CF323" s="89"/>
      <c r="CG323" s="89"/>
      <c r="CH323" s="89"/>
      <c r="CI323" s="89"/>
      <c r="CJ323" s="89"/>
      <c r="CK323" s="89"/>
      <c r="CL323" s="89"/>
      <c r="CM323" s="89"/>
      <c r="CN323" s="89"/>
      <c r="CO323" s="89"/>
      <c r="CP323" s="89"/>
      <c r="CQ323" s="89"/>
      <c r="CR323" s="89"/>
      <c r="CS323" s="89"/>
      <c r="CT323" s="89"/>
      <c r="CU323" s="89"/>
      <c r="CV323" s="89"/>
      <c r="CW323" s="89"/>
      <c r="CX323" s="89"/>
      <c r="CY323" s="89"/>
      <c r="CZ323" s="89"/>
      <c r="DA323" s="89"/>
      <c r="DB323" s="89"/>
      <c r="DC323" s="89"/>
      <c r="DD323" s="89"/>
      <c r="DE323" s="89"/>
      <c r="DF323" s="89"/>
      <c r="DG323" s="89"/>
      <c r="DH323" s="89"/>
      <c r="DI323" s="89"/>
      <c r="DJ323" s="89"/>
      <c r="DK323" s="89"/>
      <c r="DL323" s="89"/>
      <c r="DM323" s="89"/>
      <c r="DN323" s="89"/>
      <c r="DO323" s="89"/>
      <c r="DP323" s="89"/>
      <c r="DQ323" s="89"/>
      <c r="DR323" s="89"/>
      <c r="DS323" s="89"/>
      <c r="DT323" s="89"/>
      <c r="DU323" s="89"/>
      <c r="DV323" s="89"/>
      <c r="DW323" s="89"/>
      <c r="DX323" s="89"/>
      <c r="DY323" s="89"/>
      <c r="DZ323" s="89"/>
      <c r="EA323" s="89"/>
      <c r="EB323" s="89"/>
      <c r="EC323" s="89"/>
      <c r="ED323" s="89"/>
      <c r="EE323" s="89"/>
      <c r="EF323" s="89"/>
      <c r="EG323" s="89"/>
      <c r="EH323" s="89"/>
      <c r="EI323" s="89"/>
      <c r="EJ323" s="89"/>
      <c r="EK323" s="89"/>
      <c r="EL323" s="89"/>
      <c r="EM323" s="89"/>
      <c r="EN323" s="89"/>
      <c r="EO323" s="89"/>
    </row>
    <row r="324" spans="1:145" s="87" customFormat="1">
      <c r="A324" s="432">
        <v>5</v>
      </c>
      <c r="B324" s="131" t="s">
        <v>18</v>
      </c>
      <c r="C324" s="99"/>
      <c r="D324" s="177">
        <f>SUM(D322:D323)</f>
        <v>105034.29120740405</v>
      </c>
      <c r="E324" s="177">
        <f t="shared" ref="E324:O324" si="127">SUM(E322:E323)</f>
        <v>155052.50159863432</v>
      </c>
      <c r="F324" s="177">
        <f t="shared" si="127"/>
        <v>-114447.12041950104</v>
      </c>
      <c r="G324" s="177">
        <f t="shared" si="127"/>
        <v>-80328.847202568737</v>
      </c>
      <c r="H324" s="177">
        <f t="shared" si="127"/>
        <v>3279.3242479170085</v>
      </c>
      <c r="I324" s="177">
        <f t="shared" si="127"/>
        <v>-471740.69706312707</v>
      </c>
      <c r="J324" s="177">
        <f t="shared" si="127"/>
        <v>-199465.98190156149</v>
      </c>
      <c r="K324" s="177">
        <f t="shared" si="127"/>
        <v>237224.96037047016</v>
      </c>
      <c r="L324" s="177">
        <f t="shared" si="127"/>
        <v>157207.2617289843</v>
      </c>
      <c r="M324" s="177">
        <f t="shared" si="127"/>
        <v>-572243.12125667406</v>
      </c>
      <c r="N324" s="177">
        <f t="shared" si="127"/>
        <v>-530973.46625309822</v>
      </c>
      <c r="O324" s="177">
        <f t="shared" si="127"/>
        <v>-537927.56429915014</v>
      </c>
      <c r="P324" s="177">
        <f>SUM(P322:P323)</f>
        <v>-1849328.459242271</v>
      </c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89"/>
      <c r="AJ324" s="89"/>
      <c r="AK324" s="89"/>
      <c r="AL324" s="89"/>
      <c r="AM324" s="89"/>
      <c r="AN324" s="89"/>
      <c r="AO324" s="89"/>
      <c r="AP324" s="89"/>
      <c r="AQ324" s="89"/>
      <c r="AR324" s="89"/>
      <c r="AS324" s="89"/>
      <c r="AT324" s="89"/>
      <c r="AU324" s="89"/>
      <c r="AV324" s="89"/>
      <c r="AW324" s="89"/>
      <c r="AX324" s="89"/>
      <c r="AY324" s="89"/>
      <c r="AZ324" s="89"/>
      <c r="BA324" s="89"/>
      <c r="BB324" s="89"/>
      <c r="BC324" s="89"/>
      <c r="BD324" s="89"/>
      <c r="BE324" s="89"/>
      <c r="BF324" s="89"/>
      <c r="BG324" s="89"/>
      <c r="BH324" s="89"/>
      <c r="BI324" s="89"/>
      <c r="BJ324" s="89"/>
      <c r="BK324" s="89"/>
      <c r="BL324" s="89"/>
      <c r="BM324" s="89"/>
      <c r="BN324" s="89"/>
      <c r="BO324" s="89"/>
      <c r="BP324" s="89"/>
      <c r="BQ324" s="89"/>
      <c r="BR324" s="89"/>
      <c r="BS324" s="89"/>
      <c r="BT324" s="89"/>
      <c r="BU324" s="89"/>
      <c r="BV324" s="89"/>
      <c r="BW324" s="89"/>
      <c r="BX324" s="89"/>
      <c r="BY324" s="89"/>
      <c r="BZ324" s="89"/>
      <c r="CA324" s="89"/>
      <c r="CB324" s="89"/>
      <c r="CC324" s="89"/>
      <c r="CD324" s="89"/>
      <c r="CE324" s="89"/>
      <c r="CF324" s="89"/>
      <c r="CG324" s="89"/>
      <c r="CH324" s="89"/>
      <c r="CI324" s="89"/>
      <c r="CJ324" s="89"/>
      <c r="CK324" s="89"/>
      <c r="CL324" s="89"/>
      <c r="CM324" s="89"/>
      <c r="CN324" s="89"/>
      <c r="CO324" s="89"/>
      <c r="CP324" s="89"/>
      <c r="CQ324" s="89"/>
      <c r="CR324" s="89"/>
      <c r="CS324" s="89"/>
      <c r="CT324" s="89"/>
      <c r="CU324" s="89"/>
      <c r="CV324" s="89"/>
      <c r="CW324" s="89"/>
      <c r="CX324" s="89"/>
      <c r="CY324" s="89"/>
      <c r="CZ324" s="89"/>
      <c r="DA324" s="89"/>
      <c r="DB324" s="89"/>
      <c r="DC324" s="89"/>
      <c r="DD324" s="89"/>
      <c r="DE324" s="89"/>
      <c r="DF324" s="89"/>
      <c r="DG324" s="89"/>
      <c r="DH324" s="89"/>
      <c r="DI324" s="89"/>
      <c r="DJ324" s="89"/>
      <c r="DK324" s="89"/>
      <c r="DL324" s="89"/>
      <c r="DM324" s="89"/>
      <c r="DN324" s="89"/>
      <c r="DO324" s="89"/>
      <c r="DP324" s="89"/>
      <c r="DQ324" s="89"/>
      <c r="DR324" s="89"/>
      <c r="DS324" s="89"/>
      <c r="DT324" s="89"/>
      <c r="DU324" s="89"/>
      <c r="DV324" s="89"/>
      <c r="DW324" s="89"/>
      <c r="DX324" s="89"/>
      <c r="DY324" s="89"/>
      <c r="DZ324" s="89"/>
      <c r="EA324" s="89"/>
      <c r="EB324" s="89"/>
      <c r="EC324" s="89"/>
      <c r="ED324" s="89"/>
      <c r="EE324" s="89"/>
      <c r="EF324" s="89"/>
      <c r="EG324" s="89"/>
      <c r="EH324" s="89"/>
      <c r="EI324" s="89"/>
      <c r="EJ324" s="89"/>
      <c r="EK324" s="89"/>
      <c r="EL324" s="89"/>
      <c r="EM324" s="89"/>
      <c r="EN324" s="89"/>
      <c r="EO324" s="89"/>
    </row>
    <row r="325" spans="1:145" s="87" customFormat="1">
      <c r="B325" s="147"/>
      <c r="C325" s="99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  <c r="O325" s="177"/>
      <c r="P325" s="177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89"/>
      <c r="AJ325" s="89"/>
      <c r="AK325" s="89"/>
      <c r="AL325" s="89"/>
      <c r="AM325" s="89"/>
      <c r="AN325" s="89"/>
      <c r="AO325" s="89"/>
      <c r="AP325" s="89"/>
      <c r="AQ325" s="89"/>
      <c r="AR325" s="89"/>
      <c r="AS325" s="89"/>
      <c r="AT325" s="89"/>
      <c r="AU325" s="89"/>
      <c r="AV325" s="89"/>
      <c r="AW325" s="89"/>
      <c r="AX325" s="89"/>
      <c r="AY325" s="89"/>
      <c r="AZ325" s="89"/>
      <c r="BA325" s="89"/>
      <c r="BB325" s="89"/>
      <c r="BC325" s="89"/>
      <c r="BD325" s="89"/>
      <c r="BE325" s="89"/>
      <c r="BF325" s="89"/>
      <c r="BG325" s="89"/>
      <c r="BH325" s="89"/>
      <c r="BI325" s="89"/>
      <c r="BJ325" s="89"/>
      <c r="BK325" s="89"/>
      <c r="BL325" s="89"/>
      <c r="BM325" s="89"/>
      <c r="BN325" s="89"/>
      <c r="BO325" s="89"/>
      <c r="BP325" s="89"/>
      <c r="BQ325" s="89"/>
      <c r="BR325" s="89"/>
      <c r="BS325" s="89"/>
      <c r="BT325" s="89"/>
      <c r="BU325" s="89"/>
      <c r="BV325" s="89"/>
      <c r="BW325" s="89"/>
      <c r="BX325" s="89"/>
      <c r="BY325" s="89"/>
      <c r="BZ325" s="89"/>
      <c r="CA325" s="89"/>
      <c r="CB325" s="89"/>
      <c r="CC325" s="89"/>
      <c r="CD325" s="89"/>
      <c r="CE325" s="89"/>
      <c r="CF325" s="89"/>
      <c r="CG325" s="89"/>
      <c r="CH325" s="89"/>
      <c r="CI325" s="89"/>
      <c r="CJ325" s="89"/>
      <c r="CK325" s="89"/>
      <c r="CL325" s="89"/>
      <c r="CM325" s="89"/>
      <c r="CN325" s="89"/>
      <c r="CO325" s="89"/>
      <c r="CP325" s="89"/>
      <c r="CQ325" s="89"/>
      <c r="CR325" s="89"/>
      <c r="CS325" s="89"/>
      <c r="CT325" s="89"/>
      <c r="CU325" s="89"/>
      <c r="CV325" s="89"/>
      <c r="CW325" s="89"/>
      <c r="CX325" s="89"/>
      <c r="CY325" s="89"/>
      <c r="CZ325" s="89"/>
      <c r="DA325" s="89"/>
      <c r="DB325" s="89"/>
      <c r="DC325" s="89"/>
      <c r="DD325" s="89"/>
      <c r="DE325" s="89"/>
      <c r="DF325" s="89"/>
      <c r="DG325" s="89"/>
      <c r="DH325" s="89"/>
      <c r="DI325" s="89"/>
      <c r="DJ325" s="89"/>
      <c r="DK325" s="89"/>
      <c r="DL325" s="89"/>
      <c r="DM325" s="89"/>
      <c r="DN325" s="89"/>
      <c r="DO325" s="89"/>
      <c r="DP325" s="89"/>
      <c r="DQ325" s="89"/>
      <c r="DR325" s="89"/>
      <c r="DS325" s="89"/>
      <c r="DT325" s="89"/>
      <c r="DU325" s="89"/>
      <c r="DV325" s="89"/>
      <c r="DW325" s="89"/>
      <c r="DX325" s="89"/>
      <c r="DY325" s="89"/>
      <c r="DZ325" s="89"/>
      <c r="EA325" s="89"/>
      <c r="EB325" s="89"/>
      <c r="EC325" s="89"/>
      <c r="ED325" s="89"/>
      <c r="EE325" s="89"/>
      <c r="EF325" s="89"/>
      <c r="EG325" s="89"/>
      <c r="EH325" s="89"/>
      <c r="EI325" s="89"/>
      <c r="EJ325" s="89"/>
      <c r="EK325" s="89"/>
      <c r="EL325" s="89"/>
      <c r="EM325" s="89"/>
      <c r="EN325" s="89"/>
      <c r="EO325" s="89"/>
    </row>
    <row r="326" spans="1:145" s="87" customFormat="1">
      <c r="A326" s="432">
        <v>6</v>
      </c>
      <c r="B326" s="87" t="s">
        <v>82</v>
      </c>
      <c r="C326" s="157" t="s">
        <v>5</v>
      </c>
      <c r="D326" s="177">
        <f>+'[5]Revenue BG'!C93</f>
        <v>283.16557668625319</v>
      </c>
      <c r="E326" s="177">
        <f>+'[5]Revenue BG'!D93</f>
        <v>444.17995703643106</v>
      </c>
      <c r="F326" s="177">
        <f>+'[5]Revenue BG'!E93</f>
        <v>-1077.9072035580716</v>
      </c>
      <c r="G326" s="177">
        <f>+'[5]Revenue BG'!F93</f>
        <v>-1280.7547640510063</v>
      </c>
      <c r="H326" s="177">
        <f>+'[5]Revenue BG'!G93</f>
        <v>-533.29294477539622</v>
      </c>
      <c r="I326" s="177">
        <f>+'[5]Revenue BG'!H93</f>
        <v>-4889.5763497431299</v>
      </c>
      <c r="J326" s="177">
        <f>+'[5]Revenue BG'!I93</f>
        <v>-2510.7439200812173</v>
      </c>
      <c r="K326" s="177">
        <f>+'[5]Revenue BG'!J93</f>
        <v>2377.6232372174281</v>
      </c>
      <c r="L326" s="177">
        <f>+'[5]Revenue BG'!K93</f>
        <v>351.90486197358774</v>
      </c>
      <c r="M326" s="177">
        <f>+'[5]Revenue BG'!L93</f>
        <v>-4930.9196076753769</v>
      </c>
      <c r="N326" s="177">
        <f>+'[5]Revenue BG'!M93</f>
        <v>-3621.1189207939406</v>
      </c>
      <c r="O326" s="177">
        <f>+'[5]Revenue BG'!N93</f>
        <v>-3332.9423284947138</v>
      </c>
      <c r="P326" s="101">
        <f>SUM(D326:O326)</f>
        <v>-18720.382406259152</v>
      </c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89"/>
      <c r="AJ326" s="89"/>
      <c r="AK326" s="89"/>
      <c r="AL326" s="89"/>
      <c r="AM326" s="89"/>
      <c r="AN326" s="89"/>
      <c r="AO326" s="89"/>
      <c r="AP326" s="89"/>
      <c r="AQ326" s="89"/>
      <c r="AR326" s="89"/>
      <c r="AS326" s="89"/>
      <c r="AT326" s="89"/>
      <c r="AU326" s="89"/>
      <c r="AV326" s="89"/>
      <c r="AW326" s="89"/>
      <c r="AX326" s="89"/>
      <c r="AY326" s="89"/>
      <c r="AZ326" s="89"/>
      <c r="BA326" s="89"/>
      <c r="BB326" s="89"/>
      <c r="BC326" s="89"/>
      <c r="BD326" s="89"/>
      <c r="BE326" s="89"/>
      <c r="BF326" s="89"/>
      <c r="BG326" s="89"/>
      <c r="BH326" s="89"/>
      <c r="BI326" s="89"/>
      <c r="BJ326" s="89"/>
      <c r="BK326" s="89"/>
      <c r="BL326" s="89"/>
      <c r="BM326" s="89"/>
      <c r="BN326" s="89"/>
      <c r="BO326" s="89"/>
      <c r="BP326" s="89"/>
      <c r="BQ326" s="89"/>
      <c r="BR326" s="89"/>
      <c r="BS326" s="89"/>
      <c r="BT326" s="89"/>
      <c r="BU326" s="89"/>
      <c r="BV326" s="89"/>
      <c r="BW326" s="89"/>
      <c r="BX326" s="89"/>
      <c r="BY326" s="89"/>
      <c r="BZ326" s="89"/>
      <c r="CA326" s="89"/>
      <c r="CB326" s="89"/>
      <c r="CC326" s="89"/>
      <c r="CD326" s="89"/>
      <c r="CE326" s="89"/>
      <c r="CF326" s="89"/>
      <c r="CG326" s="89"/>
      <c r="CH326" s="89"/>
      <c r="CI326" s="89"/>
      <c r="CJ326" s="89"/>
      <c r="CK326" s="89"/>
      <c r="CL326" s="89"/>
      <c r="CM326" s="89"/>
      <c r="CN326" s="89"/>
      <c r="CO326" s="89"/>
      <c r="CP326" s="89"/>
      <c r="CQ326" s="89"/>
      <c r="CR326" s="89"/>
      <c r="CS326" s="89"/>
      <c r="CT326" s="89"/>
      <c r="CU326" s="89"/>
      <c r="CV326" s="89"/>
      <c r="CW326" s="89"/>
      <c r="CX326" s="89"/>
      <c r="CY326" s="89"/>
      <c r="CZ326" s="89"/>
      <c r="DA326" s="89"/>
      <c r="DB326" s="89"/>
      <c r="DC326" s="89"/>
      <c r="DD326" s="89"/>
      <c r="DE326" s="89"/>
      <c r="DF326" s="89"/>
      <c r="DG326" s="89"/>
      <c r="DH326" s="89"/>
      <c r="DI326" s="89"/>
      <c r="DJ326" s="89"/>
      <c r="DK326" s="89"/>
      <c r="DL326" s="89"/>
      <c r="DM326" s="89"/>
      <c r="DN326" s="89"/>
      <c r="DO326" s="89"/>
      <c r="DP326" s="89"/>
      <c r="DQ326" s="89"/>
      <c r="DR326" s="89"/>
      <c r="DS326" s="89"/>
      <c r="DT326" s="89"/>
      <c r="DU326" s="89"/>
      <c r="DV326" s="89"/>
      <c r="DW326" s="89"/>
      <c r="DX326" s="89"/>
      <c r="DY326" s="89"/>
      <c r="DZ326" s="89"/>
      <c r="EA326" s="89"/>
      <c r="EB326" s="89"/>
      <c r="EC326" s="89"/>
      <c r="ED326" s="89"/>
      <c r="EE326" s="89"/>
      <c r="EF326" s="89"/>
      <c r="EG326" s="89"/>
      <c r="EH326" s="89"/>
      <c r="EI326" s="89"/>
      <c r="EJ326" s="89"/>
      <c r="EK326" s="89"/>
      <c r="EL326" s="89"/>
      <c r="EM326" s="89"/>
      <c r="EN326" s="89"/>
      <c r="EO326" s="89"/>
    </row>
    <row r="327" spans="1:145" s="87" customFormat="1">
      <c r="A327" s="432">
        <v>7</v>
      </c>
      <c r="B327" s="87" t="s">
        <v>83</v>
      </c>
      <c r="C327" s="157" t="s">
        <v>5</v>
      </c>
      <c r="D327" s="177">
        <f>+'[5]Revenue BG'!C94</f>
        <v>5428.9522993102264</v>
      </c>
      <c r="E327" s="177">
        <f>+'[5]Revenue BG'!D94</f>
        <v>8882.6968805652941</v>
      </c>
      <c r="F327" s="177">
        <f>+'[5]Revenue BG'!E94</f>
        <v>-13246.301645000289</v>
      </c>
      <c r="G327" s="177">
        <f>+'[5]Revenue BG'!F94</f>
        <v>-12439.52422488199</v>
      </c>
      <c r="H327" s="177">
        <f>+'[5]Revenue BG'!G94</f>
        <v>-2549.3328861098075</v>
      </c>
      <c r="I327" s="177">
        <f>+'[5]Revenue BG'!H94</f>
        <v>-47494.538937018951</v>
      </c>
      <c r="J327" s="177">
        <f>+'[5]Revenue BG'!I94</f>
        <v>-20988.48808034759</v>
      </c>
      <c r="K327" s="177">
        <f>+'[5]Revenue BG'!J94</f>
        <v>18497.674300772771</v>
      </c>
      <c r="L327" s="177">
        <f>+'[5]Revenue BG'!K94</f>
        <v>8895.4652560242357</v>
      </c>
      <c r="M327" s="177">
        <f>+'[5]Revenue BG'!L94</f>
        <v>-58390.428582244946</v>
      </c>
      <c r="N327" s="177">
        <f>+'[5]Revenue BG'!M94</f>
        <v>-53693.16000314265</v>
      </c>
      <c r="O327" s="177">
        <f>+'[5]Revenue BG'!N94</f>
        <v>-48659.40051110441</v>
      </c>
      <c r="P327" s="158">
        <f>SUM(D327:O327)</f>
        <v>-215756.38613317811</v>
      </c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89"/>
      <c r="AJ327" s="89"/>
      <c r="AK327" s="89"/>
      <c r="AL327" s="89"/>
      <c r="AM327" s="89"/>
      <c r="AN327" s="89"/>
      <c r="AO327" s="89"/>
      <c r="AP327" s="89"/>
      <c r="AQ327" s="89"/>
      <c r="AR327" s="89"/>
      <c r="AS327" s="89"/>
      <c r="AT327" s="89"/>
      <c r="AU327" s="89"/>
      <c r="AV327" s="89"/>
      <c r="AW327" s="89"/>
      <c r="AX327" s="89"/>
      <c r="AY327" s="89"/>
      <c r="AZ327" s="89"/>
      <c r="BA327" s="89"/>
      <c r="BB327" s="89"/>
      <c r="BC327" s="89"/>
      <c r="BD327" s="89"/>
      <c r="BE327" s="89"/>
      <c r="BF327" s="89"/>
      <c r="BG327" s="89"/>
      <c r="BH327" s="89"/>
      <c r="BI327" s="89"/>
      <c r="BJ327" s="89"/>
      <c r="BK327" s="89"/>
      <c r="BL327" s="89"/>
      <c r="BM327" s="89"/>
      <c r="BN327" s="89"/>
      <c r="BO327" s="89"/>
      <c r="BP327" s="89"/>
      <c r="BQ327" s="89"/>
      <c r="BR327" s="89"/>
      <c r="BS327" s="89"/>
      <c r="BT327" s="89"/>
      <c r="BU327" s="89"/>
      <c r="BV327" s="89"/>
      <c r="BW327" s="89"/>
      <c r="BX327" s="89"/>
      <c r="BY327" s="89"/>
      <c r="BZ327" s="89"/>
      <c r="CA327" s="89"/>
      <c r="CB327" s="89"/>
      <c r="CC327" s="89"/>
      <c r="CD327" s="89"/>
      <c r="CE327" s="89"/>
      <c r="CF327" s="89"/>
      <c r="CG327" s="89"/>
      <c r="CH327" s="89"/>
      <c r="CI327" s="89"/>
      <c r="CJ327" s="89"/>
      <c r="CK327" s="89"/>
      <c r="CL327" s="89"/>
      <c r="CM327" s="89"/>
      <c r="CN327" s="89"/>
      <c r="CO327" s="89"/>
      <c r="CP327" s="89"/>
      <c r="CQ327" s="89"/>
      <c r="CR327" s="89"/>
      <c r="CS327" s="89"/>
      <c r="CT327" s="89"/>
      <c r="CU327" s="89"/>
      <c r="CV327" s="89"/>
      <c r="CW327" s="89"/>
      <c r="CX327" s="89"/>
      <c r="CY327" s="89"/>
      <c r="CZ327" s="89"/>
      <c r="DA327" s="89"/>
      <c r="DB327" s="89"/>
      <c r="DC327" s="89"/>
      <c r="DD327" s="89"/>
      <c r="DE327" s="89"/>
      <c r="DF327" s="89"/>
      <c r="DG327" s="89"/>
      <c r="DH327" s="89"/>
      <c r="DI327" s="89"/>
      <c r="DJ327" s="89"/>
      <c r="DK327" s="89"/>
      <c r="DL327" s="89"/>
      <c r="DM327" s="89"/>
      <c r="DN327" s="89"/>
      <c r="DO327" s="89"/>
      <c r="DP327" s="89"/>
      <c r="DQ327" s="89"/>
      <c r="DR327" s="89"/>
      <c r="DS327" s="89"/>
      <c r="DT327" s="89"/>
      <c r="DU327" s="89"/>
      <c r="DV327" s="89"/>
      <c r="DW327" s="89"/>
      <c r="DX327" s="89"/>
      <c r="DY327" s="89"/>
      <c r="DZ327" s="89"/>
      <c r="EA327" s="89"/>
      <c r="EB327" s="89"/>
      <c r="EC327" s="89"/>
      <c r="ED327" s="89"/>
      <c r="EE327" s="89"/>
      <c r="EF327" s="89"/>
      <c r="EG327" s="89"/>
      <c r="EH327" s="89"/>
      <c r="EI327" s="89"/>
      <c r="EJ327" s="89"/>
      <c r="EK327" s="89"/>
      <c r="EL327" s="89"/>
      <c r="EM327" s="89"/>
      <c r="EN327" s="89"/>
      <c r="EO327" s="89"/>
    </row>
    <row r="328" spans="1:145" s="87" customFormat="1">
      <c r="A328" s="432">
        <v>8</v>
      </c>
      <c r="B328" s="87" t="s">
        <v>148</v>
      </c>
      <c r="C328" s="157" t="s">
        <v>5</v>
      </c>
      <c r="D328" s="177">
        <f>+'II-H-4.1 Dist kW'!D58*'II-H-3.1-3'!$T24</f>
        <v>0</v>
      </c>
      <c r="E328" s="177">
        <f>+'II-H-4.1 Dist kW'!E58*'II-H-3.1-3'!$T24</f>
        <v>0</v>
      </c>
      <c r="F328" s="177">
        <f>+'II-H-4.1 Dist kW'!F58*'II-H-3.1-3'!$T24</f>
        <v>0</v>
      </c>
      <c r="G328" s="177">
        <f>+'II-H-4.1 Dist kW'!G58*'II-H-3.1-3'!$T24</f>
        <v>0</v>
      </c>
      <c r="H328" s="177">
        <f>+'II-H-4.1 Dist kW'!H58*'II-H-3.1-3'!$T24</f>
        <v>0</v>
      </c>
      <c r="I328" s="177">
        <f>+'II-H-4.1 Dist kW'!I58*'II-H-3.1-3'!$T24</f>
        <v>0</v>
      </c>
      <c r="J328" s="177">
        <f>+'II-H-4.1 Dist kW'!J58*'II-H-3.1-3'!$T24</f>
        <v>0</v>
      </c>
      <c r="K328" s="177">
        <f>+'II-H-4.1 Dist kW'!K58*'II-H-3.1-3'!$T24</f>
        <v>0</v>
      </c>
      <c r="L328" s="177">
        <f>+'II-H-4.1 Dist kW'!L58*'II-H-3.1-3'!$T24</f>
        <v>0</v>
      </c>
      <c r="M328" s="177">
        <f>+'II-H-4.1 Dist kW'!M58*'II-H-3.1-3'!$T24</f>
        <v>0</v>
      </c>
      <c r="N328" s="177">
        <f>+'II-H-4.1 Dist kW'!N58*'II-H-3.1-3'!$T24</f>
        <v>0</v>
      </c>
      <c r="O328" s="177">
        <f>+'II-H-4.1 Dist kW'!O58*'II-H-3.1-3'!$T24</f>
        <v>0</v>
      </c>
      <c r="P328" s="158">
        <f t="shared" ref="P328:P329" si="128">SUM(D328:O328)</f>
        <v>0</v>
      </c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89"/>
      <c r="AJ328" s="89"/>
      <c r="AK328" s="89"/>
      <c r="AL328" s="89"/>
      <c r="AM328" s="89"/>
      <c r="AN328" s="89"/>
      <c r="AO328" s="89"/>
      <c r="AP328" s="89"/>
      <c r="AQ328" s="89"/>
      <c r="AR328" s="89"/>
      <c r="AS328" s="89"/>
      <c r="AT328" s="89"/>
      <c r="AU328" s="89"/>
      <c r="AV328" s="89"/>
      <c r="AW328" s="89"/>
      <c r="AX328" s="89"/>
      <c r="AY328" s="89"/>
      <c r="AZ328" s="89"/>
      <c r="BA328" s="89"/>
      <c r="BB328" s="89"/>
      <c r="BC328" s="89"/>
      <c r="BD328" s="89"/>
      <c r="BE328" s="89"/>
      <c r="BF328" s="89"/>
      <c r="BG328" s="89"/>
      <c r="BH328" s="89"/>
      <c r="BI328" s="89"/>
      <c r="BJ328" s="89"/>
      <c r="BK328" s="89"/>
      <c r="BL328" s="89"/>
      <c r="BM328" s="89"/>
      <c r="BN328" s="89"/>
      <c r="BO328" s="89"/>
      <c r="BP328" s="89"/>
      <c r="BQ328" s="89"/>
      <c r="BR328" s="89"/>
      <c r="BS328" s="89"/>
      <c r="BT328" s="89"/>
      <c r="BU328" s="89"/>
      <c r="BV328" s="89"/>
      <c r="BW328" s="89"/>
      <c r="BX328" s="89"/>
      <c r="BY328" s="89"/>
      <c r="BZ328" s="89"/>
      <c r="CA328" s="89"/>
      <c r="CB328" s="89"/>
      <c r="CC328" s="89"/>
      <c r="CD328" s="89"/>
      <c r="CE328" s="89"/>
      <c r="CF328" s="89"/>
      <c r="CG328" s="89"/>
      <c r="CH328" s="89"/>
      <c r="CI328" s="89"/>
      <c r="CJ328" s="89"/>
      <c r="CK328" s="89"/>
      <c r="CL328" s="89"/>
      <c r="CM328" s="89"/>
      <c r="CN328" s="89"/>
      <c r="CO328" s="89"/>
      <c r="CP328" s="89"/>
      <c r="CQ328" s="89"/>
      <c r="CR328" s="89"/>
      <c r="CS328" s="89"/>
      <c r="CT328" s="89"/>
      <c r="CU328" s="89"/>
      <c r="CV328" s="89"/>
      <c r="CW328" s="89"/>
      <c r="CX328" s="89"/>
      <c r="CY328" s="89"/>
      <c r="CZ328" s="89"/>
      <c r="DA328" s="89"/>
      <c r="DB328" s="89"/>
      <c r="DC328" s="89"/>
      <c r="DD328" s="89"/>
      <c r="DE328" s="89"/>
      <c r="DF328" s="89"/>
      <c r="DG328" s="89"/>
      <c r="DH328" s="89"/>
      <c r="DI328" s="89"/>
      <c r="DJ328" s="89"/>
      <c r="DK328" s="89"/>
      <c r="DL328" s="89"/>
      <c r="DM328" s="89"/>
      <c r="DN328" s="89"/>
      <c r="DO328" s="89"/>
      <c r="DP328" s="89"/>
      <c r="DQ328" s="89"/>
      <c r="DR328" s="89"/>
      <c r="DS328" s="89"/>
      <c r="DT328" s="89"/>
      <c r="DU328" s="89"/>
      <c r="DV328" s="89"/>
      <c r="DW328" s="89"/>
      <c r="DX328" s="89"/>
      <c r="DY328" s="89"/>
      <c r="DZ328" s="89"/>
      <c r="EA328" s="89"/>
      <c r="EB328" s="89"/>
      <c r="EC328" s="89"/>
      <c r="ED328" s="89"/>
      <c r="EE328" s="89"/>
      <c r="EF328" s="89"/>
      <c r="EG328" s="89"/>
      <c r="EH328" s="89"/>
      <c r="EI328" s="89"/>
      <c r="EJ328" s="89"/>
      <c r="EK328" s="89"/>
      <c r="EL328" s="89"/>
      <c r="EM328" s="89"/>
      <c r="EN328" s="89"/>
      <c r="EO328" s="89"/>
    </row>
    <row r="329" spans="1:145" s="87" customFormat="1">
      <c r="A329" s="432">
        <v>9</v>
      </c>
      <c r="B329" s="87" t="s">
        <v>149</v>
      </c>
      <c r="C329" s="157" t="s">
        <v>5</v>
      </c>
      <c r="D329" s="177">
        <f>+'II-H-4.1 Dist kW'!D59*'II-H-3.1-3'!$T25</f>
        <v>0</v>
      </c>
      <c r="E329" s="177">
        <f>+'II-H-4.1 Dist kW'!E59*'II-H-3.1-3'!$T25</f>
        <v>0</v>
      </c>
      <c r="F329" s="177">
        <f>+'II-H-4.1 Dist kW'!F59*'II-H-3.1-3'!$T25</f>
        <v>0</v>
      </c>
      <c r="G329" s="177">
        <f>+'II-H-4.1 Dist kW'!G59*'II-H-3.1-3'!$T25</f>
        <v>0</v>
      </c>
      <c r="H329" s="177">
        <f>+'II-H-4.1 Dist kW'!H59*'II-H-3.1-3'!$T25</f>
        <v>0</v>
      </c>
      <c r="I329" s="177">
        <f>+'II-H-4.1 Dist kW'!I59*'II-H-3.1-3'!$T25</f>
        <v>0</v>
      </c>
      <c r="J329" s="177">
        <f>+'II-H-4.1 Dist kW'!J59*'II-H-3.1-3'!$T25</f>
        <v>0</v>
      </c>
      <c r="K329" s="177">
        <f>+'II-H-4.1 Dist kW'!K59*'II-H-3.1-3'!$T25</f>
        <v>0</v>
      </c>
      <c r="L329" s="177">
        <f>+'II-H-4.1 Dist kW'!L59*'II-H-3.1-3'!$T25</f>
        <v>0</v>
      </c>
      <c r="M329" s="177">
        <f>+'II-H-4.1 Dist kW'!M59*'II-H-3.1-3'!$T25</f>
        <v>0</v>
      </c>
      <c r="N329" s="177">
        <f>+'II-H-4.1 Dist kW'!N59*'II-H-3.1-3'!$T25</f>
        <v>0</v>
      </c>
      <c r="O329" s="177">
        <f>+'II-H-4.1 Dist kW'!O59*'II-H-3.1-3'!$T25</f>
        <v>0</v>
      </c>
      <c r="P329" s="158">
        <f t="shared" si="128"/>
        <v>0</v>
      </c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89"/>
      <c r="AJ329" s="89"/>
      <c r="AK329" s="89"/>
      <c r="AL329" s="89"/>
      <c r="AM329" s="89"/>
      <c r="AN329" s="89"/>
      <c r="AO329" s="89"/>
      <c r="AP329" s="89"/>
      <c r="AQ329" s="89"/>
      <c r="AR329" s="89"/>
      <c r="AS329" s="89"/>
      <c r="AT329" s="89"/>
      <c r="AU329" s="89"/>
      <c r="AV329" s="89"/>
      <c r="AW329" s="89"/>
      <c r="AX329" s="89"/>
      <c r="AY329" s="89"/>
      <c r="AZ329" s="89"/>
      <c r="BA329" s="89"/>
      <c r="BB329" s="89"/>
      <c r="BC329" s="89"/>
      <c r="BD329" s="89"/>
      <c r="BE329" s="89"/>
      <c r="BF329" s="89"/>
      <c r="BG329" s="89"/>
      <c r="BH329" s="89"/>
      <c r="BI329" s="89"/>
      <c r="BJ329" s="89"/>
      <c r="BK329" s="89"/>
      <c r="BL329" s="89"/>
      <c r="BM329" s="89"/>
      <c r="BN329" s="89"/>
      <c r="BO329" s="89"/>
      <c r="BP329" s="89"/>
      <c r="BQ329" s="89"/>
      <c r="BR329" s="89"/>
      <c r="BS329" s="89"/>
      <c r="BT329" s="89"/>
      <c r="BU329" s="89"/>
      <c r="BV329" s="89"/>
      <c r="BW329" s="89"/>
      <c r="BX329" s="89"/>
      <c r="BY329" s="89"/>
      <c r="BZ329" s="89"/>
      <c r="CA329" s="89"/>
      <c r="CB329" s="89"/>
      <c r="CC329" s="89"/>
      <c r="CD329" s="89"/>
      <c r="CE329" s="89"/>
      <c r="CF329" s="89"/>
      <c r="CG329" s="89"/>
      <c r="CH329" s="89"/>
      <c r="CI329" s="89"/>
      <c r="CJ329" s="89"/>
      <c r="CK329" s="89"/>
      <c r="CL329" s="89"/>
      <c r="CM329" s="89"/>
      <c r="CN329" s="89"/>
      <c r="CO329" s="89"/>
      <c r="CP329" s="89"/>
      <c r="CQ329" s="89"/>
      <c r="CR329" s="89"/>
      <c r="CS329" s="89"/>
      <c r="CT329" s="89"/>
      <c r="CU329" s="89"/>
      <c r="CV329" s="89"/>
      <c r="CW329" s="89"/>
      <c r="CX329" s="89"/>
      <c r="CY329" s="89"/>
      <c r="CZ329" s="89"/>
      <c r="DA329" s="89"/>
      <c r="DB329" s="89"/>
      <c r="DC329" s="89"/>
      <c r="DD329" s="89"/>
      <c r="DE329" s="89"/>
      <c r="DF329" s="89"/>
      <c r="DG329" s="89"/>
      <c r="DH329" s="89"/>
      <c r="DI329" s="89"/>
      <c r="DJ329" s="89"/>
      <c r="DK329" s="89"/>
      <c r="DL329" s="89"/>
      <c r="DM329" s="89"/>
      <c r="DN329" s="89"/>
      <c r="DO329" s="89"/>
      <c r="DP329" s="89"/>
      <c r="DQ329" s="89"/>
      <c r="DR329" s="89"/>
      <c r="DS329" s="89"/>
      <c r="DT329" s="89"/>
      <c r="DU329" s="89"/>
      <c r="DV329" s="89"/>
      <c r="DW329" s="89"/>
      <c r="DX329" s="89"/>
      <c r="DY329" s="89"/>
      <c r="DZ329" s="89"/>
      <c r="EA329" s="89"/>
      <c r="EB329" s="89"/>
      <c r="EC329" s="89"/>
      <c r="ED329" s="89"/>
      <c r="EE329" s="89"/>
      <c r="EF329" s="89"/>
      <c r="EG329" s="89"/>
      <c r="EH329" s="89"/>
      <c r="EI329" s="89"/>
      <c r="EJ329" s="89"/>
      <c r="EK329" s="89"/>
      <c r="EL329" s="89"/>
      <c r="EM329" s="89"/>
      <c r="EN329" s="89"/>
      <c r="EO329" s="89"/>
    </row>
    <row r="330" spans="1:145" s="87" customFormat="1">
      <c r="A330" s="432">
        <v>10</v>
      </c>
      <c r="B330" s="87" t="s">
        <v>19</v>
      </c>
      <c r="C330" s="157"/>
      <c r="D330" s="391">
        <f>SUM(D326:D329)</f>
        <v>5712.1178759964796</v>
      </c>
      <c r="E330" s="391">
        <f t="shared" ref="E330:O330" si="129">SUM(E326:E329)</f>
        <v>9326.8768376017251</v>
      </c>
      <c r="F330" s="391">
        <f t="shared" si="129"/>
        <v>-14324.208848558361</v>
      </c>
      <c r="G330" s="391">
        <f t="shared" si="129"/>
        <v>-13720.278988932996</v>
      </c>
      <c r="H330" s="391">
        <f t="shared" si="129"/>
        <v>-3082.6258308852039</v>
      </c>
      <c r="I330" s="391">
        <f t="shared" si="129"/>
        <v>-52384.115286762084</v>
      </c>
      <c r="J330" s="391">
        <f t="shared" si="129"/>
        <v>-23499.232000428809</v>
      </c>
      <c r="K330" s="391">
        <f t="shared" si="129"/>
        <v>20875.297537990198</v>
      </c>
      <c r="L330" s="391">
        <f t="shared" si="129"/>
        <v>9247.3701179978234</v>
      </c>
      <c r="M330" s="391">
        <f t="shared" si="129"/>
        <v>-63321.348189920325</v>
      </c>
      <c r="N330" s="391">
        <f t="shared" si="129"/>
        <v>-57314.278923936588</v>
      </c>
      <c r="O330" s="391">
        <f t="shared" si="129"/>
        <v>-51992.342839599121</v>
      </c>
      <c r="P330" s="391">
        <f t="shared" ref="P330" si="130">SUM(P326:P329)</f>
        <v>-234476.76853943727</v>
      </c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89"/>
      <c r="AJ330" s="89"/>
      <c r="AK330" s="89"/>
      <c r="AL330" s="89"/>
      <c r="AM330" s="89"/>
      <c r="AN330" s="89"/>
      <c r="AO330" s="89"/>
      <c r="AP330" s="89"/>
      <c r="AQ330" s="89"/>
      <c r="AR330" s="89"/>
      <c r="AS330" s="89"/>
      <c r="AT330" s="89"/>
      <c r="AU330" s="89"/>
      <c r="AV330" s="89"/>
      <c r="AW330" s="89"/>
      <c r="AX330" s="89"/>
      <c r="AY330" s="89"/>
      <c r="AZ330" s="89"/>
      <c r="BA330" s="89"/>
      <c r="BB330" s="89"/>
      <c r="BC330" s="89"/>
      <c r="BD330" s="89"/>
      <c r="BE330" s="89"/>
      <c r="BF330" s="89"/>
      <c r="BG330" s="89"/>
      <c r="BH330" s="89"/>
      <c r="BI330" s="89"/>
      <c r="BJ330" s="89"/>
      <c r="BK330" s="89"/>
      <c r="BL330" s="89"/>
      <c r="BM330" s="89"/>
      <c r="BN330" s="89"/>
      <c r="BO330" s="89"/>
      <c r="BP330" s="89"/>
      <c r="BQ330" s="89"/>
      <c r="BR330" s="89"/>
      <c r="BS330" s="89"/>
      <c r="BT330" s="89"/>
      <c r="BU330" s="89"/>
      <c r="BV330" s="89"/>
      <c r="BW330" s="89"/>
      <c r="BX330" s="89"/>
      <c r="BY330" s="89"/>
      <c r="BZ330" s="89"/>
      <c r="CA330" s="89"/>
      <c r="CB330" s="89"/>
      <c r="CC330" s="89"/>
      <c r="CD330" s="89"/>
      <c r="CE330" s="89"/>
      <c r="CF330" s="89"/>
      <c r="CG330" s="89"/>
      <c r="CH330" s="89"/>
      <c r="CI330" s="89"/>
      <c r="CJ330" s="89"/>
      <c r="CK330" s="89"/>
      <c r="CL330" s="89"/>
      <c r="CM330" s="89"/>
      <c r="CN330" s="89"/>
      <c r="CO330" s="89"/>
      <c r="CP330" s="89"/>
      <c r="CQ330" s="89"/>
      <c r="CR330" s="89"/>
      <c r="CS330" s="89"/>
      <c r="CT330" s="89"/>
      <c r="CU330" s="89"/>
      <c r="CV330" s="89"/>
      <c r="CW330" s="89"/>
      <c r="CX330" s="89"/>
      <c r="CY330" s="89"/>
      <c r="CZ330" s="89"/>
      <c r="DA330" s="89"/>
      <c r="DB330" s="89"/>
      <c r="DC330" s="89"/>
      <c r="DD330" s="89"/>
      <c r="DE330" s="89"/>
      <c r="DF330" s="89"/>
      <c r="DG330" s="89"/>
      <c r="DH330" s="89"/>
      <c r="DI330" s="89"/>
      <c r="DJ330" s="89"/>
      <c r="DK330" s="89"/>
      <c r="DL330" s="89"/>
      <c r="DM330" s="89"/>
      <c r="DN330" s="89"/>
      <c r="DO330" s="89"/>
      <c r="DP330" s="89"/>
      <c r="DQ330" s="89"/>
      <c r="DR330" s="89"/>
      <c r="DS330" s="89"/>
      <c r="DT330" s="89"/>
      <c r="DU330" s="89"/>
      <c r="DV330" s="89"/>
      <c r="DW330" s="89"/>
      <c r="DX330" s="89"/>
      <c r="DY330" s="89"/>
      <c r="DZ330" s="89"/>
      <c r="EA330" s="89"/>
      <c r="EB330" s="89"/>
      <c r="EC330" s="89"/>
      <c r="ED330" s="89"/>
      <c r="EE330" s="89"/>
      <c r="EF330" s="89"/>
      <c r="EG330" s="89"/>
      <c r="EH330" s="89"/>
      <c r="EI330" s="89"/>
      <c r="EJ330" s="89"/>
      <c r="EK330" s="89"/>
      <c r="EL330" s="89"/>
      <c r="EM330" s="89"/>
      <c r="EN330" s="89"/>
      <c r="EO330" s="89"/>
    </row>
    <row r="331" spans="1:145" s="87" customFormat="1">
      <c r="A331" s="432"/>
      <c r="C331" s="15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  <c r="O331" s="177"/>
      <c r="P331" s="101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89"/>
      <c r="AJ331" s="89"/>
      <c r="AK331" s="89"/>
      <c r="AL331" s="89"/>
      <c r="AM331" s="89"/>
      <c r="AN331" s="89"/>
      <c r="AO331" s="89"/>
      <c r="AP331" s="89"/>
      <c r="AQ331" s="89"/>
      <c r="AR331" s="89"/>
      <c r="AS331" s="89"/>
      <c r="AT331" s="89"/>
      <c r="AU331" s="89"/>
      <c r="AV331" s="89"/>
      <c r="AW331" s="89"/>
      <c r="AX331" s="89"/>
      <c r="AY331" s="89"/>
      <c r="AZ331" s="89"/>
      <c r="BA331" s="89"/>
      <c r="BB331" s="89"/>
      <c r="BC331" s="89"/>
      <c r="BD331" s="89"/>
      <c r="BE331" s="89"/>
      <c r="BF331" s="89"/>
      <c r="BG331" s="89"/>
      <c r="BH331" s="89"/>
      <c r="BI331" s="89"/>
      <c r="BJ331" s="89"/>
      <c r="BK331" s="89"/>
      <c r="BL331" s="89"/>
      <c r="BM331" s="89"/>
      <c r="BN331" s="89"/>
      <c r="BO331" s="89"/>
      <c r="BP331" s="89"/>
      <c r="BQ331" s="89"/>
      <c r="BR331" s="89"/>
      <c r="BS331" s="89"/>
      <c r="BT331" s="89"/>
      <c r="BU331" s="89"/>
      <c r="BV331" s="89"/>
      <c r="BW331" s="89"/>
      <c r="BX331" s="89"/>
      <c r="BY331" s="89"/>
      <c r="BZ331" s="89"/>
      <c r="CA331" s="89"/>
      <c r="CB331" s="89"/>
      <c r="CC331" s="89"/>
      <c r="CD331" s="89"/>
      <c r="CE331" s="89"/>
      <c r="CF331" s="89"/>
      <c r="CG331" s="89"/>
      <c r="CH331" s="89"/>
      <c r="CI331" s="89"/>
      <c r="CJ331" s="89"/>
      <c r="CK331" s="89"/>
      <c r="CL331" s="89"/>
      <c r="CM331" s="89"/>
      <c r="CN331" s="89"/>
      <c r="CO331" s="89"/>
      <c r="CP331" s="89"/>
      <c r="CQ331" s="89"/>
      <c r="CR331" s="89"/>
      <c r="CS331" s="89"/>
      <c r="CT331" s="89"/>
      <c r="CU331" s="89"/>
      <c r="CV331" s="89"/>
      <c r="CW331" s="89"/>
      <c r="CX331" s="89"/>
      <c r="CY331" s="89"/>
      <c r="CZ331" s="89"/>
      <c r="DA331" s="89"/>
      <c r="DB331" s="89"/>
      <c r="DC331" s="89"/>
      <c r="DD331" s="89"/>
      <c r="DE331" s="89"/>
      <c r="DF331" s="89"/>
      <c r="DG331" s="89"/>
      <c r="DH331" s="89"/>
      <c r="DI331" s="89"/>
      <c r="DJ331" s="89"/>
      <c r="DK331" s="89"/>
      <c r="DL331" s="89"/>
      <c r="DM331" s="89"/>
      <c r="DN331" s="89"/>
      <c r="DO331" s="89"/>
      <c r="DP331" s="89"/>
      <c r="DQ331" s="89"/>
      <c r="DR331" s="89"/>
      <c r="DS331" s="89"/>
      <c r="DT331" s="89"/>
      <c r="DU331" s="89"/>
      <c r="DV331" s="89"/>
      <c r="DW331" s="89"/>
      <c r="DX331" s="89"/>
      <c r="DY331" s="89"/>
      <c r="DZ331" s="89"/>
      <c r="EA331" s="89"/>
      <c r="EB331" s="89"/>
      <c r="EC331" s="89"/>
      <c r="ED331" s="89"/>
      <c r="EE331" s="89"/>
      <c r="EF331" s="89"/>
      <c r="EG331" s="89"/>
      <c r="EH331" s="89"/>
      <c r="EI331" s="89"/>
      <c r="EJ331" s="89"/>
      <c r="EK331" s="89"/>
      <c r="EL331" s="89"/>
      <c r="EM331" s="89"/>
      <c r="EN331" s="89"/>
      <c r="EO331" s="89"/>
    </row>
    <row r="332" spans="1:145" s="87" customFormat="1">
      <c r="A332" s="432">
        <v>11</v>
      </c>
      <c r="B332" s="131" t="s">
        <v>86</v>
      </c>
      <c r="C332" s="157" t="s">
        <v>6</v>
      </c>
      <c r="D332" s="177">
        <f>+'[5]Revenue BG'!C95</f>
        <v>-60.40024602126671</v>
      </c>
      <c r="E332" s="177">
        <f>+'[5]Revenue BG'!D95</f>
        <v>-57.05104552859634</v>
      </c>
      <c r="F332" s="177">
        <f>+'[5]Revenue BG'!E95</f>
        <v>-52.484207438506289</v>
      </c>
      <c r="G332" s="177">
        <f>+'[5]Revenue BG'!F95</f>
        <v>-58.717065970839144</v>
      </c>
      <c r="H332" s="177">
        <f>+'[5]Revenue BG'!G95</f>
        <v>-29.077001084322468</v>
      </c>
      <c r="I332" s="177">
        <f>+'[5]Revenue BG'!H95</f>
        <v>-76.522451036458051</v>
      </c>
      <c r="J332" s="177">
        <f>+'[5]Revenue BG'!I95</f>
        <v>-67.40817027977522</v>
      </c>
      <c r="K332" s="177">
        <f>+'[5]Revenue BG'!J95</f>
        <v>-66.089574180554038</v>
      </c>
      <c r="L332" s="177">
        <f>+'[5]Revenue BG'!K95</f>
        <v>-67.482781015151815</v>
      </c>
      <c r="M332" s="177">
        <f>+'[5]Revenue BG'!L95</f>
        <v>-69.492366364350232</v>
      </c>
      <c r="N332" s="177">
        <f>+'[5]Revenue BG'!M95</f>
        <v>-74.175668698403143</v>
      </c>
      <c r="O332" s="177">
        <f>+'[5]Revenue BG'!N95</f>
        <v>-70.77342388819153</v>
      </c>
      <c r="P332" s="101">
        <f>SUM(D332:O332)</f>
        <v>-749.67400150641492</v>
      </c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89"/>
      <c r="AJ332" s="89"/>
      <c r="AK332" s="89"/>
      <c r="AL332" s="89"/>
      <c r="AM332" s="89"/>
      <c r="AN332" s="89"/>
      <c r="AO332" s="89"/>
      <c r="AP332" s="89"/>
      <c r="AQ332" s="89"/>
      <c r="AR332" s="89"/>
      <c r="AS332" s="89"/>
      <c r="AT332" s="89"/>
      <c r="AU332" s="89"/>
      <c r="AV332" s="89"/>
      <c r="AW332" s="89"/>
      <c r="AX332" s="89"/>
      <c r="AY332" s="89"/>
      <c r="AZ332" s="89"/>
      <c r="BA332" s="89"/>
      <c r="BB332" s="89"/>
      <c r="BC332" s="89"/>
      <c r="BD332" s="89"/>
      <c r="BE332" s="89"/>
      <c r="BF332" s="89"/>
      <c r="BG332" s="89"/>
      <c r="BH332" s="89"/>
      <c r="BI332" s="89"/>
      <c r="BJ332" s="89"/>
      <c r="BK332" s="89"/>
      <c r="BL332" s="89"/>
      <c r="BM332" s="89"/>
      <c r="BN332" s="89"/>
      <c r="BO332" s="89"/>
      <c r="BP332" s="89"/>
      <c r="BQ332" s="89"/>
      <c r="BR332" s="89"/>
      <c r="BS332" s="89"/>
      <c r="BT332" s="89"/>
      <c r="BU332" s="89"/>
      <c r="BV332" s="89"/>
      <c r="BW332" s="89"/>
      <c r="BX332" s="89"/>
      <c r="BY332" s="89"/>
      <c r="BZ332" s="89"/>
      <c r="CA332" s="89"/>
      <c r="CB332" s="89"/>
      <c r="CC332" s="89"/>
      <c r="CD332" s="89"/>
      <c r="CE332" s="89"/>
      <c r="CF332" s="89"/>
      <c r="CG332" s="89"/>
      <c r="CH332" s="89"/>
      <c r="CI332" s="89"/>
      <c r="CJ332" s="89"/>
      <c r="CK332" s="89"/>
      <c r="CL332" s="89"/>
      <c r="CM332" s="89"/>
      <c r="CN332" s="89"/>
      <c r="CO332" s="89"/>
      <c r="CP332" s="89"/>
      <c r="CQ332" s="89"/>
      <c r="CR332" s="89"/>
      <c r="CS332" s="89"/>
      <c r="CT332" s="89"/>
      <c r="CU332" s="89"/>
      <c r="CV332" s="89"/>
      <c r="CW332" s="89"/>
      <c r="CX332" s="89"/>
      <c r="CY332" s="89"/>
      <c r="CZ332" s="89"/>
      <c r="DA332" s="89"/>
      <c r="DB332" s="89"/>
      <c r="DC332" s="89"/>
      <c r="DD332" s="89"/>
      <c r="DE332" s="89"/>
      <c r="DF332" s="89"/>
      <c r="DG332" s="89"/>
      <c r="DH332" s="89"/>
      <c r="DI332" s="89"/>
      <c r="DJ332" s="89"/>
      <c r="DK332" s="89"/>
      <c r="DL332" s="89"/>
      <c r="DM332" s="89"/>
      <c r="DN332" s="89"/>
      <c r="DO332" s="89"/>
      <c r="DP332" s="89"/>
      <c r="DQ332" s="89"/>
      <c r="DR332" s="89"/>
      <c r="DS332" s="89"/>
      <c r="DT332" s="89"/>
      <c r="DU332" s="89"/>
      <c r="DV332" s="89"/>
      <c r="DW332" s="89"/>
      <c r="DX332" s="89"/>
      <c r="DY332" s="89"/>
      <c r="DZ332" s="89"/>
      <c r="EA332" s="89"/>
      <c r="EB332" s="89"/>
      <c r="EC332" s="89"/>
      <c r="ED332" s="89"/>
      <c r="EE332" s="89"/>
      <c r="EF332" s="89"/>
      <c r="EG332" s="89"/>
      <c r="EH332" s="89"/>
      <c r="EI332" s="89"/>
      <c r="EJ332" s="89"/>
      <c r="EK332" s="89"/>
      <c r="EL332" s="89"/>
      <c r="EM332" s="89"/>
      <c r="EN332" s="89"/>
      <c r="EO332" s="89"/>
    </row>
    <row r="333" spans="1:145" s="87" customFormat="1">
      <c r="C333" s="99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  <c r="O333" s="177"/>
      <c r="P333" s="177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89"/>
      <c r="AJ333" s="89"/>
      <c r="AK333" s="89"/>
      <c r="AL333" s="89"/>
      <c r="AM333" s="89"/>
      <c r="AN333" s="89"/>
      <c r="AO333" s="89"/>
      <c r="AP333" s="89"/>
      <c r="AQ333" s="89"/>
      <c r="AR333" s="89"/>
      <c r="AS333" s="89"/>
      <c r="AT333" s="89"/>
      <c r="AU333" s="89"/>
      <c r="AV333" s="89"/>
      <c r="AW333" s="89"/>
      <c r="AX333" s="89"/>
      <c r="AY333" s="89"/>
      <c r="AZ333" s="89"/>
      <c r="BA333" s="89"/>
      <c r="BB333" s="89"/>
      <c r="BC333" s="89"/>
      <c r="BD333" s="89"/>
      <c r="BE333" s="89"/>
      <c r="BF333" s="89"/>
      <c r="BG333" s="89"/>
      <c r="BH333" s="89"/>
      <c r="BI333" s="89"/>
      <c r="BJ333" s="89"/>
      <c r="BK333" s="89"/>
      <c r="BL333" s="89"/>
      <c r="BM333" s="89"/>
      <c r="BN333" s="89"/>
      <c r="BO333" s="89"/>
      <c r="BP333" s="89"/>
      <c r="BQ333" s="89"/>
      <c r="BR333" s="89"/>
      <c r="BS333" s="89"/>
      <c r="BT333" s="89"/>
      <c r="BU333" s="89"/>
      <c r="BV333" s="89"/>
      <c r="BW333" s="89"/>
      <c r="BX333" s="89"/>
      <c r="BY333" s="89"/>
      <c r="BZ333" s="89"/>
      <c r="CA333" s="89"/>
      <c r="CB333" s="89"/>
      <c r="CC333" s="89"/>
      <c r="CD333" s="89"/>
      <c r="CE333" s="89"/>
      <c r="CF333" s="89"/>
      <c r="CG333" s="89"/>
      <c r="CH333" s="89"/>
      <c r="CI333" s="89"/>
      <c r="CJ333" s="89"/>
      <c r="CK333" s="89"/>
      <c r="CL333" s="89"/>
      <c r="CM333" s="89"/>
      <c r="CN333" s="89"/>
      <c r="CO333" s="89"/>
      <c r="CP333" s="89"/>
      <c r="CQ333" s="89"/>
      <c r="CR333" s="89"/>
      <c r="CS333" s="89"/>
      <c r="CT333" s="89"/>
      <c r="CU333" s="89"/>
      <c r="CV333" s="89"/>
      <c r="CW333" s="89"/>
      <c r="CX333" s="89"/>
      <c r="CY333" s="89"/>
      <c r="CZ333" s="89"/>
      <c r="DA333" s="89"/>
      <c r="DB333" s="89"/>
      <c r="DC333" s="89"/>
      <c r="DD333" s="89"/>
      <c r="DE333" s="89"/>
      <c r="DF333" s="89"/>
      <c r="DG333" s="89"/>
      <c r="DH333" s="89"/>
      <c r="DI333" s="89"/>
      <c r="DJ333" s="89"/>
      <c r="DK333" s="89"/>
      <c r="DL333" s="89"/>
      <c r="DM333" s="89"/>
      <c r="DN333" s="89"/>
      <c r="DO333" s="89"/>
      <c r="DP333" s="89"/>
      <c r="DQ333" s="89"/>
      <c r="DR333" s="89"/>
      <c r="DS333" s="89"/>
      <c r="DT333" s="89"/>
      <c r="DU333" s="89"/>
      <c r="DV333" s="89"/>
      <c r="DW333" s="89"/>
      <c r="DX333" s="89"/>
      <c r="DY333" s="89"/>
      <c r="DZ333" s="89"/>
      <c r="EA333" s="89"/>
      <c r="EB333" s="89"/>
      <c r="EC333" s="89"/>
      <c r="ED333" s="89"/>
      <c r="EE333" s="89"/>
      <c r="EF333" s="89"/>
      <c r="EG333" s="89"/>
      <c r="EH333" s="89"/>
      <c r="EI333" s="89"/>
      <c r="EJ333" s="89"/>
      <c r="EK333" s="89"/>
      <c r="EL333" s="89"/>
      <c r="EM333" s="89"/>
      <c r="EN333" s="89"/>
      <c r="EO333" s="89"/>
    </row>
    <row r="334" spans="1:145" s="87" customFormat="1">
      <c r="A334" s="432">
        <v>12</v>
      </c>
      <c r="B334" s="89" t="s">
        <v>21</v>
      </c>
      <c r="C334" s="157" t="s">
        <v>4</v>
      </c>
      <c r="D334" s="177">
        <f>+'[5]Revenue BG'!C96</f>
        <v>0</v>
      </c>
      <c r="E334" s="177">
        <f>+'[5]Revenue BG'!D96</f>
        <v>0</v>
      </c>
      <c r="F334" s="177">
        <f>+'[5]Revenue BG'!E96</f>
        <v>0</v>
      </c>
      <c r="G334" s="177">
        <f>+'[5]Revenue BG'!F96</f>
        <v>0</v>
      </c>
      <c r="H334" s="177">
        <f>+'[5]Revenue BG'!G96</f>
        <v>0</v>
      </c>
      <c r="I334" s="177">
        <f>+'[5]Revenue BG'!H96</f>
        <v>0</v>
      </c>
      <c r="J334" s="177">
        <f>+'[5]Revenue BG'!I96</f>
        <v>0</v>
      </c>
      <c r="K334" s="177">
        <f>+'[5]Revenue BG'!J96</f>
        <v>0</v>
      </c>
      <c r="L334" s="177">
        <f>+'[5]Revenue BG'!K96</f>
        <v>0</v>
      </c>
      <c r="M334" s="177">
        <f>+'[5]Revenue BG'!L96</f>
        <v>0.822627</v>
      </c>
      <c r="N334" s="177">
        <f>+'[5]Revenue BG'!M96</f>
        <v>0</v>
      </c>
      <c r="O334" s="177">
        <f>+'[5]Revenue BG'!N96</f>
        <v>0</v>
      </c>
      <c r="P334" s="101">
        <f>SUM(D334:O334)</f>
        <v>0.822627</v>
      </c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89"/>
      <c r="AJ334" s="89"/>
      <c r="AK334" s="89"/>
      <c r="AL334" s="89"/>
      <c r="AM334" s="89"/>
      <c r="AN334" s="89"/>
      <c r="AO334" s="89"/>
      <c r="AP334" s="89"/>
      <c r="AQ334" s="89"/>
      <c r="AR334" s="89"/>
      <c r="AS334" s="89"/>
      <c r="AT334" s="89"/>
      <c r="AU334" s="89"/>
      <c r="AV334" s="89"/>
      <c r="AW334" s="89"/>
      <c r="AX334" s="89"/>
      <c r="AY334" s="89"/>
      <c r="AZ334" s="89"/>
      <c r="BA334" s="89"/>
      <c r="BB334" s="89"/>
      <c r="BC334" s="89"/>
      <c r="BD334" s="89"/>
      <c r="BE334" s="89"/>
      <c r="BF334" s="89"/>
      <c r="BG334" s="89"/>
      <c r="BH334" s="89"/>
      <c r="BI334" s="89"/>
      <c r="BJ334" s="89"/>
      <c r="BK334" s="89"/>
      <c r="BL334" s="89"/>
      <c r="BM334" s="89"/>
      <c r="BN334" s="89"/>
      <c r="BO334" s="89"/>
      <c r="BP334" s="89"/>
      <c r="BQ334" s="89"/>
      <c r="BR334" s="89"/>
      <c r="BS334" s="89"/>
      <c r="BT334" s="89"/>
      <c r="BU334" s="89"/>
      <c r="BV334" s="89"/>
      <c r="BW334" s="89"/>
      <c r="BX334" s="89"/>
      <c r="BY334" s="89"/>
      <c r="BZ334" s="89"/>
      <c r="CA334" s="89"/>
      <c r="CB334" s="89"/>
      <c r="CC334" s="89"/>
      <c r="CD334" s="89"/>
      <c r="CE334" s="89"/>
      <c r="CF334" s="89"/>
      <c r="CG334" s="89"/>
      <c r="CH334" s="89"/>
      <c r="CI334" s="89"/>
      <c r="CJ334" s="89"/>
      <c r="CK334" s="89"/>
      <c r="CL334" s="89"/>
      <c r="CM334" s="89"/>
      <c r="CN334" s="89"/>
      <c r="CO334" s="89"/>
      <c r="CP334" s="89"/>
      <c r="CQ334" s="89"/>
      <c r="CR334" s="89"/>
      <c r="CS334" s="89"/>
      <c r="CT334" s="89"/>
      <c r="CU334" s="89"/>
      <c r="CV334" s="89"/>
      <c r="CW334" s="89"/>
      <c r="CX334" s="89"/>
      <c r="CY334" s="89"/>
      <c r="CZ334" s="89"/>
      <c r="DA334" s="89"/>
      <c r="DB334" s="89"/>
      <c r="DC334" s="89"/>
      <c r="DD334" s="89"/>
      <c r="DE334" s="89"/>
      <c r="DF334" s="89"/>
      <c r="DG334" s="89"/>
      <c r="DH334" s="89"/>
      <c r="DI334" s="89"/>
      <c r="DJ334" s="89"/>
      <c r="DK334" s="89"/>
      <c r="DL334" s="89"/>
      <c r="DM334" s="89"/>
      <c r="DN334" s="89"/>
      <c r="DO334" s="89"/>
      <c r="DP334" s="89"/>
      <c r="DQ334" s="89"/>
      <c r="DR334" s="89"/>
      <c r="DS334" s="89"/>
      <c r="DT334" s="89"/>
      <c r="DU334" s="89"/>
      <c r="DV334" s="89"/>
      <c r="DW334" s="89"/>
      <c r="DX334" s="89"/>
      <c r="DY334" s="89"/>
      <c r="DZ334" s="89"/>
      <c r="EA334" s="89"/>
      <c r="EB334" s="89"/>
      <c r="EC334" s="89"/>
      <c r="ED334" s="89"/>
      <c r="EE334" s="89"/>
      <c r="EF334" s="89"/>
      <c r="EG334" s="89"/>
      <c r="EH334" s="89"/>
      <c r="EI334" s="89"/>
      <c r="EJ334" s="89"/>
      <c r="EK334" s="89"/>
      <c r="EL334" s="89"/>
      <c r="EM334" s="89"/>
      <c r="EN334" s="89"/>
      <c r="EO334" s="89"/>
    </row>
    <row r="335" spans="1:145" s="87" customFormat="1">
      <c r="A335" s="432"/>
      <c r="C335" s="99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  <c r="O335" s="177"/>
      <c r="P335" s="177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89"/>
      <c r="AJ335" s="89"/>
      <c r="AK335" s="89"/>
      <c r="AL335" s="89"/>
      <c r="AM335" s="89"/>
      <c r="AN335" s="89"/>
      <c r="AO335" s="89"/>
      <c r="AP335" s="89"/>
      <c r="AQ335" s="89"/>
      <c r="AR335" s="89"/>
      <c r="AS335" s="89"/>
      <c r="AT335" s="89"/>
      <c r="AU335" s="89"/>
      <c r="AV335" s="89"/>
      <c r="AW335" s="89"/>
      <c r="AX335" s="89"/>
      <c r="AY335" s="89"/>
      <c r="AZ335" s="89"/>
      <c r="BA335" s="89"/>
      <c r="BB335" s="89"/>
      <c r="BC335" s="89"/>
      <c r="BD335" s="89"/>
      <c r="BE335" s="89"/>
      <c r="BF335" s="89"/>
      <c r="BG335" s="89"/>
      <c r="BH335" s="89"/>
      <c r="BI335" s="89"/>
      <c r="BJ335" s="89"/>
      <c r="BK335" s="89"/>
      <c r="BL335" s="89"/>
      <c r="BM335" s="89"/>
      <c r="BN335" s="89"/>
      <c r="BO335" s="89"/>
      <c r="BP335" s="89"/>
      <c r="BQ335" s="89"/>
      <c r="BR335" s="89"/>
      <c r="BS335" s="89"/>
      <c r="BT335" s="89"/>
      <c r="BU335" s="89"/>
      <c r="BV335" s="89"/>
      <c r="BW335" s="89"/>
      <c r="BX335" s="89"/>
      <c r="BY335" s="89"/>
      <c r="BZ335" s="89"/>
      <c r="CA335" s="89"/>
      <c r="CB335" s="89"/>
      <c r="CC335" s="89"/>
      <c r="CD335" s="89"/>
      <c r="CE335" s="89"/>
      <c r="CF335" s="89"/>
      <c r="CG335" s="89"/>
      <c r="CH335" s="89"/>
      <c r="CI335" s="89"/>
      <c r="CJ335" s="89"/>
      <c r="CK335" s="89"/>
      <c r="CL335" s="89"/>
      <c r="CM335" s="89"/>
      <c r="CN335" s="89"/>
      <c r="CO335" s="89"/>
      <c r="CP335" s="89"/>
      <c r="CQ335" s="89"/>
      <c r="CR335" s="89"/>
      <c r="CS335" s="89"/>
      <c r="CT335" s="89"/>
      <c r="CU335" s="89"/>
      <c r="CV335" s="89"/>
      <c r="CW335" s="89"/>
      <c r="CX335" s="89"/>
      <c r="CY335" s="89"/>
      <c r="CZ335" s="89"/>
      <c r="DA335" s="89"/>
      <c r="DB335" s="89"/>
      <c r="DC335" s="89"/>
      <c r="DD335" s="89"/>
      <c r="DE335" s="89"/>
      <c r="DF335" s="89"/>
      <c r="DG335" s="89"/>
      <c r="DH335" s="89"/>
      <c r="DI335" s="89"/>
      <c r="DJ335" s="89"/>
      <c r="DK335" s="89"/>
      <c r="DL335" s="89"/>
      <c r="DM335" s="89"/>
      <c r="DN335" s="89"/>
      <c r="DO335" s="89"/>
      <c r="DP335" s="89"/>
      <c r="DQ335" s="89"/>
      <c r="DR335" s="89"/>
      <c r="DS335" s="89"/>
      <c r="DT335" s="89"/>
      <c r="DU335" s="89"/>
      <c r="DV335" s="89"/>
      <c r="DW335" s="89"/>
      <c r="DX335" s="89"/>
      <c r="DY335" s="89"/>
      <c r="DZ335" s="89"/>
      <c r="EA335" s="89"/>
      <c r="EB335" s="89"/>
      <c r="EC335" s="89"/>
      <c r="ED335" s="89"/>
      <c r="EE335" s="89"/>
      <c r="EF335" s="89"/>
      <c r="EG335" s="89"/>
      <c r="EH335" s="89"/>
      <c r="EI335" s="89"/>
      <c r="EJ335" s="89"/>
      <c r="EK335" s="89"/>
      <c r="EL335" s="89"/>
      <c r="EM335" s="89"/>
      <c r="EN335" s="89"/>
      <c r="EO335" s="89"/>
    </row>
    <row r="336" spans="1:145" s="87" customFormat="1">
      <c r="A336" s="432">
        <v>13</v>
      </c>
      <c r="B336" s="393" t="s">
        <v>22</v>
      </c>
      <c r="C336" s="362"/>
      <c r="D336" s="394">
        <f t="shared" ref="D336" si="131">D334+D332+D330+D324+D320+D318</f>
        <v>493572.13462760218</v>
      </c>
      <c r="E336" s="394">
        <f t="shared" ref="E336:O336" si="132">E334+E332+E330+E324+E320+E318</f>
        <v>516749.15849969862</v>
      </c>
      <c r="F336" s="394">
        <f t="shared" si="132"/>
        <v>-1183472.4535786472</v>
      </c>
      <c r="G336" s="394">
        <f t="shared" si="132"/>
        <v>-706875.87431416102</v>
      </c>
      <c r="H336" s="394">
        <f t="shared" si="132"/>
        <v>583349.12674825627</v>
      </c>
      <c r="I336" s="394">
        <f t="shared" si="132"/>
        <v>-867086.45050031703</v>
      </c>
      <c r="J336" s="394">
        <f t="shared" si="132"/>
        <v>-1063155.9272584857</v>
      </c>
      <c r="K336" s="394">
        <f t="shared" si="132"/>
        <v>1134077.8924793792</v>
      </c>
      <c r="L336" s="394">
        <f t="shared" si="132"/>
        <v>744708.51024573052</v>
      </c>
      <c r="M336" s="394">
        <f t="shared" si="132"/>
        <v>-3077516.7569087017</v>
      </c>
      <c r="N336" s="394">
        <f t="shared" si="132"/>
        <v>-2831940.0815885086</v>
      </c>
      <c r="O336" s="394">
        <f t="shared" si="132"/>
        <v>-2833980.9867757261</v>
      </c>
      <c r="P336" s="394">
        <f>P334+P332+P330+P324+P320+P318</f>
        <v>-9091571.708323881</v>
      </c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89"/>
      <c r="AJ336" s="89"/>
      <c r="AK336" s="89"/>
      <c r="AL336" s="89"/>
      <c r="AM336" s="89"/>
      <c r="AN336" s="89"/>
      <c r="AO336" s="89"/>
      <c r="AP336" s="89"/>
      <c r="AQ336" s="89"/>
      <c r="AR336" s="89"/>
      <c r="AS336" s="89"/>
      <c r="AT336" s="89"/>
      <c r="AU336" s="89"/>
      <c r="AV336" s="89"/>
      <c r="AW336" s="89"/>
      <c r="AX336" s="89"/>
      <c r="AY336" s="89"/>
      <c r="AZ336" s="89"/>
      <c r="BA336" s="89"/>
      <c r="BB336" s="89"/>
      <c r="BC336" s="89"/>
      <c r="BD336" s="89"/>
      <c r="BE336" s="89"/>
      <c r="BF336" s="89"/>
      <c r="BG336" s="89"/>
      <c r="BH336" s="89"/>
      <c r="BI336" s="89"/>
      <c r="BJ336" s="89"/>
      <c r="BK336" s="89"/>
      <c r="BL336" s="89"/>
      <c r="BM336" s="89"/>
      <c r="BN336" s="89"/>
      <c r="BO336" s="89"/>
      <c r="BP336" s="89"/>
      <c r="BQ336" s="89"/>
      <c r="BR336" s="89"/>
      <c r="BS336" s="89"/>
      <c r="BT336" s="89"/>
      <c r="BU336" s="89"/>
      <c r="BV336" s="89"/>
      <c r="BW336" s="89"/>
      <c r="BX336" s="89"/>
      <c r="BY336" s="89"/>
      <c r="BZ336" s="89"/>
      <c r="CA336" s="89"/>
      <c r="CB336" s="89"/>
      <c r="CC336" s="89"/>
      <c r="CD336" s="89"/>
      <c r="CE336" s="89"/>
      <c r="CF336" s="89"/>
      <c r="CG336" s="89"/>
      <c r="CH336" s="89"/>
      <c r="CI336" s="89"/>
      <c r="CJ336" s="89"/>
      <c r="CK336" s="89"/>
      <c r="CL336" s="89"/>
      <c r="CM336" s="89"/>
      <c r="CN336" s="89"/>
      <c r="CO336" s="89"/>
      <c r="CP336" s="89"/>
      <c r="CQ336" s="89"/>
      <c r="CR336" s="89"/>
      <c r="CS336" s="89"/>
      <c r="CT336" s="89"/>
      <c r="CU336" s="89"/>
      <c r="CV336" s="89"/>
      <c r="CW336" s="89"/>
      <c r="CX336" s="89"/>
      <c r="CY336" s="89"/>
      <c r="CZ336" s="89"/>
      <c r="DA336" s="89"/>
      <c r="DB336" s="89"/>
      <c r="DC336" s="89"/>
      <c r="DD336" s="89"/>
      <c r="DE336" s="89"/>
      <c r="DF336" s="89"/>
      <c r="DG336" s="89"/>
      <c r="DH336" s="89"/>
      <c r="DI336" s="89"/>
      <c r="DJ336" s="89"/>
      <c r="DK336" s="89"/>
      <c r="DL336" s="89"/>
      <c r="DM336" s="89"/>
      <c r="DN336" s="89"/>
      <c r="DO336" s="89"/>
      <c r="DP336" s="89"/>
      <c r="DQ336" s="89"/>
      <c r="DR336" s="89"/>
      <c r="DS336" s="89"/>
      <c r="DT336" s="89"/>
      <c r="DU336" s="89"/>
      <c r="DV336" s="89"/>
      <c r="DW336" s="89"/>
      <c r="DX336" s="89"/>
      <c r="DY336" s="89"/>
      <c r="DZ336" s="89"/>
      <c r="EA336" s="89"/>
      <c r="EB336" s="89"/>
      <c r="EC336" s="89"/>
      <c r="ED336" s="89"/>
      <c r="EE336" s="89"/>
      <c r="EF336" s="89"/>
      <c r="EG336" s="89"/>
      <c r="EH336" s="89"/>
      <c r="EI336" s="89"/>
      <c r="EJ336" s="89"/>
      <c r="EK336" s="89"/>
      <c r="EL336" s="89"/>
      <c r="EM336" s="89"/>
      <c r="EN336" s="89"/>
      <c r="EO336" s="89"/>
    </row>
    <row r="337" spans="1:19">
      <c r="B337" s="362"/>
      <c r="C337" s="362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</row>
    <row r="338" spans="1:19">
      <c r="A338" s="386">
        <v>14</v>
      </c>
      <c r="B338" s="89" t="s">
        <v>69</v>
      </c>
      <c r="C338" s="157" t="s">
        <v>5</v>
      </c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  <c r="O338" s="177"/>
      <c r="P338" s="101">
        <f>SUM(D338:O338)</f>
        <v>0</v>
      </c>
    </row>
    <row r="339" spans="1:19">
      <c r="A339" s="386">
        <v>15</v>
      </c>
      <c r="B339" s="89" t="s">
        <v>70</v>
      </c>
      <c r="C339" s="157" t="s">
        <v>6</v>
      </c>
      <c r="D339" s="388"/>
      <c r="E339" s="388"/>
      <c r="F339" s="388"/>
      <c r="G339" s="388"/>
      <c r="H339" s="388"/>
      <c r="I339" s="388"/>
      <c r="J339" s="388"/>
      <c r="K339" s="388"/>
      <c r="L339" s="388"/>
      <c r="M339" s="388"/>
      <c r="N339" s="388"/>
      <c r="O339" s="388"/>
      <c r="P339" s="425">
        <f>SUM(D339:O339)</f>
        <v>0</v>
      </c>
    </row>
    <row r="340" spans="1:19">
      <c r="A340" s="386">
        <v>16</v>
      </c>
      <c r="B340" s="393" t="s">
        <v>23</v>
      </c>
      <c r="C340" s="361"/>
      <c r="D340" s="101">
        <f t="shared" ref="D340:P340" si="133">SUM(D338:D339)</f>
        <v>0</v>
      </c>
      <c r="E340" s="101">
        <f t="shared" si="133"/>
        <v>0</v>
      </c>
      <c r="F340" s="101">
        <f t="shared" si="133"/>
        <v>0</v>
      </c>
      <c r="G340" s="101">
        <f t="shared" si="133"/>
        <v>0</v>
      </c>
      <c r="H340" s="101">
        <f t="shared" si="133"/>
        <v>0</v>
      </c>
      <c r="I340" s="101">
        <f t="shared" si="133"/>
        <v>0</v>
      </c>
      <c r="J340" s="101">
        <f t="shared" si="133"/>
        <v>0</v>
      </c>
      <c r="K340" s="101">
        <f t="shared" si="133"/>
        <v>0</v>
      </c>
      <c r="L340" s="101">
        <f t="shared" si="133"/>
        <v>0</v>
      </c>
      <c r="M340" s="101">
        <f t="shared" si="133"/>
        <v>0</v>
      </c>
      <c r="N340" s="101">
        <f t="shared" si="133"/>
        <v>0</v>
      </c>
      <c r="O340" s="101">
        <f t="shared" si="133"/>
        <v>0</v>
      </c>
      <c r="P340" s="101">
        <f t="shared" si="133"/>
        <v>0</v>
      </c>
    </row>
    <row r="341" spans="1:19">
      <c r="A341" s="386"/>
      <c r="B341" s="87"/>
      <c r="C341" s="396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  <c r="O341" s="177"/>
      <c r="P341" s="177"/>
    </row>
    <row r="342" spans="1:19" ht="12" thickBot="1">
      <c r="A342" s="386">
        <v>17</v>
      </c>
      <c r="B342" s="147" t="s">
        <v>92</v>
      </c>
      <c r="C342" s="361"/>
      <c r="D342" s="426">
        <f t="shared" ref="D342:P342" si="134">+D340+D336</f>
        <v>493572.13462760218</v>
      </c>
      <c r="E342" s="426">
        <f t="shared" si="134"/>
        <v>516749.15849969862</v>
      </c>
      <c r="F342" s="426">
        <f t="shared" si="134"/>
        <v>-1183472.4535786472</v>
      </c>
      <c r="G342" s="426">
        <f t="shared" si="134"/>
        <v>-706875.87431416102</v>
      </c>
      <c r="H342" s="426">
        <f t="shared" si="134"/>
        <v>583349.12674825627</v>
      </c>
      <c r="I342" s="426">
        <f t="shared" si="134"/>
        <v>-867086.45050031703</v>
      </c>
      <c r="J342" s="426">
        <f t="shared" si="134"/>
        <v>-1063155.9272584857</v>
      </c>
      <c r="K342" s="426">
        <f t="shared" si="134"/>
        <v>1134077.8924793792</v>
      </c>
      <c r="L342" s="426">
        <f t="shared" si="134"/>
        <v>744708.51024573052</v>
      </c>
      <c r="M342" s="426">
        <f t="shared" si="134"/>
        <v>-3077516.7569087017</v>
      </c>
      <c r="N342" s="426">
        <f t="shared" si="134"/>
        <v>-2831940.0815885086</v>
      </c>
      <c r="O342" s="426">
        <f t="shared" si="134"/>
        <v>-2833980.9867757261</v>
      </c>
      <c r="P342" s="426">
        <f t="shared" si="134"/>
        <v>-9091571.708323881</v>
      </c>
      <c r="Q342" s="138"/>
      <c r="R342" s="89"/>
      <c r="S342" s="89"/>
    </row>
    <row r="343" spans="1:19" ht="12" thickTop="1">
      <c r="A343" s="5"/>
      <c r="B343" s="131"/>
      <c r="C343" s="99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89"/>
      <c r="R343" s="89"/>
      <c r="S343" s="89"/>
    </row>
    <row r="344" spans="1:19" s="373" customFormat="1" ht="12.75">
      <c r="A344" s="134"/>
      <c r="B344" s="371" t="str">
        <f>B8</f>
        <v>AEP TEXAS</v>
      </c>
      <c r="C344" s="371"/>
      <c r="D344" s="371"/>
      <c r="E344" s="371"/>
      <c r="F344" s="371"/>
      <c r="G344" s="371"/>
      <c r="H344" s="371"/>
      <c r="I344" s="371"/>
      <c r="J344" s="371"/>
      <c r="K344" s="371"/>
      <c r="L344" s="371"/>
      <c r="M344" s="371"/>
      <c r="N344" s="371"/>
      <c r="O344" s="371"/>
      <c r="P344" s="371"/>
    </row>
    <row r="345" spans="1:19">
      <c r="B345" s="372" t="s">
        <v>71</v>
      </c>
      <c r="C345" s="444"/>
      <c r="D345" s="444"/>
      <c r="E345" s="444"/>
      <c r="F345" s="444"/>
      <c r="G345" s="444"/>
      <c r="H345" s="444"/>
      <c r="I345" s="444"/>
      <c r="J345" s="444"/>
      <c r="K345" s="444"/>
      <c r="L345" s="444"/>
      <c r="M345" s="444"/>
      <c r="N345" s="444"/>
      <c r="O345" s="444"/>
      <c r="P345" s="444"/>
    </row>
    <row r="346" spans="1:19">
      <c r="B346" s="444" t="str">
        <f>B10</f>
        <v>FOR TEST YEAR ENDED SEPTEMBER 30, 2023</v>
      </c>
      <c r="C346" s="444"/>
      <c r="D346" s="444"/>
      <c r="E346" s="444"/>
      <c r="F346" s="444"/>
      <c r="G346" s="444"/>
      <c r="H346" s="444"/>
      <c r="I346" s="444"/>
      <c r="J346" s="444"/>
      <c r="K346" s="444"/>
      <c r="L346" s="444"/>
      <c r="M346" s="444"/>
      <c r="N346" s="444"/>
      <c r="O346" s="444"/>
      <c r="P346" s="444"/>
    </row>
    <row r="347" spans="1:19">
      <c r="A347" s="5"/>
      <c r="B347" s="159"/>
      <c r="C347" s="160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</row>
    <row r="348" spans="1:19">
      <c r="B348" s="99"/>
      <c r="C348" s="161"/>
      <c r="D348" s="447"/>
      <c r="E348" s="101"/>
      <c r="F348" s="101"/>
      <c r="G348" s="447"/>
      <c r="H348" s="101"/>
      <c r="I348" s="101"/>
      <c r="J348" s="177"/>
      <c r="K348" s="101"/>
      <c r="L348" s="101"/>
      <c r="M348" s="101"/>
      <c r="N348" s="101"/>
      <c r="O348" s="101"/>
      <c r="P348" s="101"/>
    </row>
    <row r="349" spans="1:19">
      <c r="A349" s="10" t="s">
        <v>8</v>
      </c>
      <c r="B349" s="361" t="s">
        <v>0</v>
      </c>
      <c r="C349" s="361" t="s">
        <v>7</v>
      </c>
      <c r="D349" s="447" t="str">
        <f t="shared" ref="D349:O349" si="135">D13</f>
        <v>Oct-22</v>
      </c>
      <c r="E349" s="447" t="str">
        <f t="shared" si="135"/>
        <v>Nov-22</v>
      </c>
      <c r="F349" s="447" t="str">
        <f t="shared" si="135"/>
        <v>Dec-22</v>
      </c>
      <c r="G349" s="447" t="str">
        <f t="shared" si="135"/>
        <v>Jan-23</v>
      </c>
      <c r="H349" s="447" t="str">
        <f t="shared" si="135"/>
        <v>Feb-23</v>
      </c>
      <c r="I349" s="447" t="str">
        <f t="shared" si="135"/>
        <v>Mar-23</v>
      </c>
      <c r="J349" s="447" t="str">
        <f t="shared" si="135"/>
        <v>Apr-23</v>
      </c>
      <c r="K349" s="447" t="str">
        <f t="shared" si="135"/>
        <v>May-23</v>
      </c>
      <c r="L349" s="447" t="str">
        <f t="shared" si="135"/>
        <v>Jun-23</v>
      </c>
      <c r="M349" s="447" t="str">
        <f t="shared" si="135"/>
        <v>Jul-23</v>
      </c>
      <c r="N349" s="447" t="str">
        <f t="shared" si="135"/>
        <v>Aug-23</v>
      </c>
      <c r="O349" s="447" t="str">
        <f t="shared" si="135"/>
        <v>Sep-23</v>
      </c>
      <c r="P349" s="361" t="s">
        <v>2</v>
      </c>
    </row>
    <row r="350" spans="1:19">
      <c r="B350" s="99"/>
      <c r="C350" s="161"/>
      <c r="D350" s="160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</row>
    <row r="351" spans="1:19">
      <c r="A351" s="386" t="s">
        <v>9</v>
      </c>
      <c r="B351" s="87" t="s">
        <v>17</v>
      </c>
      <c r="C351" s="99" t="s">
        <v>4</v>
      </c>
      <c r="D351" s="177" cm="1">
        <f t="array" ref="D351">SUMPRODUCT((H_Rate_Class=$B351)*'[5]Demand - D'!D$369:D$478)</f>
        <v>0</v>
      </c>
      <c r="E351" s="177" cm="1">
        <f t="array" ref="E351">SUMPRODUCT((H_Rate_Class=$B351)*'[5]Demand - D'!E$369:E$478)</f>
        <v>0</v>
      </c>
      <c r="F351" s="177" cm="1">
        <f t="array" ref="F351">SUMPRODUCT((H_Rate_Class=$B351)*'[5]Demand - D'!F$369:F$478)</f>
        <v>0</v>
      </c>
      <c r="G351" s="177" cm="1">
        <f t="array" ref="G351">SUMPRODUCT((H_Rate_Class=$B351)*'[5]Demand - D'!G$369:G$478)</f>
        <v>0</v>
      </c>
      <c r="H351" s="177" cm="1">
        <f t="array" ref="H351">SUMPRODUCT((H_Rate_Class=$B351)*'[5]Demand - D'!H$369:H$478)</f>
        <v>0</v>
      </c>
      <c r="I351" s="177" cm="1">
        <f t="array" ref="I351">SUMPRODUCT((H_Rate_Class=$B351)*'[5]Demand - D'!I$369:I$478)</f>
        <v>0</v>
      </c>
      <c r="J351" s="177" cm="1">
        <f t="array" ref="J351">SUMPRODUCT((H_Rate_Class=$B351)*'[5]Demand - D'!J$369:J$478)</f>
        <v>0</v>
      </c>
      <c r="K351" s="177" cm="1">
        <f t="array" ref="K351">SUMPRODUCT((H_Rate_Class=$B351)*'[5]Demand - D'!K$369:K$478)</f>
        <v>0</v>
      </c>
      <c r="L351" s="177" cm="1">
        <f t="array" ref="L351">SUMPRODUCT((H_Rate_Class=$B351)*'[5]Demand - D'!L$369:L$478)</f>
        <v>0</v>
      </c>
      <c r="M351" s="177" cm="1">
        <f t="array" ref="M351">SUMPRODUCT((H_Rate_Class=$B351)*'[5]Demand - D'!M$369:M$478)</f>
        <v>0</v>
      </c>
      <c r="N351" s="177" cm="1">
        <f t="array" ref="N351">SUMPRODUCT((H_Rate_Class=$B351)*'[5]Demand - D'!N$369:N$478)</f>
        <v>0</v>
      </c>
      <c r="O351" s="177" cm="1">
        <f t="array" ref="O351">SUMPRODUCT((H_Rate_Class=$B351)*'[5]Demand - D'!O$369:O$478)</f>
        <v>0</v>
      </c>
      <c r="P351" s="424">
        <f>SUM(D351:O351)</f>
        <v>0</v>
      </c>
    </row>
    <row r="352" spans="1:19">
      <c r="B352" s="87"/>
      <c r="C352" s="99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</row>
    <row r="353" spans="1:16">
      <c r="A353" s="386">
        <v>2</v>
      </c>
      <c r="B353" s="87" t="s">
        <v>20</v>
      </c>
      <c r="C353" s="99" t="s">
        <v>4</v>
      </c>
      <c r="D353" s="177" cm="1">
        <f t="array" ref="D353">SUMPRODUCT((H_Rate_Class=$B353)*'[5]Demand - D'!D$369:D$478)</f>
        <v>0</v>
      </c>
      <c r="E353" s="177" cm="1">
        <f t="array" ref="E353">SUMPRODUCT((H_Rate_Class=$B353)*'[5]Demand - D'!E$369:E$478)</f>
        <v>0</v>
      </c>
      <c r="F353" s="177" cm="1">
        <f t="array" ref="F353">SUMPRODUCT((H_Rate_Class=$B353)*'[5]Demand - D'!F$369:F$478)</f>
        <v>0</v>
      </c>
      <c r="G353" s="177" cm="1">
        <f t="array" ref="G353">SUMPRODUCT((H_Rate_Class=$B353)*'[5]Demand - D'!G$369:G$478)</f>
        <v>0</v>
      </c>
      <c r="H353" s="177" cm="1">
        <f t="array" ref="H353">SUMPRODUCT((H_Rate_Class=$B353)*'[5]Demand - D'!H$369:H$478)</f>
        <v>0</v>
      </c>
      <c r="I353" s="177" cm="1">
        <f t="array" ref="I353">SUMPRODUCT((H_Rate_Class=$B353)*'[5]Demand - D'!I$369:I$478)</f>
        <v>0</v>
      </c>
      <c r="J353" s="177" cm="1">
        <f t="array" ref="J353">SUMPRODUCT((H_Rate_Class=$B353)*'[5]Demand - D'!J$369:J$478)</f>
        <v>0</v>
      </c>
      <c r="K353" s="177" cm="1">
        <f t="array" ref="K353">SUMPRODUCT((H_Rate_Class=$B353)*'[5]Demand - D'!K$369:K$478)</f>
        <v>0</v>
      </c>
      <c r="L353" s="177" cm="1">
        <f t="array" ref="L353">SUMPRODUCT((H_Rate_Class=$B353)*'[5]Demand - D'!L$369:L$478)</f>
        <v>0</v>
      </c>
      <c r="M353" s="177" cm="1">
        <f t="array" ref="M353">SUMPRODUCT((H_Rate_Class=$B353)*'[5]Demand - D'!M$369:M$478)</f>
        <v>0</v>
      </c>
      <c r="N353" s="177" cm="1">
        <f t="array" ref="N353">SUMPRODUCT((H_Rate_Class=$B353)*'[5]Demand - D'!N$369:N$478)</f>
        <v>0</v>
      </c>
      <c r="O353" s="177" cm="1">
        <f t="array" ref="O353">SUMPRODUCT((H_Rate_Class=$B353)*'[5]Demand - D'!O$369:O$478)</f>
        <v>0</v>
      </c>
      <c r="P353" s="101">
        <f>SUM(D353:O353)</f>
        <v>0</v>
      </c>
    </row>
    <row r="354" spans="1:16">
      <c r="A354" s="386"/>
      <c r="B354" s="87"/>
      <c r="C354" s="99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  <c r="O354" s="177"/>
      <c r="P354" s="101"/>
    </row>
    <row r="355" spans="1:16">
      <c r="A355" s="386">
        <v>3</v>
      </c>
      <c r="B355" s="87" t="s">
        <v>81</v>
      </c>
      <c r="C355" s="157" t="s">
        <v>4</v>
      </c>
      <c r="D355" s="390">
        <v>-355</v>
      </c>
      <c r="E355" s="390">
        <v>-355</v>
      </c>
      <c r="F355" s="390">
        <v>-355</v>
      </c>
      <c r="G355" s="390">
        <v>-355</v>
      </c>
      <c r="H355" s="390">
        <v>-355</v>
      </c>
      <c r="I355" s="390">
        <v>-355</v>
      </c>
      <c r="J355" s="390">
        <v>-355</v>
      </c>
      <c r="K355" s="390">
        <v>-355</v>
      </c>
      <c r="L355" s="390">
        <v>-355</v>
      </c>
      <c r="M355" s="390">
        <v>-355</v>
      </c>
      <c r="N355" s="390">
        <v>-355</v>
      </c>
      <c r="O355" s="390">
        <v>-355</v>
      </c>
      <c r="P355" s="101">
        <f>SUM(D355:O355)</f>
        <v>-4260</v>
      </c>
    </row>
    <row r="356" spans="1:16">
      <c r="A356" s="386">
        <v>4</v>
      </c>
      <c r="B356" s="87" t="s">
        <v>85</v>
      </c>
      <c r="C356" s="157" t="s">
        <v>4</v>
      </c>
      <c r="D356" s="388" cm="1">
        <f t="array" ref="D356">SUMPRODUCT((H_Rate_Class=$B356)*'[5]Demand - D'!D$369:D$478)</f>
        <v>0</v>
      </c>
      <c r="E356" s="388" cm="1">
        <f t="array" ref="E356">SUMPRODUCT((H_Rate_Class=$B356)*'[5]Demand - D'!E$369:E$478)</f>
        <v>0</v>
      </c>
      <c r="F356" s="388" cm="1">
        <f t="array" ref="F356">SUMPRODUCT((H_Rate_Class=$B356)*'[5]Demand - D'!F$369:F$478)</f>
        <v>0</v>
      </c>
      <c r="G356" s="388" cm="1">
        <f t="array" ref="G356">SUMPRODUCT((H_Rate_Class=$B356)*'[5]Demand - D'!G$369:G$478)</f>
        <v>0</v>
      </c>
      <c r="H356" s="388" cm="1">
        <f t="array" ref="H356">SUMPRODUCT((H_Rate_Class=$B356)*'[5]Demand - D'!H$369:H$478)</f>
        <v>0</v>
      </c>
      <c r="I356" s="388" cm="1">
        <f t="array" ref="I356">SUMPRODUCT((H_Rate_Class=$B356)*'[5]Demand - D'!I$369:I$478)</f>
        <v>0</v>
      </c>
      <c r="J356" s="388" cm="1">
        <f t="array" ref="J356">SUMPRODUCT((H_Rate_Class=$B356)*'[5]Demand - D'!J$369:J$478)</f>
        <v>0</v>
      </c>
      <c r="K356" s="388" cm="1">
        <f t="array" ref="K356">SUMPRODUCT((H_Rate_Class=$B356)*'[5]Demand - D'!K$369:K$478)</f>
        <v>0</v>
      </c>
      <c r="L356" s="388" cm="1">
        <f t="array" ref="L356">SUMPRODUCT((H_Rate_Class=$B356)*'[5]Demand - D'!L$369:L$478)</f>
        <v>0</v>
      </c>
      <c r="M356" s="388" cm="1">
        <f t="array" ref="M356">SUMPRODUCT((H_Rate_Class=$B356)*'[5]Demand - D'!M$369:M$478)</f>
        <v>0</v>
      </c>
      <c r="N356" s="388" cm="1">
        <f t="array" ref="N356">SUMPRODUCT((H_Rate_Class=$B356)*'[5]Demand - D'!N$369:N$478)</f>
        <v>0</v>
      </c>
      <c r="O356" s="388" cm="1">
        <f t="array" ref="O356">SUMPRODUCT((H_Rate_Class=$B356)*'[5]Demand - D'!O$369:O$478)</f>
        <v>0</v>
      </c>
      <c r="P356" s="388">
        <f>SUM(D356:O356)</f>
        <v>0</v>
      </c>
    </row>
    <row r="357" spans="1:16">
      <c r="A357" s="386">
        <v>5</v>
      </c>
      <c r="B357" s="131" t="s">
        <v>18</v>
      </c>
      <c r="C357" s="99"/>
      <c r="D357" s="177">
        <f>SUM(D355:D356)</f>
        <v>-355</v>
      </c>
      <c r="E357" s="177">
        <f t="shared" ref="E357:O357" si="136">SUM(E355:E356)</f>
        <v>-355</v>
      </c>
      <c r="F357" s="177">
        <f t="shared" si="136"/>
        <v>-355</v>
      </c>
      <c r="G357" s="177">
        <f t="shared" si="136"/>
        <v>-355</v>
      </c>
      <c r="H357" s="177">
        <f t="shared" si="136"/>
        <v>-355</v>
      </c>
      <c r="I357" s="177">
        <f t="shared" si="136"/>
        <v>-355</v>
      </c>
      <c r="J357" s="177">
        <f t="shared" si="136"/>
        <v>-355</v>
      </c>
      <c r="K357" s="177">
        <f t="shared" si="136"/>
        <v>-355</v>
      </c>
      <c r="L357" s="177">
        <f t="shared" si="136"/>
        <v>-355</v>
      </c>
      <c r="M357" s="177">
        <f t="shared" si="136"/>
        <v>-355</v>
      </c>
      <c r="N357" s="177">
        <f t="shared" si="136"/>
        <v>-355</v>
      </c>
      <c r="O357" s="177">
        <f t="shared" si="136"/>
        <v>-355</v>
      </c>
      <c r="P357" s="177">
        <f>SUM(P355:P356)</f>
        <v>-4260</v>
      </c>
    </row>
    <row r="358" spans="1:16">
      <c r="B358" s="147"/>
      <c r="C358" s="99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  <c r="O358" s="177"/>
      <c r="P358" s="177"/>
    </row>
    <row r="359" spans="1:16">
      <c r="A359" s="386">
        <v>6</v>
      </c>
      <c r="B359" s="87" t="s">
        <v>82</v>
      </c>
      <c r="C359" s="157" t="s">
        <v>5</v>
      </c>
      <c r="D359" s="177" cm="1">
        <f t="array" ref="D359">SUMPRODUCT((H_Rate_Class=$B359)*'[5]Demand - D'!D$369:D$478)</f>
        <v>0</v>
      </c>
      <c r="E359" s="177" cm="1">
        <f t="array" ref="E359">SUMPRODUCT((H_Rate_Class=$B359)*'[5]Demand - D'!E$369:E$478)</f>
        <v>0</v>
      </c>
      <c r="F359" s="177" cm="1">
        <f t="array" ref="F359">SUMPRODUCT((H_Rate_Class=$B359)*'[5]Demand - D'!F$369:F$478)</f>
        <v>0</v>
      </c>
      <c r="G359" s="177" cm="1">
        <f t="array" ref="G359">SUMPRODUCT((H_Rate_Class=$B359)*'[5]Demand - D'!G$369:G$478)</f>
        <v>0</v>
      </c>
      <c r="H359" s="177" cm="1">
        <f t="array" ref="H359">SUMPRODUCT((H_Rate_Class=$B359)*'[5]Demand - D'!H$369:H$478)</f>
        <v>0</v>
      </c>
      <c r="I359" s="177" cm="1">
        <f t="array" ref="I359">SUMPRODUCT((H_Rate_Class=$B359)*'[5]Demand - D'!I$369:I$478)</f>
        <v>0</v>
      </c>
      <c r="J359" s="177" cm="1">
        <f t="array" ref="J359">SUMPRODUCT((H_Rate_Class=$B359)*'[5]Demand - D'!J$369:J$478)</f>
        <v>0</v>
      </c>
      <c r="K359" s="177" cm="1">
        <f t="array" ref="K359">SUMPRODUCT((H_Rate_Class=$B359)*'[5]Demand - D'!K$369:K$478)</f>
        <v>0</v>
      </c>
      <c r="L359" s="177" cm="1">
        <f t="array" ref="L359">SUMPRODUCT((H_Rate_Class=$B359)*'[5]Demand - D'!L$369:L$478)</f>
        <v>0</v>
      </c>
      <c r="M359" s="177" cm="1">
        <f t="array" ref="M359">SUMPRODUCT((H_Rate_Class=$B359)*'[5]Demand - D'!M$369:M$478)</f>
        <v>0</v>
      </c>
      <c r="N359" s="177" cm="1">
        <f t="array" ref="N359">SUMPRODUCT((H_Rate_Class=$B359)*'[5]Demand - D'!N$369:N$478)</f>
        <v>0</v>
      </c>
      <c r="O359" s="177" cm="1">
        <f t="array" ref="O359">SUMPRODUCT((H_Rate_Class=$B359)*'[5]Demand - D'!O$369:O$478)</f>
        <v>0</v>
      </c>
      <c r="P359" s="101">
        <f>SUM(D359:O359)</f>
        <v>0</v>
      </c>
    </row>
    <row r="360" spans="1:16">
      <c r="A360" s="386">
        <v>7</v>
      </c>
      <c r="B360" s="87" t="s">
        <v>83</v>
      </c>
      <c r="C360" s="157" t="s">
        <v>5</v>
      </c>
      <c r="D360" s="390" cm="1">
        <f t="array" ref="D360">SUMPRODUCT((H_Rate_Class=$B360)*'[5]Demand - D'!D$369:D$478)</f>
        <v>0</v>
      </c>
      <c r="E360" s="390" cm="1">
        <f t="array" ref="E360">SUMPRODUCT((H_Rate_Class=$B360)*'[5]Demand - D'!E$369:E$478)</f>
        <v>0</v>
      </c>
      <c r="F360" s="390" cm="1">
        <f t="array" ref="F360">SUMPRODUCT((H_Rate_Class=$B360)*'[5]Demand - D'!F$369:F$478)</f>
        <v>0</v>
      </c>
      <c r="G360" s="390" cm="1">
        <f t="array" ref="G360">SUMPRODUCT((H_Rate_Class=$B360)*'[5]Demand - D'!G$369:G$478)</f>
        <v>0</v>
      </c>
      <c r="H360" s="390" cm="1">
        <f t="array" ref="H360">SUMPRODUCT((H_Rate_Class=$B360)*'[5]Demand - D'!H$369:H$478)</f>
        <v>0</v>
      </c>
      <c r="I360" s="390" cm="1">
        <f t="array" ref="I360">SUMPRODUCT((H_Rate_Class=$B360)*'[5]Demand - D'!I$369:I$478)</f>
        <v>0</v>
      </c>
      <c r="J360" s="390" cm="1">
        <f t="array" ref="J360">SUMPRODUCT((H_Rate_Class=$B360)*'[5]Demand - D'!J$369:J$478)</f>
        <v>0</v>
      </c>
      <c r="K360" s="390" cm="1">
        <f t="array" ref="K360">SUMPRODUCT((H_Rate_Class=$B360)*'[5]Demand - D'!K$369:K$478)</f>
        <v>0</v>
      </c>
      <c r="L360" s="390" cm="1">
        <f t="array" ref="L360">SUMPRODUCT((H_Rate_Class=$B360)*'[5]Demand - D'!L$369:L$478)</f>
        <v>0</v>
      </c>
      <c r="M360" s="390" cm="1">
        <f t="array" ref="M360">SUMPRODUCT((H_Rate_Class=$B360)*'[5]Demand - D'!M$369:M$478)</f>
        <v>0</v>
      </c>
      <c r="N360" s="390" cm="1">
        <f t="array" ref="N360">SUMPRODUCT((H_Rate_Class=$B360)*'[5]Demand - D'!N$369:N$478)</f>
        <v>0</v>
      </c>
      <c r="O360" s="390" cm="1">
        <f t="array" ref="O360">SUMPRODUCT((H_Rate_Class=$B360)*'[5]Demand - D'!O$369:O$478)</f>
        <v>0</v>
      </c>
      <c r="P360" s="158">
        <f>SUM(D360:O360)</f>
        <v>0</v>
      </c>
    </row>
    <row r="361" spans="1:16">
      <c r="A361" s="386">
        <v>8</v>
      </c>
      <c r="B361" s="87" t="s">
        <v>148</v>
      </c>
      <c r="C361" s="157" t="s">
        <v>5</v>
      </c>
      <c r="D361" s="390" cm="1">
        <f t="array" ref="D361">SUMPRODUCT((H_Rate_Class=$B361)*'[5]Demand - D'!D$369:D$478)</f>
        <v>0</v>
      </c>
      <c r="E361" s="390" cm="1">
        <f t="array" ref="E361">SUMPRODUCT((H_Rate_Class=$B361)*'[5]Demand - D'!E$369:E$478)</f>
        <v>0</v>
      </c>
      <c r="F361" s="390" cm="1">
        <f t="array" ref="F361">SUMPRODUCT((H_Rate_Class=$B361)*'[5]Demand - D'!F$369:F$478)</f>
        <v>0</v>
      </c>
      <c r="G361" s="390" cm="1">
        <f t="array" ref="G361">SUMPRODUCT((H_Rate_Class=$B361)*'[5]Demand - D'!G$369:G$478)</f>
        <v>0</v>
      </c>
      <c r="H361" s="390" cm="1">
        <f t="array" ref="H361">SUMPRODUCT((H_Rate_Class=$B361)*'[5]Demand - D'!H$369:H$478)</f>
        <v>0</v>
      </c>
      <c r="I361" s="390" cm="1">
        <f t="array" ref="I361">SUMPRODUCT((H_Rate_Class=$B361)*'[5]Demand - D'!I$369:I$478)</f>
        <v>0</v>
      </c>
      <c r="J361" s="390" cm="1">
        <f t="array" ref="J361">SUMPRODUCT((H_Rate_Class=$B361)*'[5]Demand - D'!J$369:J$478)</f>
        <v>0</v>
      </c>
      <c r="K361" s="390" cm="1">
        <f t="array" ref="K361">SUMPRODUCT((H_Rate_Class=$B361)*'[5]Demand - D'!K$369:K$478)</f>
        <v>0</v>
      </c>
      <c r="L361" s="390" cm="1">
        <f t="array" ref="L361">SUMPRODUCT((H_Rate_Class=$B361)*'[5]Demand - D'!L$369:L$478)</f>
        <v>0</v>
      </c>
      <c r="M361" s="390" cm="1">
        <f t="array" ref="M361">SUMPRODUCT((H_Rate_Class=$B361)*'[5]Demand - D'!M$369:M$478)</f>
        <v>0</v>
      </c>
      <c r="N361" s="390" cm="1">
        <f t="array" ref="N361">SUMPRODUCT((H_Rate_Class=$B361)*'[5]Demand - D'!N$369:N$478)</f>
        <v>0</v>
      </c>
      <c r="O361" s="390" cm="1">
        <f t="array" ref="O361">SUMPRODUCT((H_Rate_Class=$B361)*'[5]Demand - D'!O$369:O$478)</f>
        <v>0</v>
      </c>
      <c r="P361" s="158">
        <f t="shared" ref="P361:P362" si="137">SUM(D361:O361)</f>
        <v>0</v>
      </c>
    </row>
    <row r="362" spans="1:16">
      <c r="A362" s="386">
        <v>9</v>
      </c>
      <c r="B362" s="87" t="s">
        <v>149</v>
      </c>
      <c r="C362" s="157" t="s">
        <v>5</v>
      </c>
      <c r="D362" s="390" cm="1">
        <f t="array" ref="D362">SUMPRODUCT((H_Rate_Class=$B362)*'[5]Demand - D'!D$369:D$478)</f>
        <v>0</v>
      </c>
      <c r="E362" s="390" cm="1">
        <f t="array" ref="E362">SUMPRODUCT((H_Rate_Class=$B362)*'[5]Demand - D'!E$369:E$478)</f>
        <v>0</v>
      </c>
      <c r="F362" s="390" cm="1">
        <f t="array" ref="F362">SUMPRODUCT((H_Rate_Class=$B362)*'[5]Demand - D'!F$369:F$478)</f>
        <v>0</v>
      </c>
      <c r="G362" s="390" cm="1">
        <f t="array" ref="G362">SUMPRODUCT((H_Rate_Class=$B362)*'[5]Demand - D'!G$369:G$478)</f>
        <v>0</v>
      </c>
      <c r="H362" s="390" cm="1">
        <f t="array" ref="H362">SUMPRODUCT((H_Rate_Class=$B362)*'[5]Demand - D'!H$369:H$478)</f>
        <v>0</v>
      </c>
      <c r="I362" s="390" cm="1">
        <f t="array" ref="I362">SUMPRODUCT((H_Rate_Class=$B362)*'[5]Demand - D'!I$369:I$478)</f>
        <v>0</v>
      </c>
      <c r="J362" s="390" cm="1">
        <f t="array" ref="J362">SUMPRODUCT((H_Rate_Class=$B362)*'[5]Demand - D'!J$369:J$478)</f>
        <v>0</v>
      </c>
      <c r="K362" s="390" cm="1">
        <f t="array" ref="K362">SUMPRODUCT((H_Rate_Class=$B362)*'[5]Demand - D'!K$369:K$478)</f>
        <v>0</v>
      </c>
      <c r="L362" s="390" cm="1">
        <f t="array" ref="L362">SUMPRODUCT((H_Rate_Class=$B362)*'[5]Demand - D'!L$369:L$478)</f>
        <v>0</v>
      </c>
      <c r="M362" s="390" cm="1">
        <f t="array" ref="M362">SUMPRODUCT((H_Rate_Class=$B362)*'[5]Demand - D'!M$369:M$478)</f>
        <v>0</v>
      </c>
      <c r="N362" s="390" cm="1">
        <f t="array" ref="N362">SUMPRODUCT((H_Rate_Class=$B362)*'[5]Demand - D'!N$369:N$478)</f>
        <v>0</v>
      </c>
      <c r="O362" s="390" cm="1">
        <f t="array" ref="O362">SUMPRODUCT((H_Rate_Class=$B362)*'[5]Demand - D'!O$369:O$478)</f>
        <v>0</v>
      </c>
      <c r="P362" s="158">
        <f t="shared" si="137"/>
        <v>0</v>
      </c>
    </row>
    <row r="363" spans="1:16">
      <c r="A363" s="386">
        <v>10</v>
      </c>
      <c r="B363" s="87" t="s">
        <v>19</v>
      </c>
      <c r="C363" s="157"/>
      <c r="D363" s="391">
        <f>SUM(D359:D362)</f>
        <v>0</v>
      </c>
      <c r="E363" s="391">
        <f t="shared" ref="E363" si="138">SUM(E359:E362)</f>
        <v>0</v>
      </c>
      <c r="F363" s="391">
        <f t="shared" ref="F363" si="139">SUM(F359:F362)</f>
        <v>0</v>
      </c>
      <c r="G363" s="391">
        <f t="shared" ref="G363" si="140">SUM(G359:G362)</f>
        <v>0</v>
      </c>
      <c r="H363" s="391">
        <f t="shared" ref="H363" si="141">SUM(H359:H362)</f>
        <v>0</v>
      </c>
      <c r="I363" s="391">
        <f t="shared" ref="I363" si="142">SUM(I359:I362)</f>
        <v>0</v>
      </c>
      <c r="J363" s="391">
        <f t="shared" ref="J363" si="143">SUM(J359:J362)</f>
        <v>0</v>
      </c>
      <c r="K363" s="391">
        <f t="shared" ref="K363" si="144">SUM(K359:K362)</f>
        <v>0</v>
      </c>
      <c r="L363" s="391">
        <f t="shared" ref="L363" si="145">SUM(L359:L362)</f>
        <v>0</v>
      </c>
      <c r="M363" s="391">
        <f t="shared" ref="M363" si="146">SUM(M359:M362)</f>
        <v>0</v>
      </c>
      <c r="N363" s="391">
        <f t="shared" ref="N363" si="147">SUM(N359:N362)</f>
        <v>0</v>
      </c>
      <c r="O363" s="391">
        <f t="shared" ref="O363" si="148">SUM(O359:O362)</f>
        <v>0</v>
      </c>
      <c r="P363" s="391">
        <f t="shared" ref="P363" si="149">SUM(P359:P362)</f>
        <v>0</v>
      </c>
    </row>
    <row r="364" spans="1:16">
      <c r="A364" s="386"/>
      <c r="B364" s="87"/>
      <c r="C364" s="15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  <c r="O364" s="177"/>
      <c r="P364" s="101"/>
    </row>
    <row r="365" spans="1:16">
      <c r="A365" s="386">
        <v>11</v>
      </c>
      <c r="B365" s="131" t="s">
        <v>86</v>
      </c>
      <c r="C365" s="157" t="s">
        <v>6</v>
      </c>
      <c r="D365" s="177" cm="1">
        <f t="array" ref="D365">SUMPRODUCT((H_Rate_Class=$B365)*'[5]Demand - D'!D$369:D$478)</f>
        <v>0</v>
      </c>
      <c r="E365" s="177" cm="1">
        <f t="array" ref="E365">SUMPRODUCT((H_Rate_Class=$B365)*'[5]Demand - D'!E$369:E$478)</f>
        <v>0</v>
      </c>
      <c r="F365" s="177" cm="1">
        <f t="array" ref="F365">SUMPRODUCT((H_Rate_Class=$B365)*'[5]Demand - D'!F$369:F$478)</f>
        <v>0</v>
      </c>
      <c r="G365" s="177" cm="1">
        <f t="array" ref="G365">SUMPRODUCT((H_Rate_Class=$B365)*'[5]Demand - D'!G$369:G$478)</f>
        <v>0</v>
      </c>
      <c r="H365" s="177" cm="1">
        <f t="array" ref="H365">SUMPRODUCT((H_Rate_Class=$B365)*'[5]Demand - D'!H$369:H$478)</f>
        <v>0</v>
      </c>
      <c r="I365" s="177" cm="1">
        <f t="array" ref="I365">SUMPRODUCT((H_Rate_Class=$B365)*'[5]Demand - D'!I$369:I$478)</f>
        <v>0</v>
      </c>
      <c r="J365" s="177" cm="1">
        <f t="array" ref="J365">SUMPRODUCT((H_Rate_Class=$B365)*'[5]Demand - D'!J$369:J$478)</f>
        <v>0</v>
      </c>
      <c r="K365" s="177" cm="1">
        <f t="array" ref="K365">SUMPRODUCT((H_Rate_Class=$B365)*'[5]Demand - D'!K$369:K$478)</f>
        <v>0</v>
      </c>
      <c r="L365" s="177" cm="1">
        <f t="array" ref="L365">SUMPRODUCT((H_Rate_Class=$B365)*'[5]Demand - D'!L$369:L$478)</f>
        <v>0</v>
      </c>
      <c r="M365" s="177" cm="1">
        <f t="array" ref="M365">SUMPRODUCT((H_Rate_Class=$B365)*'[5]Demand - D'!M$369:M$478)</f>
        <v>0</v>
      </c>
      <c r="N365" s="177" cm="1">
        <f t="array" ref="N365">SUMPRODUCT((H_Rate_Class=$B365)*'[5]Demand - D'!N$369:N$478)</f>
        <v>0</v>
      </c>
      <c r="O365" s="177" cm="1">
        <f t="array" ref="O365">SUMPRODUCT((H_Rate_Class=$B365)*'[5]Demand - D'!O$369:O$478)</f>
        <v>0</v>
      </c>
      <c r="P365" s="101">
        <f>SUM(D365:O365)</f>
        <v>0</v>
      </c>
    </row>
    <row r="366" spans="1:16">
      <c r="B366" s="87"/>
      <c r="C366" s="99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  <c r="O366" s="177"/>
      <c r="P366" s="177"/>
    </row>
    <row r="367" spans="1:16">
      <c r="A367" s="386">
        <v>12</v>
      </c>
      <c r="B367" s="89" t="s">
        <v>21</v>
      </c>
      <c r="C367" s="157" t="s">
        <v>4</v>
      </c>
      <c r="D367" s="177" cm="1">
        <f t="array" ref="D367">SUMPRODUCT((H_Rate_Class=$B367)*'[5]Demand - D'!D$369:D$478)</f>
        <v>0</v>
      </c>
      <c r="E367" s="177" cm="1">
        <f t="array" ref="E367">SUMPRODUCT((H_Rate_Class=$B367)*'[5]Demand - D'!E$369:E$478)</f>
        <v>0</v>
      </c>
      <c r="F367" s="177" cm="1">
        <f t="array" ref="F367">SUMPRODUCT((H_Rate_Class=$B367)*'[5]Demand - D'!F$369:F$478)</f>
        <v>0</v>
      </c>
      <c r="G367" s="177" cm="1">
        <f t="array" ref="G367">SUMPRODUCT((H_Rate_Class=$B367)*'[5]Demand - D'!G$369:G$478)</f>
        <v>0</v>
      </c>
      <c r="H367" s="177" cm="1">
        <f t="array" ref="H367">SUMPRODUCT((H_Rate_Class=$B367)*'[5]Demand - D'!H$369:H$478)</f>
        <v>0</v>
      </c>
      <c r="I367" s="177" cm="1">
        <f t="array" ref="I367">SUMPRODUCT((H_Rate_Class=$B367)*'[5]Demand - D'!I$369:I$478)</f>
        <v>0</v>
      </c>
      <c r="J367" s="177" cm="1">
        <f t="array" ref="J367">SUMPRODUCT((H_Rate_Class=$B367)*'[5]Demand - D'!J$369:J$478)</f>
        <v>0</v>
      </c>
      <c r="K367" s="177" cm="1">
        <f t="array" ref="K367">SUMPRODUCT((H_Rate_Class=$B367)*'[5]Demand - D'!K$369:K$478)</f>
        <v>0</v>
      </c>
      <c r="L367" s="177" cm="1">
        <f t="array" ref="L367">SUMPRODUCT((H_Rate_Class=$B367)*'[5]Demand - D'!L$369:L$478)</f>
        <v>0</v>
      </c>
      <c r="M367" s="177" cm="1">
        <f t="array" ref="M367">SUMPRODUCT((H_Rate_Class=$B367)*'[5]Demand - D'!M$369:M$478)</f>
        <v>0</v>
      </c>
      <c r="N367" s="177" cm="1">
        <f t="array" ref="N367">SUMPRODUCT((H_Rate_Class=$B367)*'[5]Demand - D'!N$369:N$478)</f>
        <v>0</v>
      </c>
      <c r="O367" s="177" cm="1">
        <f t="array" ref="O367">SUMPRODUCT((H_Rate_Class=$B367)*'[5]Demand - D'!O$369:O$478)</f>
        <v>0</v>
      </c>
      <c r="P367" s="101">
        <f>SUM(D367:O367)</f>
        <v>0</v>
      </c>
    </row>
    <row r="368" spans="1:16">
      <c r="A368" s="386"/>
      <c r="B368" s="87"/>
      <c r="C368" s="99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  <c r="O368" s="177"/>
      <c r="P368" s="177"/>
    </row>
    <row r="369" spans="1:17">
      <c r="A369" s="386">
        <v>13</v>
      </c>
      <c r="B369" s="393" t="s">
        <v>22</v>
      </c>
      <c r="C369" s="362"/>
      <c r="D369" s="394">
        <f t="shared" ref="D369:O369" si="150">D367+D365+D363+D357+D353+D351</f>
        <v>-355</v>
      </c>
      <c r="E369" s="394">
        <f t="shared" si="150"/>
        <v>-355</v>
      </c>
      <c r="F369" s="394">
        <f t="shared" si="150"/>
        <v>-355</v>
      </c>
      <c r="G369" s="394">
        <f t="shared" si="150"/>
        <v>-355</v>
      </c>
      <c r="H369" s="394">
        <f t="shared" si="150"/>
        <v>-355</v>
      </c>
      <c r="I369" s="394">
        <f t="shared" si="150"/>
        <v>-355</v>
      </c>
      <c r="J369" s="394">
        <f t="shared" si="150"/>
        <v>-355</v>
      </c>
      <c r="K369" s="394">
        <f t="shared" si="150"/>
        <v>-355</v>
      </c>
      <c r="L369" s="394">
        <f t="shared" si="150"/>
        <v>-355</v>
      </c>
      <c r="M369" s="394">
        <f t="shared" si="150"/>
        <v>-355</v>
      </c>
      <c r="N369" s="394">
        <f t="shared" si="150"/>
        <v>-355</v>
      </c>
      <c r="O369" s="394">
        <f t="shared" si="150"/>
        <v>-355</v>
      </c>
      <c r="P369" s="394">
        <f>P367+P365+P363+P357+P353+P351</f>
        <v>-4260</v>
      </c>
    </row>
    <row r="370" spans="1:17">
      <c r="B370" s="362"/>
      <c r="C370" s="362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</row>
    <row r="371" spans="1:17">
      <c r="A371" s="386">
        <v>14</v>
      </c>
      <c r="B371" s="89" t="s">
        <v>69</v>
      </c>
      <c r="C371" s="157" t="s">
        <v>5</v>
      </c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  <c r="O371" s="177"/>
      <c r="P371" s="101">
        <f>SUM(D371:O371)</f>
        <v>0</v>
      </c>
    </row>
    <row r="372" spans="1:17">
      <c r="A372" s="386">
        <v>15</v>
      </c>
      <c r="B372" s="89" t="s">
        <v>70</v>
      </c>
      <c r="C372" s="157" t="s">
        <v>6</v>
      </c>
      <c r="D372" s="388"/>
      <c r="E372" s="388"/>
      <c r="F372" s="388"/>
      <c r="G372" s="388"/>
      <c r="H372" s="388"/>
      <c r="I372" s="388"/>
      <c r="J372" s="388"/>
      <c r="K372" s="388"/>
      <c r="L372" s="388"/>
      <c r="M372" s="388"/>
      <c r="N372" s="388"/>
      <c r="O372" s="388"/>
      <c r="P372" s="425">
        <f>SUM(D372:O372)</f>
        <v>0</v>
      </c>
    </row>
    <row r="373" spans="1:17">
      <c r="A373" s="386">
        <v>16</v>
      </c>
      <c r="B373" s="393" t="s">
        <v>23</v>
      </c>
      <c r="C373" s="361"/>
      <c r="D373" s="101">
        <f t="shared" ref="D373:P373" si="151">SUM(D371:D372)</f>
        <v>0</v>
      </c>
      <c r="E373" s="101">
        <f t="shared" si="151"/>
        <v>0</v>
      </c>
      <c r="F373" s="101">
        <f t="shared" si="151"/>
        <v>0</v>
      </c>
      <c r="G373" s="101">
        <f t="shared" si="151"/>
        <v>0</v>
      </c>
      <c r="H373" s="101">
        <f t="shared" si="151"/>
        <v>0</v>
      </c>
      <c r="I373" s="101">
        <f t="shared" si="151"/>
        <v>0</v>
      </c>
      <c r="J373" s="101">
        <f t="shared" si="151"/>
        <v>0</v>
      </c>
      <c r="K373" s="101">
        <f t="shared" si="151"/>
        <v>0</v>
      </c>
      <c r="L373" s="101">
        <f t="shared" si="151"/>
        <v>0</v>
      </c>
      <c r="M373" s="101">
        <f t="shared" si="151"/>
        <v>0</v>
      </c>
      <c r="N373" s="101">
        <f t="shared" si="151"/>
        <v>0</v>
      </c>
      <c r="O373" s="101">
        <f t="shared" si="151"/>
        <v>0</v>
      </c>
      <c r="P373" s="101">
        <f t="shared" si="151"/>
        <v>0</v>
      </c>
    </row>
    <row r="374" spans="1:17">
      <c r="A374" s="386"/>
      <c r="B374" s="87"/>
      <c r="C374" s="396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  <c r="O374" s="177"/>
      <c r="P374" s="177"/>
    </row>
    <row r="375" spans="1:17" ht="12" thickBot="1">
      <c r="A375" s="386">
        <v>17</v>
      </c>
      <c r="B375" s="147" t="s">
        <v>92</v>
      </c>
      <c r="C375" s="361"/>
      <c r="D375" s="426">
        <f t="shared" ref="D375:P375" si="152">+D373+D369</f>
        <v>-355</v>
      </c>
      <c r="E375" s="426">
        <f t="shared" si="152"/>
        <v>-355</v>
      </c>
      <c r="F375" s="426">
        <f t="shared" si="152"/>
        <v>-355</v>
      </c>
      <c r="G375" s="426">
        <f t="shared" si="152"/>
        <v>-355</v>
      </c>
      <c r="H375" s="426">
        <f t="shared" si="152"/>
        <v>-355</v>
      </c>
      <c r="I375" s="426">
        <f t="shared" si="152"/>
        <v>-355</v>
      </c>
      <c r="J375" s="426">
        <f t="shared" si="152"/>
        <v>-355</v>
      </c>
      <c r="K375" s="426">
        <f t="shared" si="152"/>
        <v>-355</v>
      </c>
      <c r="L375" s="426">
        <f t="shared" si="152"/>
        <v>-355</v>
      </c>
      <c r="M375" s="426">
        <f t="shared" si="152"/>
        <v>-355</v>
      </c>
      <c r="N375" s="426">
        <f t="shared" si="152"/>
        <v>-355</v>
      </c>
      <c r="O375" s="426">
        <f t="shared" si="152"/>
        <v>-355</v>
      </c>
      <c r="P375" s="426">
        <f t="shared" si="152"/>
        <v>-4260</v>
      </c>
      <c r="Q375" s="89"/>
    </row>
    <row r="376" spans="1:17" ht="12" thickTop="1">
      <c r="A376" s="5"/>
      <c r="B376" s="131"/>
      <c r="C376" s="99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89"/>
    </row>
    <row r="377" spans="1:17" s="373" customFormat="1" ht="12.75"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</row>
    <row r="378" spans="1:17" s="373" customFormat="1" ht="12.75"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</row>
    <row r="379" spans="1:17" s="373" customFormat="1" ht="12.75"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</row>
    <row r="380" spans="1:17" s="87" customFormat="1" ht="12" customHeight="1">
      <c r="B380" s="371" t="str">
        <f>B8</f>
        <v>AEP TEXAS</v>
      </c>
      <c r="C380" s="371"/>
      <c r="D380" s="371"/>
      <c r="E380" s="371"/>
      <c r="F380" s="371"/>
      <c r="G380" s="371"/>
      <c r="H380" s="371"/>
      <c r="I380" s="371"/>
      <c r="J380" s="371"/>
      <c r="K380" s="371"/>
      <c r="L380" s="371"/>
      <c r="M380" s="371"/>
      <c r="N380" s="371"/>
      <c r="O380" s="371"/>
      <c r="P380" s="105"/>
      <c r="Q380" s="89"/>
    </row>
    <row r="381" spans="1:17" s="87" customFormat="1">
      <c r="B381" s="371" t="s">
        <v>68</v>
      </c>
      <c r="C381" s="371"/>
      <c r="D381" s="371"/>
      <c r="E381" s="371"/>
      <c r="F381" s="371"/>
      <c r="G381" s="371"/>
      <c r="H381" s="371"/>
      <c r="I381" s="371"/>
      <c r="J381" s="371"/>
      <c r="K381" s="371"/>
      <c r="L381" s="371"/>
      <c r="M381" s="371"/>
      <c r="N381" s="371"/>
      <c r="O381" s="371"/>
      <c r="P381" s="88" t="s">
        <v>1</v>
      </c>
      <c r="Q381" s="89"/>
    </row>
    <row r="382" spans="1:17" s="87" customFormat="1">
      <c r="B382" s="371" t="str">
        <f>B10</f>
        <v>FOR TEST YEAR ENDED SEPTEMBER 30, 2023</v>
      </c>
      <c r="C382" s="371"/>
      <c r="D382" s="371"/>
      <c r="E382" s="371"/>
      <c r="F382" s="371"/>
      <c r="G382" s="371"/>
      <c r="H382" s="371"/>
      <c r="I382" s="371"/>
      <c r="J382" s="371"/>
      <c r="K382" s="371"/>
      <c r="L382" s="371"/>
      <c r="M382" s="371"/>
      <c r="N382" s="371"/>
      <c r="O382" s="371"/>
      <c r="P382" s="87" t="s">
        <v>1</v>
      </c>
      <c r="Q382" s="89"/>
    </row>
    <row r="383" spans="1:17" s="70" customFormat="1" ht="12.75"/>
    <row r="384" spans="1:17" s="87" customFormat="1">
      <c r="B384" s="147"/>
      <c r="C384" s="105"/>
      <c r="D384" s="428"/>
      <c r="E384" s="405"/>
      <c r="F384" s="405"/>
      <c r="G384" s="428"/>
      <c r="H384" s="177"/>
      <c r="I384" s="177"/>
      <c r="K384" s="177"/>
      <c r="L384" s="177"/>
      <c r="M384" s="177"/>
      <c r="N384" s="177"/>
      <c r="O384" s="177"/>
      <c r="P384" s="405"/>
      <c r="Q384" s="89"/>
    </row>
    <row r="385" spans="1:144" s="87" customFormat="1">
      <c r="A385" s="361" t="s">
        <v>8</v>
      </c>
      <c r="B385" s="361" t="s">
        <v>0</v>
      </c>
      <c r="C385" s="361" t="s">
        <v>7</v>
      </c>
      <c r="D385" s="406" t="str">
        <f t="shared" ref="D385:O385" si="153">+D13</f>
        <v>Oct-22</v>
      </c>
      <c r="E385" s="406" t="str">
        <f t="shared" si="153"/>
        <v>Nov-22</v>
      </c>
      <c r="F385" s="406" t="str">
        <f t="shared" si="153"/>
        <v>Dec-22</v>
      </c>
      <c r="G385" s="406" t="str">
        <f t="shared" si="153"/>
        <v>Jan-23</v>
      </c>
      <c r="H385" s="406" t="str">
        <f t="shared" si="153"/>
        <v>Feb-23</v>
      </c>
      <c r="I385" s="406" t="str">
        <f t="shared" si="153"/>
        <v>Mar-23</v>
      </c>
      <c r="J385" s="406" t="str">
        <f t="shared" si="153"/>
        <v>Apr-23</v>
      </c>
      <c r="K385" s="406" t="str">
        <f t="shared" si="153"/>
        <v>May-23</v>
      </c>
      <c r="L385" s="406" t="str">
        <f t="shared" si="153"/>
        <v>Jun-23</v>
      </c>
      <c r="M385" s="406" t="str">
        <f t="shared" si="153"/>
        <v>Jul-23</v>
      </c>
      <c r="N385" s="406" t="str">
        <f t="shared" si="153"/>
        <v>Aug-23</v>
      </c>
      <c r="O385" s="406" t="str">
        <f t="shared" si="153"/>
        <v>Sep-23</v>
      </c>
      <c r="P385" s="406" t="s">
        <v>2</v>
      </c>
      <c r="Q385" s="89"/>
    </row>
    <row r="386" spans="1:144" s="87" customFormat="1">
      <c r="A386" s="432"/>
      <c r="B386" s="451"/>
      <c r="C386" s="412"/>
      <c r="D386" s="158"/>
      <c r="E386" s="158"/>
      <c r="F386" s="158"/>
      <c r="G386" s="158"/>
      <c r="H386" s="158"/>
      <c r="I386" s="158"/>
      <c r="J386" s="158"/>
      <c r="K386" s="158"/>
      <c r="L386" s="158"/>
      <c r="M386" s="158"/>
      <c r="N386" s="158"/>
      <c r="O386" s="158"/>
      <c r="P386" s="158"/>
      <c r="Q386" s="89"/>
    </row>
    <row r="387" spans="1:144" s="87" customFormat="1">
      <c r="A387" s="386" t="s">
        <v>9</v>
      </c>
      <c r="B387" s="87" t="s">
        <v>17</v>
      </c>
      <c r="C387" s="99" t="s">
        <v>4</v>
      </c>
      <c r="D387" s="177">
        <f>D351+D318+D286+D252+D218+D184+D151+D117+D83+D49+D15</f>
        <v>27757593.748528015</v>
      </c>
      <c r="E387" s="177">
        <f t="shared" ref="E387:O389" si="154">E351+E318+E286+E252+E218+E184+E151+E117+E83+E49+E15</f>
        <v>22478707.737206981</v>
      </c>
      <c r="F387" s="177">
        <f t="shared" si="154"/>
        <v>23963369.322633885</v>
      </c>
      <c r="G387" s="177">
        <f t="shared" si="154"/>
        <v>25866183.382720329</v>
      </c>
      <c r="H387" s="177">
        <f t="shared" si="154"/>
        <v>24394738.380928922</v>
      </c>
      <c r="I387" s="177">
        <f t="shared" si="154"/>
        <v>21882862.07898809</v>
      </c>
      <c r="J387" s="177">
        <f t="shared" si="154"/>
        <v>21075121.189189892</v>
      </c>
      <c r="K387" s="177">
        <f t="shared" si="154"/>
        <v>24250345.866062909</v>
      </c>
      <c r="L387" s="177">
        <f t="shared" si="154"/>
        <v>30523047.760424323</v>
      </c>
      <c r="M387" s="177">
        <f t="shared" si="154"/>
        <v>35275350.712599657</v>
      </c>
      <c r="N387" s="177">
        <f t="shared" si="154"/>
        <v>35765955.908840887</v>
      </c>
      <c r="O387" s="177">
        <f t="shared" si="154"/>
        <v>34791726.368018001</v>
      </c>
      <c r="P387" s="424">
        <f>SUM(D387:O387)</f>
        <v>328025002.45614183</v>
      </c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  <c r="AQ387" s="89"/>
      <c r="AR387" s="89"/>
      <c r="AS387" s="89"/>
      <c r="AT387" s="89"/>
      <c r="AU387" s="89"/>
      <c r="AV387" s="89"/>
      <c r="AW387" s="89"/>
      <c r="AX387" s="89"/>
      <c r="AY387" s="89"/>
      <c r="AZ387" s="89"/>
      <c r="BA387" s="89"/>
      <c r="BB387" s="89"/>
      <c r="BC387" s="89"/>
      <c r="BD387" s="89"/>
      <c r="BE387" s="89"/>
      <c r="BF387" s="89"/>
      <c r="BG387" s="89"/>
      <c r="BH387" s="89"/>
      <c r="BI387" s="89"/>
      <c r="BJ387" s="89"/>
      <c r="BK387" s="89"/>
      <c r="BL387" s="89"/>
      <c r="BM387" s="89"/>
      <c r="BN387" s="89"/>
      <c r="BO387" s="89"/>
      <c r="BP387" s="89"/>
      <c r="BQ387" s="89"/>
      <c r="BR387" s="89"/>
      <c r="BS387" s="89"/>
      <c r="BT387" s="89"/>
      <c r="BU387" s="89"/>
      <c r="BV387" s="89"/>
      <c r="BW387" s="89"/>
      <c r="BX387" s="89"/>
      <c r="BY387" s="89"/>
      <c r="BZ387" s="89"/>
      <c r="CA387" s="89"/>
      <c r="CB387" s="89"/>
      <c r="CC387" s="89"/>
      <c r="CD387" s="89"/>
      <c r="CE387" s="89"/>
      <c r="CF387" s="89"/>
      <c r="CG387" s="89"/>
      <c r="CH387" s="89"/>
      <c r="CI387" s="89"/>
      <c r="CJ387" s="89"/>
      <c r="CK387" s="89"/>
      <c r="CL387" s="89"/>
      <c r="CM387" s="89"/>
      <c r="CN387" s="89"/>
      <c r="CO387" s="89"/>
      <c r="CP387" s="89"/>
      <c r="CQ387" s="89"/>
      <c r="CR387" s="89"/>
      <c r="CS387" s="89"/>
      <c r="CT387" s="89"/>
      <c r="CU387" s="89"/>
      <c r="CV387" s="89"/>
      <c r="CW387" s="89"/>
      <c r="CX387" s="89"/>
      <c r="CY387" s="89"/>
      <c r="CZ387" s="89"/>
      <c r="DA387" s="89"/>
      <c r="DB387" s="89"/>
      <c r="DC387" s="89"/>
      <c r="DD387" s="89"/>
      <c r="DE387" s="89"/>
      <c r="DF387" s="89"/>
      <c r="DG387" s="89"/>
      <c r="DH387" s="89"/>
      <c r="DI387" s="89"/>
      <c r="DJ387" s="89"/>
      <c r="DK387" s="89"/>
      <c r="DL387" s="89"/>
      <c r="DM387" s="89"/>
      <c r="DN387" s="89"/>
      <c r="DO387" s="89"/>
      <c r="DP387" s="89"/>
      <c r="DQ387" s="89"/>
      <c r="DR387" s="89"/>
      <c r="DS387" s="89"/>
      <c r="DT387" s="89"/>
      <c r="DU387" s="89"/>
      <c r="DV387" s="89"/>
      <c r="DW387" s="89"/>
      <c r="DX387" s="89"/>
      <c r="DY387" s="89"/>
      <c r="DZ387" s="89"/>
      <c r="EA387" s="89"/>
      <c r="EB387" s="89"/>
      <c r="EC387" s="89"/>
      <c r="ED387" s="89"/>
      <c r="EE387" s="89"/>
      <c r="EF387" s="89"/>
      <c r="EG387" s="89"/>
      <c r="EH387" s="89"/>
      <c r="EI387" s="89"/>
      <c r="EJ387" s="89"/>
      <c r="EK387" s="89"/>
      <c r="EL387" s="89"/>
      <c r="EM387" s="89"/>
      <c r="EN387" s="89"/>
    </row>
    <row r="388" spans="1:144" s="87" customFormat="1">
      <c r="A388" s="4"/>
      <c r="C388" s="99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89"/>
      <c r="AJ388" s="89"/>
      <c r="AK388" s="89"/>
      <c r="AL388" s="89"/>
      <c r="AM388" s="89"/>
      <c r="AN388" s="89"/>
      <c r="AO388" s="89"/>
      <c r="AP388" s="89"/>
      <c r="AQ388" s="89"/>
      <c r="AR388" s="89"/>
      <c r="AS388" s="89"/>
      <c r="AT388" s="89"/>
      <c r="AU388" s="89"/>
      <c r="AV388" s="89"/>
      <c r="AW388" s="89"/>
      <c r="AX388" s="89"/>
      <c r="AY388" s="89"/>
      <c r="AZ388" s="89"/>
      <c r="BA388" s="89"/>
      <c r="BB388" s="89"/>
      <c r="BC388" s="89"/>
      <c r="BD388" s="89"/>
      <c r="BE388" s="89"/>
      <c r="BF388" s="89"/>
      <c r="BG388" s="89"/>
      <c r="BH388" s="89"/>
      <c r="BI388" s="89"/>
      <c r="BJ388" s="89"/>
      <c r="BK388" s="89"/>
      <c r="BL388" s="89"/>
      <c r="BM388" s="89"/>
      <c r="BN388" s="89"/>
      <c r="BO388" s="89"/>
      <c r="BP388" s="89"/>
      <c r="BQ388" s="89"/>
      <c r="BR388" s="89"/>
      <c r="BS388" s="89"/>
      <c r="BT388" s="89"/>
      <c r="BU388" s="89"/>
      <c r="BV388" s="89"/>
      <c r="BW388" s="89"/>
      <c r="BX388" s="89"/>
      <c r="BY388" s="89"/>
      <c r="BZ388" s="89"/>
      <c r="CA388" s="89"/>
      <c r="CB388" s="89"/>
      <c r="CC388" s="89"/>
      <c r="CD388" s="89"/>
      <c r="CE388" s="89"/>
      <c r="CF388" s="89"/>
      <c r="CG388" s="89"/>
      <c r="CH388" s="89"/>
      <c r="CI388" s="89"/>
      <c r="CJ388" s="89"/>
      <c r="CK388" s="89"/>
      <c r="CL388" s="89"/>
      <c r="CM388" s="89"/>
      <c r="CN388" s="89"/>
      <c r="CO388" s="89"/>
      <c r="CP388" s="89"/>
      <c r="CQ388" s="89"/>
      <c r="CR388" s="89"/>
      <c r="CS388" s="89"/>
      <c r="CT388" s="89"/>
      <c r="CU388" s="89"/>
      <c r="CV388" s="89"/>
      <c r="CW388" s="89"/>
      <c r="CX388" s="89"/>
      <c r="CY388" s="89"/>
      <c r="CZ388" s="89"/>
      <c r="DA388" s="89"/>
      <c r="DB388" s="89"/>
      <c r="DC388" s="89"/>
      <c r="DD388" s="89"/>
      <c r="DE388" s="89"/>
      <c r="DF388" s="89"/>
      <c r="DG388" s="89"/>
      <c r="DH388" s="89"/>
      <c r="DI388" s="89"/>
      <c r="DJ388" s="89"/>
      <c r="DK388" s="89"/>
      <c r="DL388" s="89"/>
      <c r="DM388" s="89"/>
      <c r="DN388" s="89"/>
      <c r="DO388" s="89"/>
      <c r="DP388" s="89"/>
      <c r="DQ388" s="89"/>
      <c r="DR388" s="89"/>
      <c r="DS388" s="89"/>
      <c r="DT388" s="89"/>
      <c r="DU388" s="89"/>
      <c r="DV388" s="89"/>
      <c r="DW388" s="89"/>
      <c r="DX388" s="89"/>
      <c r="DY388" s="89"/>
      <c r="DZ388" s="89"/>
      <c r="EA388" s="89"/>
      <c r="EB388" s="89"/>
      <c r="EC388" s="89"/>
      <c r="ED388" s="89"/>
      <c r="EE388" s="89"/>
      <c r="EF388" s="89"/>
      <c r="EG388" s="89"/>
      <c r="EH388" s="89"/>
      <c r="EI388" s="89"/>
      <c r="EJ388" s="89"/>
      <c r="EK388" s="89"/>
      <c r="EL388" s="89"/>
      <c r="EM388" s="89"/>
      <c r="EN388" s="89"/>
    </row>
    <row r="389" spans="1:144" s="87" customFormat="1">
      <c r="A389" s="386">
        <v>2</v>
      </c>
      <c r="B389" s="87" t="s">
        <v>20</v>
      </c>
      <c r="C389" s="99" t="s">
        <v>4</v>
      </c>
      <c r="D389" s="177">
        <f>D353+D320+D288+D254+D220+D186+D153+D119+D85+D51+D17</f>
        <v>1774560.3470926385</v>
      </c>
      <c r="E389" s="177">
        <f t="shared" si="154"/>
        <v>1637546.014554573</v>
      </c>
      <c r="F389" s="177">
        <f t="shared" si="154"/>
        <v>1681985.073740121</v>
      </c>
      <c r="G389" s="177">
        <f t="shared" si="154"/>
        <v>1712328.8792558128</v>
      </c>
      <c r="H389" s="177">
        <f t="shared" si="154"/>
        <v>1624270.6283393377</v>
      </c>
      <c r="I389" s="177">
        <f t="shared" si="154"/>
        <v>1575478.477428871</v>
      </c>
      <c r="J389" s="177">
        <f t="shared" si="154"/>
        <v>1580318.8042156477</v>
      </c>
      <c r="K389" s="177">
        <f t="shared" si="154"/>
        <v>1653961.3970640455</v>
      </c>
      <c r="L389" s="177">
        <f t="shared" si="154"/>
        <v>1804404.0365338519</v>
      </c>
      <c r="M389" s="177">
        <f t="shared" si="154"/>
        <v>1933182.844502476</v>
      </c>
      <c r="N389" s="177">
        <f t="shared" si="154"/>
        <v>1978030.3100380381</v>
      </c>
      <c r="O389" s="177">
        <f t="shared" si="154"/>
        <v>1967750.3557689115</v>
      </c>
      <c r="P389" s="101">
        <f>SUM(D389:O389)</f>
        <v>20923817.16853432</v>
      </c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89"/>
      <c r="AJ389" s="89"/>
      <c r="AK389" s="89"/>
      <c r="AL389" s="89"/>
      <c r="AM389" s="89"/>
      <c r="AN389" s="89"/>
      <c r="AO389" s="89"/>
      <c r="AP389" s="89"/>
      <c r="AQ389" s="89"/>
      <c r="AR389" s="89"/>
      <c r="AS389" s="89"/>
      <c r="AT389" s="89"/>
      <c r="AU389" s="89"/>
      <c r="AV389" s="89"/>
      <c r="AW389" s="89"/>
      <c r="AX389" s="89"/>
      <c r="AY389" s="89"/>
      <c r="AZ389" s="89"/>
      <c r="BA389" s="89"/>
      <c r="BB389" s="89"/>
      <c r="BC389" s="89"/>
      <c r="BD389" s="89"/>
      <c r="BE389" s="89"/>
      <c r="BF389" s="89"/>
      <c r="BG389" s="89"/>
      <c r="BH389" s="89"/>
      <c r="BI389" s="89"/>
      <c r="BJ389" s="89"/>
      <c r="BK389" s="89"/>
      <c r="BL389" s="89"/>
      <c r="BM389" s="89"/>
      <c r="BN389" s="89"/>
      <c r="BO389" s="89"/>
      <c r="BP389" s="89"/>
      <c r="BQ389" s="89"/>
      <c r="BR389" s="89"/>
      <c r="BS389" s="89"/>
      <c r="BT389" s="89"/>
      <c r="BU389" s="89"/>
      <c r="BV389" s="89"/>
      <c r="BW389" s="89"/>
      <c r="BX389" s="89"/>
      <c r="BY389" s="89"/>
      <c r="BZ389" s="89"/>
      <c r="CA389" s="89"/>
      <c r="CB389" s="89"/>
      <c r="CC389" s="89"/>
      <c r="CD389" s="89"/>
      <c r="CE389" s="89"/>
      <c r="CF389" s="89"/>
      <c r="CG389" s="89"/>
      <c r="CH389" s="89"/>
      <c r="CI389" s="89"/>
      <c r="CJ389" s="89"/>
      <c r="CK389" s="89"/>
      <c r="CL389" s="89"/>
      <c r="CM389" s="89"/>
      <c r="CN389" s="89"/>
      <c r="CO389" s="89"/>
      <c r="CP389" s="89"/>
      <c r="CQ389" s="89"/>
      <c r="CR389" s="89"/>
      <c r="CS389" s="89"/>
      <c r="CT389" s="89"/>
      <c r="CU389" s="89"/>
      <c r="CV389" s="89"/>
      <c r="CW389" s="89"/>
      <c r="CX389" s="89"/>
      <c r="CY389" s="89"/>
      <c r="CZ389" s="89"/>
      <c r="DA389" s="89"/>
      <c r="DB389" s="89"/>
      <c r="DC389" s="89"/>
      <c r="DD389" s="89"/>
      <c r="DE389" s="89"/>
      <c r="DF389" s="89"/>
      <c r="DG389" s="89"/>
      <c r="DH389" s="89"/>
      <c r="DI389" s="89"/>
      <c r="DJ389" s="89"/>
      <c r="DK389" s="89"/>
      <c r="DL389" s="89"/>
      <c r="DM389" s="89"/>
      <c r="DN389" s="89"/>
      <c r="DO389" s="89"/>
      <c r="DP389" s="89"/>
      <c r="DQ389" s="89"/>
      <c r="DR389" s="89"/>
      <c r="DS389" s="89"/>
      <c r="DT389" s="89"/>
      <c r="DU389" s="89"/>
      <c r="DV389" s="89"/>
      <c r="DW389" s="89"/>
      <c r="DX389" s="89"/>
      <c r="DY389" s="89"/>
      <c r="DZ389" s="89"/>
      <c r="EA389" s="89"/>
      <c r="EB389" s="89"/>
      <c r="EC389" s="89"/>
      <c r="ED389" s="89"/>
      <c r="EE389" s="89"/>
      <c r="EF389" s="89"/>
      <c r="EG389" s="89"/>
      <c r="EH389" s="89"/>
      <c r="EI389" s="89"/>
      <c r="EJ389" s="89"/>
      <c r="EK389" s="89"/>
      <c r="EL389" s="89"/>
      <c r="EM389" s="89"/>
      <c r="EN389" s="89"/>
    </row>
    <row r="390" spans="1:144" s="87" customFormat="1">
      <c r="A390" s="386"/>
      <c r="C390" s="99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  <c r="O390" s="177"/>
      <c r="P390" s="101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  <c r="AN390" s="89"/>
      <c r="AO390" s="89"/>
      <c r="AP390" s="89"/>
      <c r="AQ390" s="89"/>
      <c r="AR390" s="89"/>
      <c r="AS390" s="89"/>
      <c r="AT390" s="89"/>
      <c r="AU390" s="89"/>
      <c r="AV390" s="89"/>
      <c r="AW390" s="89"/>
      <c r="AX390" s="89"/>
      <c r="AY390" s="89"/>
      <c r="AZ390" s="89"/>
      <c r="BA390" s="89"/>
      <c r="BB390" s="89"/>
      <c r="BC390" s="89"/>
      <c r="BD390" s="89"/>
      <c r="BE390" s="89"/>
      <c r="BF390" s="89"/>
      <c r="BG390" s="89"/>
      <c r="BH390" s="89"/>
      <c r="BI390" s="89"/>
      <c r="BJ390" s="89"/>
      <c r="BK390" s="89"/>
      <c r="BL390" s="89"/>
      <c r="BM390" s="89"/>
      <c r="BN390" s="89"/>
      <c r="BO390" s="89"/>
      <c r="BP390" s="89"/>
      <c r="BQ390" s="89"/>
      <c r="BR390" s="89"/>
      <c r="BS390" s="89"/>
      <c r="BT390" s="89"/>
      <c r="BU390" s="89"/>
      <c r="BV390" s="89"/>
      <c r="BW390" s="89"/>
      <c r="BX390" s="89"/>
      <c r="BY390" s="89"/>
      <c r="BZ390" s="89"/>
      <c r="CA390" s="89"/>
      <c r="CB390" s="89"/>
      <c r="CC390" s="89"/>
      <c r="CD390" s="89"/>
      <c r="CE390" s="89"/>
      <c r="CF390" s="89"/>
      <c r="CG390" s="89"/>
      <c r="CH390" s="89"/>
      <c r="CI390" s="89"/>
      <c r="CJ390" s="89"/>
      <c r="CK390" s="89"/>
      <c r="CL390" s="89"/>
      <c r="CM390" s="89"/>
      <c r="CN390" s="89"/>
      <c r="CO390" s="89"/>
      <c r="CP390" s="89"/>
      <c r="CQ390" s="89"/>
      <c r="CR390" s="89"/>
      <c r="CS390" s="89"/>
      <c r="CT390" s="89"/>
      <c r="CU390" s="89"/>
      <c r="CV390" s="89"/>
      <c r="CW390" s="89"/>
      <c r="CX390" s="89"/>
      <c r="CY390" s="89"/>
      <c r="CZ390" s="89"/>
      <c r="DA390" s="89"/>
      <c r="DB390" s="89"/>
      <c r="DC390" s="89"/>
      <c r="DD390" s="89"/>
      <c r="DE390" s="89"/>
      <c r="DF390" s="89"/>
      <c r="DG390" s="89"/>
      <c r="DH390" s="89"/>
      <c r="DI390" s="89"/>
      <c r="DJ390" s="89"/>
      <c r="DK390" s="89"/>
      <c r="DL390" s="89"/>
      <c r="DM390" s="89"/>
      <c r="DN390" s="89"/>
      <c r="DO390" s="89"/>
      <c r="DP390" s="89"/>
      <c r="DQ390" s="89"/>
      <c r="DR390" s="89"/>
      <c r="DS390" s="89"/>
      <c r="DT390" s="89"/>
      <c r="DU390" s="89"/>
      <c r="DV390" s="89"/>
      <c r="DW390" s="89"/>
      <c r="DX390" s="89"/>
      <c r="DY390" s="89"/>
      <c r="DZ390" s="89"/>
      <c r="EA390" s="89"/>
      <c r="EB390" s="89"/>
      <c r="EC390" s="89"/>
      <c r="ED390" s="89"/>
      <c r="EE390" s="89"/>
      <c r="EF390" s="89"/>
      <c r="EG390" s="89"/>
      <c r="EH390" s="89"/>
      <c r="EI390" s="89"/>
      <c r="EJ390" s="89"/>
      <c r="EK390" s="89"/>
      <c r="EL390" s="89"/>
      <c r="EM390" s="89"/>
      <c r="EN390" s="89"/>
    </row>
    <row r="391" spans="1:144" s="87" customFormat="1">
      <c r="A391" s="386">
        <v>3</v>
      </c>
      <c r="B391" s="87" t="s">
        <v>81</v>
      </c>
      <c r="C391" s="157" t="s">
        <v>4</v>
      </c>
      <c r="D391" s="390">
        <f t="shared" ref="D391:O391" si="155">D355+D322+D290+D256+D222+D188+D155+D121+D87+D53+D19</f>
        <v>12433904.981445806</v>
      </c>
      <c r="E391" s="390">
        <f t="shared" si="155"/>
        <v>12256989.92399089</v>
      </c>
      <c r="F391" s="390">
        <f t="shared" si="155"/>
        <v>12437132.107447727</v>
      </c>
      <c r="G391" s="390">
        <f t="shared" si="155"/>
        <v>12464042.636688959</v>
      </c>
      <c r="H391" s="390">
        <f t="shared" si="155"/>
        <v>12467817.602373391</v>
      </c>
      <c r="I391" s="390">
        <f t="shared" si="155"/>
        <v>11851720.866451301</v>
      </c>
      <c r="J391" s="390">
        <f t="shared" si="155"/>
        <v>11898815.720369387</v>
      </c>
      <c r="K391" s="390">
        <f t="shared" si="155"/>
        <v>12098524.575210068</v>
      </c>
      <c r="L391" s="390">
        <f t="shared" si="155"/>
        <v>12499994.236098174</v>
      </c>
      <c r="M391" s="390">
        <f t="shared" si="155"/>
        <v>12405938.281082321</v>
      </c>
      <c r="N391" s="390">
        <f t="shared" si="155"/>
        <v>12565508.535994262</v>
      </c>
      <c r="O391" s="390">
        <f t="shared" si="155"/>
        <v>12665534.156416554</v>
      </c>
      <c r="P391" s="101">
        <f>SUM(D391:O391)</f>
        <v>148045923.62356883</v>
      </c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89"/>
      <c r="AJ391" s="89"/>
      <c r="AK391" s="89"/>
      <c r="AL391" s="89"/>
      <c r="AM391" s="89"/>
      <c r="AN391" s="89"/>
      <c r="AO391" s="89"/>
      <c r="AP391" s="89"/>
      <c r="AQ391" s="89"/>
      <c r="AR391" s="89"/>
      <c r="AS391" s="89"/>
      <c r="AT391" s="89"/>
      <c r="AU391" s="89"/>
      <c r="AV391" s="89"/>
      <c r="AW391" s="89"/>
      <c r="AX391" s="89"/>
      <c r="AY391" s="89"/>
      <c r="AZ391" s="89"/>
      <c r="BA391" s="89"/>
      <c r="BB391" s="89"/>
      <c r="BC391" s="89"/>
      <c r="BD391" s="89"/>
      <c r="BE391" s="89"/>
      <c r="BF391" s="89"/>
      <c r="BG391" s="89"/>
      <c r="BH391" s="89"/>
      <c r="BI391" s="89"/>
      <c r="BJ391" s="89"/>
      <c r="BK391" s="89"/>
      <c r="BL391" s="89"/>
      <c r="BM391" s="89"/>
      <c r="BN391" s="89"/>
      <c r="BO391" s="89"/>
      <c r="BP391" s="89"/>
      <c r="BQ391" s="89"/>
      <c r="BR391" s="89"/>
      <c r="BS391" s="89"/>
      <c r="BT391" s="89"/>
      <c r="BU391" s="89"/>
      <c r="BV391" s="89"/>
      <c r="BW391" s="89"/>
      <c r="BX391" s="89"/>
      <c r="BY391" s="89"/>
      <c r="BZ391" s="89"/>
      <c r="CA391" s="89"/>
      <c r="CB391" s="89"/>
      <c r="CC391" s="89"/>
      <c r="CD391" s="89"/>
      <c r="CE391" s="89"/>
      <c r="CF391" s="89"/>
      <c r="CG391" s="89"/>
      <c r="CH391" s="89"/>
      <c r="CI391" s="89"/>
      <c r="CJ391" s="89"/>
      <c r="CK391" s="89"/>
      <c r="CL391" s="89"/>
      <c r="CM391" s="89"/>
      <c r="CN391" s="89"/>
      <c r="CO391" s="89"/>
      <c r="CP391" s="89"/>
      <c r="CQ391" s="89"/>
      <c r="CR391" s="89"/>
      <c r="CS391" s="89"/>
      <c r="CT391" s="89"/>
      <c r="CU391" s="89"/>
      <c r="CV391" s="89"/>
      <c r="CW391" s="89"/>
      <c r="CX391" s="89"/>
      <c r="CY391" s="89"/>
      <c r="CZ391" s="89"/>
      <c r="DA391" s="89"/>
      <c r="DB391" s="89"/>
      <c r="DC391" s="89"/>
      <c r="DD391" s="89"/>
      <c r="DE391" s="89"/>
      <c r="DF391" s="89"/>
      <c r="DG391" s="89"/>
      <c r="DH391" s="89"/>
      <c r="DI391" s="89"/>
      <c r="DJ391" s="89"/>
      <c r="DK391" s="89"/>
      <c r="DL391" s="89"/>
      <c r="DM391" s="89"/>
      <c r="DN391" s="89"/>
      <c r="DO391" s="89"/>
      <c r="DP391" s="89"/>
      <c r="DQ391" s="89"/>
      <c r="DR391" s="89"/>
      <c r="DS391" s="89"/>
      <c r="DT391" s="89"/>
      <c r="DU391" s="89"/>
      <c r="DV391" s="89"/>
      <c r="DW391" s="89"/>
      <c r="DX391" s="89"/>
      <c r="DY391" s="89"/>
      <c r="DZ391" s="89"/>
      <c r="EA391" s="89"/>
      <c r="EB391" s="89"/>
      <c r="EC391" s="89"/>
      <c r="ED391" s="89"/>
      <c r="EE391" s="89"/>
      <c r="EF391" s="89"/>
      <c r="EG391" s="89"/>
      <c r="EH391" s="89"/>
      <c r="EI391" s="89"/>
      <c r="EJ391" s="89"/>
      <c r="EK391" s="89"/>
      <c r="EL391" s="89"/>
      <c r="EM391" s="89"/>
      <c r="EN391" s="89"/>
    </row>
    <row r="392" spans="1:144" s="87" customFormat="1">
      <c r="A392" s="386">
        <v>4</v>
      </c>
      <c r="B392" s="87" t="s">
        <v>85</v>
      </c>
      <c r="C392" s="157" t="s">
        <v>4</v>
      </c>
      <c r="D392" s="388">
        <f t="shared" ref="D392:O392" si="156">D356+D323+D291+D257+D223+D189+D156+D122+D88+D54+D20</f>
        <v>1589220.8357154576</v>
      </c>
      <c r="E392" s="388">
        <f t="shared" si="156"/>
        <v>1490033.7592041194</v>
      </c>
      <c r="F392" s="388">
        <f t="shared" si="156"/>
        <v>1466867.2363921185</v>
      </c>
      <c r="G392" s="388">
        <f t="shared" si="156"/>
        <v>1410981.1211290464</v>
      </c>
      <c r="H392" s="388">
        <f t="shared" si="156"/>
        <v>1349175.640489134</v>
      </c>
      <c r="I392" s="388">
        <f t="shared" si="156"/>
        <v>1341429.7748562137</v>
      </c>
      <c r="J392" s="388">
        <f t="shared" si="156"/>
        <v>1395935.6796565228</v>
      </c>
      <c r="K392" s="388">
        <f t="shared" si="156"/>
        <v>1411786.7045493531</v>
      </c>
      <c r="L392" s="388">
        <f t="shared" si="156"/>
        <v>1502668.7341903467</v>
      </c>
      <c r="M392" s="388">
        <f t="shared" si="156"/>
        <v>1499064.0458849196</v>
      </c>
      <c r="N392" s="388">
        <f t="shared" si="156"/>
        <v>1620905.9691779932</v>
      </c>
      <c r="O392" s="388">
        <f t="shared" si="156"/>
        <v>1664535.2892842959</v>
      </c>
      <c r="P392" s="388">
        <f>SUM(D392:O392)</f>
        <v>17742604.790529519</v>
      </c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89"/>
      <c r="AJ392" s="89"/>
      <c r="AK392" s="89"/>
      <c r="AL392" s="89"/>
      <c r="AM392" s="89"/>
      <c r="AN392" s="89"/>
      <c r="AO392" s="89"/>
      <c r="AP392" s="89"/>
      <c r="AQ392" s="89"/>
      <c r="AR392" s="89"/>
      <c r="AS392" s="89"/>
      <c r="AT392" s="89"/>
      <c r="AU392" s="89"/>
      <c r="AV392" s="89"/>
      <c r="AW392" s="89"/>
      <c r="AX392" s="89"/>
      <c r="AY392" s="89"/>
      <c r="AZ392" s="89"/>
      <c r="BA392" s="89"/>
      <c r="BB392" s="89"/>
      <c r="BC392" s="89"/>
      <c r="BD392" s="89"/>
      <c r="BE392" s="89"/>
      <c r="BF392" s="89"/>
      <c r="BG392" s="89"/>
      <c r="BH392" s="89"/>
      <c r="BI392" s="89"/>
      <c r="BJ392" s="89"/>
      <c r="BK392" s="89"/>
      <c r="BL392" s="89"/>
      <c r="BM392" s="89"/>
      <c r="BN392" s="89"/>
      <c r="BO392" s="89"/>
      <c r="BP392" s="89"/>
      <c r="BQ392" s="89"/>
      <c r="BR392" s="89"/>
      <c r="BS392" s="89"/>
      <c r="BT392" s="89"/>
      <c r="BU392" s="89"/>
      <c r="BV392" s="89"/>
      <c r="BW392" s="89"/>
      <c r="BX392" s="89"/>
      <c r="BY392" s="89"/>
      <c r="BZ392" s="89"/>
      <c r="CA392" s="89"/>
      <c r="CB392" s="89"/>
      <c r="CC392" s="89"/>
      <c r="CD392" s="89"/>
      <c r="CE392" s="89"/>
      <c r="CF392" s="89"/>
      <c r="CG392" s="89"/>
      <c r="CH392" s="89"/>
      <c r="CI392" s="89"/>
      <c r="CJ392" s="89"/>
      <c r="CK392" s="89"/>
      <c r="CL392" s="89"/>
      <c r="CM392" s="89"/>
      <c r="CN392" s="89"/>
      <c r="CO392" s="89"/>
      <c r="CP392" s="89"/>
      <c r="CQ392" s="89"/>
      <c r="CR392" s="89"/>
      <c r="CS392" s="89"/>
      <c r="CT392" s="89"/>
      <c r="CU392" s="89"/>
      <c r="CV392" s="89"/>
      <c r="CW392" s="89"/>
      <c r="CX392" s="89"/>
      <c r="CY392" s="89"/>
      <c r="CZ392" s="89"/>
      <c r="DA392" s="89"/>
      <c r="DB392" s="89"/>
      <c r="DC392" s="89"/>
      <c r="DD392" s="89"/>
      <c r="DE392" s="89"/>
      <c r="DF392" s="89"/>
      <c r="DG392" s="89"/>
      <c r="DH392" s="89"/>
      <c r="DI392" s="89"/>
      <c r="DJ392" s="89"/>
      <c r="DK392" s="89"/>
      <c r="DL392" s="89"/>
      <c r="DM392" s="89"/>
      <c r="DN392" s="89"/>
      <c r="DO392" s="89"/>
      <c r="DP392" s="89"/>
      <c r="DQ392" s="89"/>
      <c r="DR392" s="89"/>
      <c r="DS392" s="89"/>
      <c r="DT392" s="89"/>
      <c r="DU392" s="89"/>
      <c r="DV392" s="89"/>
      <c r="DW392" s="89"/>
      <c r="DX392" s="89"/>
      <c r="DY392" s="89"/>
      <c r="DZ392" s="89"/>
      <c r="EA392" s="89"/>
      <c r="EB392" s="89"/>
      <c r="EC392" s="89"/>
      <c r="ED392" s="89"/>
      <c r="EE392" s="89"/>
      <c r="EF392" s="89"/>
      <c r="EG392" s="89"/>
      <c r="EH392" s="89"/>
      <c r="EI392" s="89"/>
      <c r="EJ392" s="89"/>
      <c r="EK392" s="89"/>
      <c r="EL392" s="89"/>
      <c r="EM392" s="89"/>
      <c r="EN392" s="89"/>
    </row>
    <row r="393" spans="1:144" s="87" customFormat="1">
      <c r="A393" s="386">
        <v>5</v>
      </c>
      <c r="B393" s="131" t="s">
        <v>18</v>
      </c>
      <c r="C393" s="99"/>
      <c r="D393" s="177">
        <f>SUM(D391:D392)</f>
        <v>14023125.817161264</v>
      </c>
      <c r="E393" s="177">
        <f t="shared" ref="E393:O393" si="157">SUM(E391:E392)</f>
        <v>13747023.68319501</v>
      </c>
      <c r="F393" s="177">
        <f t="shared" si="157"/>
        <v>13903999.343839845</v>
      </c>
      <c r="G393" s="177">
        <f t="shared" si="157"/>
        <v>13875023.757818006</v>
      </c>
      <c r="H393" s="177">
        <f t="shared" si="157"/>
        <v>13816993.242862526</v>
      </c>
      <c r="I393" s="177">
        <f t="shared" si="157"/>
        <v>13193150.641307514</v>
      </c>
      <c r="J393" s="177">
        <f t="shared" si="157"/>
        <v>13294751.40002591</v>
      </c>
      <c r="K393" s="177">
        <f t="shared" si="157"/>
        <v>13510311.279759422</v>
      </c>
      <c r="L393" s="177">
        <f t="shared" si="157"/>
        <v>14002662.970288521</v>
      </c>
      <c r="M393" s="177">
        <f t="shared" si="157"/>
        <v>13905002.326967241</v>
      </c>
      <c r="N393" s="177">
        <f t="shared" si="157"/>
        <v>14186414.505172255</v>
      </c>
      <c r="O393" s="177">
        <f t="shared" si="157"/>
        <v>14330069.44570085</v>
      </c>
      <c r="P393" s="177">
        <f>SUM(P391:P392)</f>
        <v>165788528.41409835</v>
      </c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89"/>
      <c r="AJ393" s="89"/>
      <c r="AK393" s="89"/>
      <c r="AL393" s="89"/>
      <c r="AM393" s="89"/>
      <c r="AN393" s="89"/>
      <c r="AO393" s="89"/>
      <c r="AP393" s="89"/>
      <c r="AQ393" s="89"/>
      <c r="AR393" s="89"/>
      <c r="AS393" s="89"/>
      <c r="AT393" s="89"/>
      <c r="AU393" s="89"/>
      <c r="AV393" s="89"/>
      <c r="AW393" s="89"/>
      <c r="AX393" s="89"/>
      <c r="AY393" s="89"/>
      <c r="AZ393" s="89"/>
      <c r="BA393" s="89"/>
      <c r="BB393" s="89"/>
      <c r="BC393" s="89"/>
      <c r="BD393" s="89"/>
      <c r="BE393" s="89"/>
      <c r="BF393" s="89"/>
      <c r="BG393" s="89"/>
      <c r="BH393" s="89"/>
      <c r="BI393" s="89"/>
      <c r="BJ393" s="89"/>
      <c r="BK393" s="89"/>
      <c r="BL393" s="89"/>
      <c r="BM393" s="89"/>
      <c r="BN393" s="89"/>
      <c r="BO393" s="89"/>
      <c r="BP393" s="89"/>
      <c r="BQ393" s="89"/>
      <c r="BR393" s="89"/>
      <c r="BS393" s="89"/>
      <c r="BT393" s="89"/>
      <c r="BU393" s="89"/>
      <c r="BV393" s="89"/>
      <c r="BW393" s="89"/>
      <c r="BX393" s="89"/>
      <c r="BY393" s="89"/>
      <c r="BZ393" s="89"/>
      <c r="CA393" s="89"/>
      <c r="CB393" s="89"/>
      <c r="CC393" s="89"/>
      <c r="CD393" s="89"/>
      <c r="CE393" s="89"/>
      <c r="CF393" s="89"/>
      <c r="CG393" s="89"/>
      <c r="CH393" s="89"/>
      <c r="CI393" s="89"/>
      <c r="CJ393" s="89"/>
      <c r="CK393" s="89"/>
      <c r="CL393" s="89"/>
      <c r="CM393" s="89"/>
      <c r="CN393" s="89"/>
      <c r="CO393" s="89"/>
      <c r="CP393" s="89"/>
      <c r="CQ393" s="89"/>
      <c r="CR393" s="89"/>
      <c r="CS393" s="89"/>
      <c r="CT393" s="89"/>
      <c r="CU393" s="89"/>
      <c r="CV393" s="89"/>
      <c r="CW393" s="89"/>
      <c r="CX393" s="89"/>
      <c r="CY393" s="89"/>
      <c r="CZ393" s="89"/>
      <c r="DA393" s="89"/>
      <c r="DB393" s="89"/>
      <c r="DC393" s="89"/>
      <c r="DD393" s="89"/>
      <c r="DE393" s="89"/>
      <c r="DF393" s="89"/>
      <c r="DG393" s="89"/>
      <c r="DH393" s="89"/>
      <c r="DI393" s="89"/>
      <c r="DJ393" s="89"/>
      <c r="DK393" s="89"/>
      <c r="DL393" s="89"/>
      <c r="DM393" s="89"/>
      <c r="DN393" s="89"/>
      <c r="DO393" s="89"/>
      <c r="DP393" s="89"/>
      <c r="DQ393" s="89"/>
      <c r="DR393" s="89"/>
      <c r="DS393" s="89"/>
      <c r="DT393" s="89"/>
      <c r="DU393" s="89"/>
      <c r="DV393" s="89"/>
      <c r="DW393" s="89"/>
      <c r="DX393" s="89"/>
      <c r="DY393" s="89"/>
      <c r="DZ393" s="89"/>
      <c r="EA393" s="89"/>
      <c r="EB393" s="89"/>
      <c r="EC393" s="89"/>
      <c r="ED393" s="89"/>
      <c r="EE393" s="89"/>
      <c r="EF393" s="89"/>
      <c r="EG393" s="89"/>
      <c r="EH393" s="89"/>
      <c r="EI393" s="89"/>
      <c r="EJ393" s="89"/>
      <c r="EK393" s="89"/>
      <c r="EL393" s="89"/>
      <c r="EM393" s="89"/>
      <c r="EN393" s="89"/>
    </row>
    <row r="394" spans="1:144" s="87" customFormat="1">
      <c r="A394" s="4"/>
      <c r="B394" s="147"/>
      <c r="C394" s="99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  <c r="O394" s="177"/>
      <c r="P394" s="177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89"/>
      <c r="AJ394" s="89"/>
      <c r="AK394" s="89"/>
      <c r="AL394" s="89"/>
      <c r="AM394" s="89"/>
      <c r="AN394" s="89"/>
      <c r="AO394" s="89"/>
      <c r="AP394" s="89"/>
      <c r="AQ394" s="89"/>
      <c r="AR394" s="89"/>
      <c r="AS394" s="89"/>
      <c r="AT394" s="89"/>
      <c r="AU394" s="89"/>
      <c r="AV394" s="89"/>
      <c r="AW394" s="89"/>
      <c r="AX394" s="89"/>
      <c r="AY394" s="89"/>
      <c r="AZ394" s="89"/>
      <c r="BA394" s="89"/>
      <c r="BB394" s="89"/>
      <c r="BC394" s="89"/>
      <c r="BD394" s="89"/>
      <c r="BE394" s="89"/>
      <c r="BF394" s="89"/>
      <c r="BG394" s="89"/>
      <c r="BH394" s="89"/>
      <c r="BI394" s="89"/>
      <c r="BJ394" s="89"/>
      <c r="BK394" s="89"/>
      <c r="BL394" s="89"/>
      <c r="BM394" s="89"/>
      <c r="BN394" s="89"/>
      <c r="BO394" s="89"/>
      <c r="BP394" s="89"/>
      <c r="BQ394" s="89"/>
      <c r="BR394" s="89"/>
      <c r="BS394" s="89"/>
      <c r="BT394" s="89"/>
      <c r="BU394" s="89"/>
      <c r="BV394" s="89"/>
      <c r="BW394" s="89"/>
      <c r="BX394" s="89"/>
      <c r="BY394" s="89"/>
      <c r="BZ394" s="89"/>
      <c r="CA394" s="89"/>
      <c r="CB394" s="89"/>
      <c r="CC394" s="89"/>
      <c r="CD394" s="89"/>
      <c r="CE394" s="89"/>
      <c r="CF394" s="89"/>
      <c r="CG394" s="89"/>
      <c r="CH394" s="89"/>
      <c r="CI394" s="89"/>
      <c r="CJ394" s="89"/>
      <c r="CK394" s="89"/>
      <c r="CL394" s="89"/>
      <c r="CM394" s="89"/>
      <c r="CN394" s="89"/>
      <c r="CO394" s="89"/>
      <c r="CP394" s="89"/>
      <c r="CQ394" s="89"/>
      <c r="CR394" s="89"/>
      <c r="CS394" s="89"/>
      <c r="CT394" s="89"/>
      <c r="CU394" s="89"/>
      <c r="CV394" s="89"/>
      <c r="CW394" s="89"/>
      <c r="CX394" s="89"/>
      <c r="CY394" s="89"/>
      <c r="CZ394" s="89"/>
      <c r="DA394" s="89"/>
      <c r="DB394" s="89"/>
      <c r="DC394" s="89"/>
      <c r="DD394" s="89"/>
      <c r="DE394" s="89"/>
      <c r="DF394" s="89"/>
      <c r="DG394" s="89"/>
      <c r="DH394" s="89"/>
      <c r="DI394" s="89"/>
      <c r="DJ394" s="89"/>
      <c r="DK394" s="89"/>
      <c r="DL394" s="89"/>
      <c r="DM394" s="89"/>
      <c r="DN394" s="89"/>
      <c r="DO394" s="89"/>
      <c r="DP394" s="89"/>
      <c r="DQ394" s="89"/>
      <c r="DR394" s="89"/>
      <c r="DS394" s="89"/>
      <c r="DT394" s="89"/>
      <c r="DU394" s="89"/>
      <c r="DV394" s="89"/>
      <c r="DW394" s="89"/>
      <c r="DX394" s="89"/>
      <c r="DY394" s="89"/>
      <c r="DZ394" s="89"/>
      <c r="EA394" s="89"/>
      <c r="EB394" s="89"/>
      <c r="EC394" s="89"/>
      <c r="ED394" s="89"/>
      <c r="EE394" s="89"/>
      <c r="EF394" s="89"/>
      <c r="EG394" s="89"/>
      <c r="EH394" s="89"/>
      <c r="EI394" s="89"/>
      <c r="EJ394" s="89"/>
      <c r="EK394" s="89"/>
      <c r="EL394" s="89"/>
      <c r="EM394" s="89"/>
      <c r="EN394" s="89"/>
    </row>
    <row r="395" spans="1:144" s="87" customFormat="1">
      <c r="A395" s="386">
        <v>6</v>
      </c>
      <c r="B395" s="87" t="s">
        <v>82</v>
      </c>
      <c r="C395" s="157" t="s">
        <v>5</v>
      </c>
      <c r="D395" s="177">
        <f t="shared" ref="D395:O395" si="158">D359+D326+D294+D260+D226+D192+D159+D125+D91+D57+D23</f>
        <v>249824.37567397463</v>
      </c>
      <c r="E395" s="177">
        <f t="shared" si="158"/>
        <v>257617.47071560932</v>
      </c>
      <c r="F395" s="177">
        <f t="shared" si="158"/>
        <v>258392.02826164063</v>
      </c>
      <c r="G395" s="177">
        <f t="shared" si="158"/>
        <v>251299.9218606177</v>
      </c>
      <c r="H395" s="177">
        <f t="shared" si="158"/>
        <v>256791.07844574744</v>
      </c>
      <c r="I395" s="177">
        <f t="shared" si="158"/>
        <v>268446.31205908046</v>
      </c>
      <c r="J395" s="177">
        <f t="shared" si="158"/>
        <v>276089.46607991884</v>
      </c>
      <c r="K395" s="177">
        <f t="shared" si="158"/>
        <v>284132.98027371371</v>
      </c>
      <c r="L395" s="177">
        <f t="shared" si="158"/>
        <v>264434.71238328499</v>
      </c>
      <c r="M395" s="177">
        <f t="shared" si="158"/>
        <v>279599.66195735207</v>
      </c>
      <c r="N395" s="177">
        <f t="shared" si="158"/>
        <v>266622.5798153528</v>
      </c>
      <c r="O395" s="177">
        <f t="shared" si="158"/>
        <v>270190.39767150534</v>
      </c>
      <c r="P395" s="101">
        <f>SUM(D395:O395)</f>
        <v>3183440.9851977979</v>
      </c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  <c r="AJ395" s="89"/>
      <c r="AK395" s="89"/>
      <c r="AL395" s="89"/>
      <c r="AM395" s="89"/>
      <c r="AN395" s="89"/>
      <c r="AO395" s="89"/>
      <c r="AP395" s="89"/>
      <c r="AQ395" s="89"/>
      <c r="AR395" s="89"/>
      <c r="AS395" s="89"/>
      <c r="AT395" s="89"/>
      <c r="AU395" s="89"/>
      <c r="AV395" s="89"/>
      <c r="AW395" s="89"/>
      <c r="AX395" s="89"/>
      <c r="AY395" s="89"/>
      <c r="AZ395" s="89"/>
      <c r="BA395" s="89"/>
      <c r="BB395" s="89"/>
      <c r="BC395" s="89"/>
      <c r="BD395" s="89"/>
      <c r="BE395" s="89"/>
      <c r="BF395" s="89"/>
      <c r="BG395" s="89"/>
      <c r="BH395" s="89"/>
      <c r="BI395" s="89"/>
      <c r="BJ395" s="89"/>
      <c r="BK395" s="89"/>
      <c r="BL395" s="89"/>
      <c r="BM395" s="89"/>
      <c r="BN395" s="89"/>
      <c r="BO395" s="89"/>
      <c r="BP395" s="89"/>
      <c r="BQ395" s="89"/>
      <c r="BR395" s="89"/>
      <c r="BS395" s="89"/>
      <c r="BT395" s="89"/>
      <c r="BU395" s="89"/>
      <c r="BV395" s="89"/>
      <c r="BW395" s="89"/>
      <c r="BX395" s="89"/>
      <c r="BY395" s="89"/>
      <c r="BZ395" s="89"/>
      <c r="CA395" s="89"/>
      <c r="CB395" s="89"/>
      <c r="CC395" s="89"/>
      <c r="CD395" s="89"/>
      <c r="CE395" s="89"/>
      <c r="CF395" s="89"/>
      <c r="CG395" s="89"/>
      <c r="CH395" s="89"/>
      <c r="CI395" s="89"/>
      <c r="CJ395" s="89"/>
      <c r="CK395" s="89"/>
      <c r="CL395" s="89"/>
      <c r="CM395" s="89"/>
      <c r="CN395" s="89"/>
      <c r="CO395" s="89"/>
      <c r="CP395" s="89"/>
      <c r="CQ395" s="89"/>
      <c r="CR395" s="89"/>
      <c r="CS395" s="89"/>
      <c r="CT395" s="89"/>
      <c r="CU395" s="89"/>
      <c r="CV395" s="89"/>
      <c r="CW395" s="89"/>
      <c r="CX395" s="89"/>
      <c r="CY395" s="89"/>
      <c r="CZ395" s="89"/>
      <c r="DA395" s="89"/>
      <c r="DB395" s="89"/>
      <c r="DC395" s="89"/>
      <c r="DD395" s="89"/>
      <c r="DE395" s="89"/>
      <c r="DF395" s="89"/>
      <c r="DG395" s="89"/>
      <c r="DH395" s="89"/>
      <c r="DI395" s="89"/>
      <c r="DJ395" s="89"/>
      <c r="DK395" s="89"/>
      <c r="DL395" s="89"/>
      <c r="DM395" s="89"/>
      <c r="DN395" s="89"/>
      <c r="DO395" s="89"/>
      <c r="DP395" s="89"/>
      <c r="DQ395" s="89"/>
      <c r="DR395" s="89"/>
      <c r="DS395" s="89"/>
      <c r="DT395" s="89"/>
      <c r="DU395" s="89"/>
      <c r="DV395" s="89"/>
      <c r="DW395" s="89"/>
      <c r="DX395" s="89"/>
      <c r="DY395" s="89"/>
      <c r="DZ395" s="89"/>
      <c r="EA395" s="89"/>
      <c r="EB395" s="89"/>
      <c r="EC395" s="89"/>
      <c r="ED395" s="89"/>
      <c r="EE395" s="89"/>
      <c r="EF395" s="89"/>
      <c r="EG395" s="89"/>
      <c r="EH395" s="89"/>
      <c r="EI395" s="89"/>
      <c r="EJ395" s="89"/>
      <c r="EK395" s="89"/>
      <c r="EL395" s="89"/>
      <c r="EM395" s="89"/>
      <c r="EN395" s="89"/>
    </row>
    <row r="396" spans="1:144" s="87" customFormat="1">
      <c r="A396" s="386">
        <v>7</v>
      </c>
      <c r="B396" s="87" t="s">
        <v>83</v>
      </c>
      <c r="C396" s="157" t="s">
        <v>5</v>
      </c>
      <c r="D396" s="390">
        <f t="shared" ref="D396:O396" si="159">D360+D327+D295+D261+D227+D193+D160+D126+D92+D58+D24</f>
        <v>2291768.3277894314</v>
      </c>
      <c r="E396" s="390">
        <f t="shared" si="159"/>
        <v>2111196.014429891</v>
      </c>
      <c r="F396" s="390">
        <f t="shared" si="159"/>
        <v>2126800.8472337117</v>
      </c>
      <c r="G396" s="390">
        <f t="shared" si="159"/>
        <v>1969000.5166697972</v>
      </c>
      <c r="H396" s="390">
        <f t="shared" si="159"/>
        <v>2035616.2533675935</v>
      </c>
      <c r="I396" s="390">
        <f t="shared" si="159"/>
        <v>2197025.4839107217</v>
      </c>
      <c r="J396" s="390">
        <f t="shared" si="159"/>
        <v>2082506.456026318</v>
      </c>
      <c r="K396" s="390">
        <f t="shared" si="159"/>
        <v>1991688.6587816146</v>
      </c>
      <c r="L396" s="390">
        <f t="shared" si="159"/>
        <v>2261278.5075586634</v>
      </c>
      <c r="M396" s="390">
        <f t="shared" si="159"/>
        <v>2268268.960469367</v>
      </c>
      <c r="N396" s="390">
        <f t="shared" si="159"/>
        <v>2280845.7238362269</v>
      </c>
      <c r="O396" s="390">
        <f t="shared" si="159"/>
        <v>2375117.6094888952</v>
      </c>
      <c r="P396" s="158">
        <f>SUM(D396:O396)</f>
        <v>25991113.359562233</v>
      </c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89"/>
      <c r="AJ396" s="89"/>
      <c r="AK396" s="89"/>
      <c r="AL396" s="89"/>
      <c r="AM396" s="89"/>
      <c r="AN396" s="89"/>
      <c r="AO396" s="89"/>
      <c r="AP396" s="89"/>
      <c r="AQ396" s="89"/>
      <c r="AR396" s="89"/>
      <c r="AS396" s="89"/>
      <c r="AT396" s="89"/>
      <c r="AU396" s="89"/>
      <c r="AV396" s="89"/>
      <c r="AW396" s="89"/>
      <c r="AX396" s="89"/>
      <c r="AY396" s="89"/>
      <c r="AZ396" s="89"/>
      <c r="BA396" s="89"/>
      <c r="BB396" s="89"/>
      <c r="BC396" s="89"/>
      <c r="BD396" s="89"/>
      <c r="BE396" s="89"/>
      <c r="BF396" s="89"/>
      <c r="BG396" s="89"/>
      <c r="BH396" s="89"/>
      <c r="BI396" s="89"/>
      <c r="BJ396" s="89"/>
      <c r="BK396" s="89"/>
      <c r="BL396" s="89"/>
      <c r="BM396" s="89"/>
      <c r="BN396" s="89"/>
      <c r="BO396" s="89"/>
      <c r="BP396" s="89"/>
      <c r="BQ396" s="89"/>
      <c r="BR396" s="89"/>
      <c r="BS396" s="89"/>
      <c r="BT396" s="89"/>
      <c r="BU396" s="89"/>
      <c r="BV396" s="89"/>
      <c r="BW396" s="89"/>
      <c r="BX396" s="89"/>
      <c r="BY396" s="89"/>
      <c r="BZ396" s="89"/>
      <c r="CA396" s="89"/>
      <c r="CB396" s="89"/>
      <c r="CC396" s="89"/>
      <c r="CD396" s="89"/>
      <c r="CE396" s="89"/>
      <c r="CF396" s="89"/>
      <c r="CG396" s="89"/>
      <c r="CH396" s="89"/>
      <c r="CI396" s="89"/>
      <c r="CJ396" s="89"/>
      <c r="CK396" s="89"/>
      <c r="CL396" s="89"/>
      <c r="CM396" s="89"/>
      <c r="CN396" s="89"/>
      <c r="CO396" s="89"/>
      <c r="CP396" s="89"/>
      <c r="CQ396" s="89"/>
      <c r="CR396" s="89"/>
      <c r="CS396" s="89"/>
      <c r="CT396" s="89"/>
      <c r="CU396" s="89"/>
      <c r="CV396" s="89"/>
      <c r="CW396" s="89"/>
      <c r="CX396" s="89"/>
      <c r="CY396" s="89"/>
      <c r="CZ396" s="89"/>
      <c r="DA396" s="89"/>
      <c r="DB396" s="89"/>
      <c r="DC396" s="89"/>
      <c r="DD396" s="89"/>
      <c r="DE396" s="89"/>
      <c r="DF396" s="89"/>
      <c r="DG396" s="89"/>
      <c r="DH396" s="89"/>
      <c r="DI396" s="89"/>
      <c r="DJ396" s="89"/>
      <c r="DK396" s="89"/>
      <c r="DL396" s="89"/>
      <c r="DM396" s="89"/>
      <c r="DN396" s="89"/>
      <c r="DO396" s="89"/>
      <c r="DP396" s="89"/>
      <c r="DQ396" s="89"/>
      <c r="DR396" s="89"/>
      <c r="DS396" s="89"/>
      <c r="DT396" s="89"/>
      <c r="DU396" s="89"/>
      <c r="DV396" s="89"/>
      <c r="DW396" s="89"/>
      <c r="DX396" s="89"/>
      <c r="DY396" s="89"/>
      <c r="DZ396" s="89"/>
      <c r="EA396" s="89"/>
      <c r="EB396" s="89"/>
      <c r="EC396" s="89"/>
      <c r="ED396" s="89"/>
      <c r="EE396" s="89"/>
      <c r="EF396" s="89"/>
      <c r="EG396" s="89"/>
      <c r="EH396" s="89"/>
      <c r="EI396" s="89"/>
      <c r="EJ396" s="89"/>
      <c r="EK396" s="89"/>
      <c r="EL396" s="89"/>
      <c r="EM396" s="89"/>
      <c r="EN396" s="89"/>
    </row>
    <row r="397" spans="1:144" s="87" customFormat="1">
      <c r="A397" s="386">
        <v>8</v>
      </c>
      <c r="B397" s="87" t="s">
        <v>148</v>
      </c>
      <c r="C397" s="157" t="s">
        <v>5</v>
      </c>
      <c r="D397" s="390">
        <f t="shared" ref="D397:O397" si="160">D361+D328+D296+D262+D228+D194+D161+D127+D93+D59+D25</f>
        <v>6242.0000000000036</v>
      </c>
      <c r="E397" s="390">
        <f t="shared" si="160"/>
        <v>6168.0900000000038</v>
      </c>
      <c r="F397" s="390">
        <f t="shared" si="160"/>
        <v>5958.2900000000018</v>
      </c>
      <c r="G397" s="390">
        <f t="shared" si="160"/>
        <v>5865.4000000000015</v>
      </c>
      <c r="H397" s="390">
        <f t="shared" si="160"/>
        <v>5890.5700000000015</v>
      </c>
      <c r="I397" s="390">
        <f t="shared" si="160"/>
        <v>5789.6400000000012</v>
      </c>
      <c r="J397" s="390">
        <f t="shared" si="160"/>
        <v>5868.5200000000068</v>
      </c>
      <c r="K397" s="390">
        <f t="shared" si="160"/>
        <v>6197.7200000000021</v>
      </c>
      <c r="L397" s="390">
        <f t="shared" si="160"/>
        <v>6237.1800000000021</v>
      </c>
      <c r="M397" s="390">
        <f t="shared" si="160"/>
        <v>6161.8300000000036</v>
      </c>
      <c r="N397" s="390">
        <f t="shared" si="160"/>
        <v>6178.1800000000094</v>
      </c>
      <c r="O397" s="390">
        <f t="shared" si="160"/>
        <v>5977.3199999999979</v>
      </c>
      <c r="P397" s="158">
        <f t="shared" ref="P397:P398" si="161">SUM(D397:O397)</f>
        <v>72534.74000000002</v>
      </c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89"/>
      <c r="AO397" s="89"/>
      <c r="AP397" s="89"/>
      <c r="AQ397" s="89"/>
      <c r="AR397" s="89"/>
      <c r="AS397" s="89"/>
      <c r="AT397" s="89"/>
      <c r="AU397" s="89"/>
      <c r="AV397" s="89"/>
      <c r="AW397" s="89"/>
      <c r="AX397" s="89"/>
      <c r="AY397" s="89"/>
      <c r="AZ397" s="89"/>
      <c r="BA397" s="89"/>
      <c r="BB397" s="89"/>
      <c r="BC397" s="89"/>
      <c r="BD397" s="89"/>
      <c r="BE397" s="89"/>
      <c r="BF397" s="89"/>
      <c r="BG397" s="89"/>
      <c r="BH397" s="89"/>
      <c r="BI397" s="89"/>
      <c r="BJ397" s="89"/>
      <c r="BK397" s="89"/>
      <c r="BL397" s="89"/>
      <c r="BM397" s="89"/>
      <c r="BN397" s="89"/>
      <c r="BO397" s="89"/>
      <c r="BP397" s="89"/>
      <c r="BQ397" s="89"/>
      <c r="BR397" s="89"/>
      <c r="BS397" s="89"/>
      <c r="BT397" s="89"/>
      <c r="BU397" s="89"/>
      <c r="BV397" s="89"/>
      <c r="BW397" s="89"/>
      <c r="BX397" s="89"/>
      <c r="BY397" s="89"/>
      <c r="BZ397" s="89"/>
      <c r="CA397" s="89"/>
      <c r="CB397" s="89"/>
      <c r="CC397" s="89"/>
      <c r="CD397" s="89"/>
      <c r="CE397" s="89"/>
      <c r="CF397" s="89"/>
      <c r="CG397" s="89"/>
      <c r="CH397" s="89"/>
      <c r="CI397" s="89"/>
      <c r="CJ397" s="89"/>
      <c r="CK397" s="89"/>
      <c r="CL397" s="89"/>
      <c r="CM397" s="89"/>
      <c r="CN397" s="89"/>
      <c r="CO397" s="89"/>
      <c r="CP397" s="89"/>
      <c r="CQ397" s="89"/>
      <c r="CR397" s="89"/>
      <c r="CS397" s="89"/>
      <c r="CT397" s="89"/>
      <c r="CU397" s="89"/>
      <c r="CV397" s="89"/>
      <c r="CW397" s="89"/>
      <c r="CX397" s="89"/>
      <c r="CY397" s="89"/>
      <c r="CZ397" s="89"/>
      <c r="DA397" s="89"/>
      <c r="DB397" s="89"/>
      <c r="DC397" s="89"/>
      <c r="DD397" s="89"/>
      <c r="DE397" s="89"/>
      <c r="DF397" s="89"/>
      <c r="DG397" s="89"/>
      <c r="DH397" s="89"/>
      <c r="DI397" s="89"/>
      <c r="DJ397" s="89"/>
      <c r="DK397" s="89"/>
      <c r="DL397" s="89"/>
      <c r="DM397" s="89"/>
      <c r="DN397" s="89"/>
      <c r="DO397" s="89"/>
      <c r="DP397" s="89"/>
      <c r="DQ397" s="89"/>
      <c r="DR397" s="89"/>
      <c r="DS397" s="89"/>
      <c r="DT397" s="89"/>
      <c r="DU397" s="89"/>
      <c r="DV397" s="89"/>
      <c r="DW397" s="89"/>
      <c r="DX397" s="89"/>
      <c r="DY397" s="89"/>
      <c r="DZ397" s="89"/>
      <c r="EA397" s="89"/>
      <c r="EB397" s="89"/>
      <c r="EC397" s="89"/>
      <c r="ED397" s="89"/>
      <c r="EE397" s="89"/>
      <c r="EF397" s="89"/>
      <c r="EG397" s="89"/>
      <c r="EH397" s="89"/>
      <c r="EI397" s="89"/>
      <c r="EJ397" s="89"/>
      <c r="EK397" s="89"/>
      <c r="EL397" s="89"/>
      <c r="EM397" s="89"/>
      <c r="EN397" s="89"/>
    </row>
    <row r="398" spans="1:144" s="87" customFormat="1">
      <c r="A398" s="386">
        <v>9</v>
      </c>
      <c r="B398" s="87" t="s">
        <v>149</v>
      </c>
      <c r="C398" s="157" t="s">
        <v>5</v>
      </c>
      <c r="D398" s="390">
        <f t="shared" ref="D398:O398" si="162">D362+D329+D297+D263+D229+D195+D162+D128+D94+D60+D26</f>
        <v>567032.13000000268</v>
      </c>
      <c r="E398" s="390">
        <f t="shared" si="162"/>
        <v>568552.49000000232</v>
      </c>
      <c r="F398" s="390">
        <f t="shared" si="162"/>
        <v>561503.16000000271</v>
      </c>
      <c r="G398" s="390">
        <f t="shared" si="162"/>
        <v>567592.18000000471</v>
      </c>
      <c r="H398" s="390">
        <f t="shared" si="162"/>
        <v>557411.72000000218</v>
      </c>
      <c r="I398" s="390">
        <f t="shared" si="162"/>
        <v>561516.85000000219</v>
      </c>
      <c r="J398" s="390">
        <f t="shared" si="162"/>
        <v>552907.4700000016</v>
      </c>
      <c r="K398" s="390">
        <f t="shared" si="162"/>
        <v>540734.450000001</v>
      </c>
      <c r="L398" s="390">
        <f t="shared" si="162"/>
        <v>560952.60000000219</v>
      </c>
      <c r="M398" s="390">
        <f t="shared" si="162"/>
        <v>533910.53000000154</v>
      </c>
      <c r="N398" s="390">
        <f t="shared" si="162"/>
        <v>534710.0200000006</v>
      </c>
      <c r="O398" s="390">
        <f t="shared" si="162"/>
        <v>542403.65000000061</v>
      </c>
      <c r="P398" s="158">
        <f t="shared" si="161"/>
        <v>6649227.2500000242</v>
      </c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89"/>
      <c r="AJ398" s="89"/>
      <c r="AK398" s="89"/>
      <c r="AL398" s="89"/>
      <c r="AM398" s="89"/>
      <c r="AN398" s="89"/>
      <c r="AO398" s="89"/>
      <c r="AP398" s="89"/>
      <c r="AQ398" s="89"/>
      <c r="AR398" s="89"/>
      <c r="AS398" s="89"/>
      <c r="AT398" s="89"/>
      <c r="AU398" s="89"/>
      <c r="AV398" s="89"/>
      <c r="AW398" s="89"/>
      <c r="AX398" s="89"/>
      <c r="AY398" s="89"/>
      <c r="AZ398" s="89"/>
      <c r="BA398" s="89"/>
      <c r="BB398" s="89"/>
      <c r="BC398" s="89"/>
      <c r="BD398" s="89"/>
      <c r="BE398" s="89"/>
      <c r="BF398" s="89"/>
      <c r="BG398" s="89"/>
      <c r="BH398" s="89"/>
      <c r="BI398" s="89"/>
      <c r="BJ398" s="89"/>
      <c r="BK398" s="89"/>
      <c r="BL398" s="89"/>
      <c r="BM398" s="89"/>
      <c r="BN398" s="89"/>
      <c r="BO398" s="89"/>
      <c r="BP398" s="89"/>
      <c r="BQ398" s="89"/>
      <c r="BR398" s="89"/>
      <c r="BS398" s="89"/>
      <c r="BT398" s="89"/>
      <c r="BU398" s="89"/>
      <c r="BV398" s="89"/>
      <c r="BW398" s="89"/>
      <c r="BX398" s="89"/>
      <c r="BY398" s="89"/>
      <c r="BZ398" s="89"/>
      <c r="CA398" s="89"/>
      <c r="CB398" s="89"/>
      <c r="CC398" s="89"/>
      <c r="CD398" s="89"/>
      <c r="CE398" s="89"/>
      <c r="CF398" s="89"/>
      <c r="CG398" s="89"/>
      <c r="CH398" s="89"/>
      <c r="CI398" s="89"/>
      <c r="CJ398" s="89"/>
      <c r="CK398" s="89"/>
      <c r="CL398" s="89"/>
      <c r="CM398" s="89"/>
      <c r="CN398" s="89"/>
      <c r="CO398" s="89"/>
      <c r="CP398" s="89"/>
      <c r="CQ398" s="89"/>
      <c r="CR398" s="89"/>
      <c r="CS398" s="89"/>
      <c r="CT398" s="89"/>
      <c r="CU398" s="89"/>
      <c r="CV398" s="89"/>
      <c r="CW398" s="89"/>
      <c r="CX398" s="89"/>
      <c r="CY398" s="89"/>
      <c r="CZ398" s="89"/>
      <c r="DA398" s="89"/>
      <c r="DB398" s="89"/>
      <c r="DC398" s="89"/>
      <c r="DD398" s="89"/>
      <c r="DE398" s="89"/>
      <c r="DF398" s="89"/>
      <c r="DG398" s="89"/>
      <c r="DH398" s="89"/>
      <c r="DI398" s="89"/>
      <c r="DJ398" s="89"/>
      <c r="DK398" s="89"/>
      <c r="DL398" s="89"/>
      <c r="DM398" s="89"/>
      <c r="DN398" s="89"/>
      <c r="DO398" s="89"/>
      <c r="DP398" s="89"/>
      <c r="DQ398" s="89"/>
      <c r="DR398" s="89"/>
      <c r="DS398" s="89"/>
      <c r="DT398" s="89"/>
      <c r="DU398" s="89"/>
      <c r="DV398" s="89"/>
      <c r="DW398" s="89"/>
      <c r="DX398" s="89"/>
      <c r="DY398" s="89"/>
      <c r="DZ398" s="89"/>
      <c r="EA398" s="89"/>
      <c r="EB398" s="89"/>
      <c r="EC398" s="89"/>
      <c r="ED398" s="89"/>
      <c r="EE398" s="89"/>
      <c r="EF398" s="89"/>
      <c r="EG398" s="89"/>
      <c r="EH398" s="89"/>
      <c r="EI398" s="89"/>
      <c r="EJ398" s="89"/>
      <c r="EK398" s="89"/>
      <c r="EL398" s="89"/>
      <c r="EM398" s="89"/>
      <c r="EN398" s="89"/>
    </row>
    <row r="399" spans="1:144" s="87" customFormat="1">
      <c r="A399" s="386">
        <v>10</v>
      </c>
      <c r="B399" s="87" t="s">
        <v>19</v>
      </c>
      <c r="C399" s="157"/>
      <c r="D399" s="391">
        <f>SUM(D395:D398)</f>
        <v>3114866.833463409</v>
      </c>
      <c r="E399" s="391">
        <f t="shared" ref="E399" si="163">SUM(E395:E398)</f>
        <v>2943534.0651455028</v>
      </c>
      <c r="F399" s="391">
        <f t="shared" ref="F399" si="164">SUM(F395:F398)</f>
        <v>2952654.3254953548</v>
      </c>
      <c r="G399" s="391">
        <f t="shared" ref="G399" si="165">SUM(G395:G398)</f>
        <v>2793758.0185304196</v>
      </c>
      <c r="H399" s="391">
        <f t="shared" ref="H399" si="166">SUM(H395:H398)</f>
        <v>2855709.6218133429</v>
      </c>
      <c r="I399" s="391">
        <f t="shared" ref="I399" si="167">SUM(I395:I398)</f>
        <v>3032778.285969804</v>
      </c>
      <c r="J399" s="391">
        <f t="shared" ref="J399" si="168">SUM(J395:J398)</f>
        <v>2917371.9121062383</v>
      </c>
      <c r="K399" s="391">
        <f t="shared" ref="K399" si="169">SUM(K395:K398)</f>
        <v>2822753.8090553298</v>
      </c>
      <c r="L399" s="391">
        <f t="shared" ref="L399" si="170">SUM(L395:L398)</f>
        <v>3092902.9999419507</v>
      </c>
      <c r="M399" s="391">
        <f t="shared" ref="M399" si="171">SUM(M395:M398)</f>
        <v>3087940.9824267207</v>
      </c>
      <c r="N399" s="391">
        <f t="shared" ref="N399" si="172">SUM(N395:N398)</f>
        <v>3088356.5036515803</v>
      </c>
      <c r="O399" s="391">
        <f t="shared" ref="O399" si="173">SUM(O395:O398)</f>
        <v>3193688.9771604007</v>
      </c>
      <c r="P399" s="391">
        <f t="shared" ref="P399" si="174">SUM(P395:P398)</f>
        <v>35896316.334760055</v>
      </c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  <c r="AR399" s="89"/>
      <c r="AS399" s="89"/>
      <c r="AT399" s="89"/>
      <c r="AU399" s="89"/>
      <c r="AV399" s="89"/>
      <c r="AW399" s="89"/>
      <c r="AX399" s="89"/>
      <c r="AY399" s="89"/>
      <c r="AZ399" s="89"/>
      <c r="BA399" s="89"/>
      <c r="BB399" s="89"/>
      <c r="BC399" s="89"/>
      <c r="BD399" s="89"/>
      <c r="BE399" s="89"/>
      <c r="BF399" s="89"/>
      <c r="BG399" s="89"/>
      <c r="BH399" s="89"/>
      <c r="BI399" s="89"/>
      <c r="BJ399" s="89"/>
      <c r="BK399" s="89"/>
      <c r="BL399" s="89"/>
      <c r="BM399" s="89"/>
      <c r="BN399" s="89"/>
      <c r="BO399" s="89"/>
      <c r="BP399" s="89"/>
      <c r="BQ399" s="89"/>
      <c r="BR399" s="89"/>
      <c r="BS399" s="89"/>
      <c r="BT399" s="89"/>
      <c r="BU399" s="89"/>
      <c r="BV399" s="89"/>
      <c r="BW399" s="89"/>
      <c r="BX399" s="89"/>
      <c r="BY399" s="89"/>
      <c r="BZ399" s="89"/>
      <c r="CA399" s="89"/>
      <c r="CB399" s="89"/>
      <c r="CC399" s="89"/>
      <c r="CD399" s="89"/>
      <c r="CE399" s="89"/>
      <c r="CF399" s="89"/>
      <c r="CG399" s="89"/>
      <c r="CH399" s="89"/>
      <c r="CI399" s="89"/>
      <c r="CJ399" s="89"/>
      <c r="CK399" s="89"/>
      <c r="CL399" s="89"/>
      <c r="CM399" s="89"/>
      <c r="CN399" s="89"/>
      <c r="CO399" s="89"/>
      <c r="CP399" s="89"/>
      <c r="CQ399" s="89"/>
      <c r="CR399" s="89"/>
      <c r="CS399" s="89"/>
      <c r="CT399" s="89"/>
      <c r="CU399" s="89"/>
      <c r="CV399" s="89"/>
      <c r="CW399" s="89"/>
      <c r="CX399" s="89"/>
      <c r="CY399" s="89"/>
      <c r="CZ399" s="89"/>
      <c r="DA399" s="89"/>
      <c r="DB399" s="89"/>
      <c r="DC399" s="89"/>
      <c r="DD399" s="89"/>
      <c r="DE399" s="89"/>
      <c r="DF399" s="89"/>
      <c r="DG399" s="89"/>
      <c r="DH399" s="89"/>
      <c r="DI399" s="89"/>
      <c r="DJ399" s="89"/>
      <c r="DK399" s="89"/>
      <c r="DL399" s="89"/>
      <c r="DM399" s="89"/>
      <c r="DN399" s="89"/>
      <c r="DO399" s="89"/>
      <c r="DP399" s="89"/>
      <c r="DQ399" s="89"/>
      <c r="DR399" s="89"/>
      <c r="DS399" s="89"/>
      <c r="DT399" s="89"/>
      <c r="DU399" s="89"/>
      <c r="DV399" s="89"/>
      <c r="DW399" s="89"/>
      <c r="DX399" s="89"/>
      <c r="DY399" s="89"/>
      <c r="DZ399" s="89"/>
      <c r="EA399" s="89"/>
      <c r="EB399" s="89"/>
      <c r="EC399" s="89"/>
      <c r="ED399" s="89"/>
      <c r="EE399" s="89"/>
      <c r="EF399" s="89"/>
      <c r="EG399" s="89"/>
      <c r="EH399" s="89"/>
      <c r="EI399" s="89"/>
      <c r="EJ399" s="89"/>
      <c r="EK399" s="89"/>
      <c r="EL399" s="89"/>
      <c r="EM399" s="89"/>
      <c r="EN399" s="89"/>
    </row>
    <row r="400" spans="1:144" s="87" customFormat="1">
      <c r="A400" s="386"/>
      <c r="C400" s="15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/>
      <c r="P400" s="101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89"/>
      <c r="AJ400" s="89"/>
      <c r="AK400" s="89"/>
      <c r="AL400" s="89"/>
      <c r="AM400" s="89"/>
      <c r="AN400" s="89"/>
      <c r="AO400" s="89"/>
      <c r="AP400" s="89"/>
      <c r="AQ400" s="89"/>
      <c r="AR400" s="89"/>
      <c r="AS400" s="89"/>
      <c r="AT400" s="89"/>
      <c r="AU400" s="89"/>
      <c r="AV400" s="89"/>
      <c r="AW400" s="89"/>
      <c r="AX400" s="89"/>
      <c r="AY400" s="89"/>
      <c r="AZ400" s="89"/>
      <c r="BA400" s="89"/>
      <c r="BB400" s="89"/>
      <c r="BC400" s="89"/>
      <c r="BD400" s="89"/>
      <c r="BE400" s="89"/>
      <c r="BF400" s="89"/>
      <c r="BG400" s="89"/>
      <c r="BH400" s="89"/>
      <c r="BI400" s="89"/>
      <c r="BJ400" s="89"/>
      <c r="BK400" s="89"/>
      <c r="BL400" s="89"/>
      <c r="BM400" s="89"/>
      <c r="BN400" s="89"/>
      <c r="BO400" s="89"/>
      <c r="BP400" s="89"/>
      <c r="BQ400" s="89"/>
      <c r="BR400" s="89"/>
      <c r="BS400" s="89"/>
      <c r="BT400" s="89"/>
      <c r="BU400" s="89"/>
      <c r="BV400" s="89"/>
      <c r="BW400" s="89"/>
      <c r="BX400" s="89"/>
      <c r="BY400" s="89"/>
      <c r="BZ400" s="89"/>
      <c r="CA400" s="89"/>
      <c r="CB400" s="89"/>
      <c r="CC400" s="89"/>
      <c r="CD400" s="89"/>
      <c r="CE400" s="89"/>
      <c r="CF400" s="89"/>
      <c r="CG400" s="89"/>
      <c r="CH400" s="89"/>
      <c r="CI400" s="89"/>
      <c r="CJ400" s="89"/>
      <c r="CK400" s="89"/>
      <c r="CL400" s="89"/>
      <c r="CM400" s="89"/>
      <c r="CN400" s="89"/>
      <c r="CO400" s="89"/>
      <c r="CP400" s="89"/>
      <c r="CQ400" s="89"/>
      <c r="CR400" s="89"/>
      <c r="CS400" s="89"/>
      <c r="CT400" s="89"/>
      <c r="CU400" s="89"/>
      <c r="CV400" s="89"/>
      <c r="CW400" s="89"/>
      <c r="CX400" s="89"/>
      <c r="CY400" s="89"/>
      <c r="CZ400" s="89"/>
      <c r="DA400" s="89"/>
      <c r="DB400" s="89"/>
      <c r="DC400" s="89"/>
      <c r="DD400" s="89"/>
      <c r="DE400" s="89"/>
      <c r="DF400" s="89"/>
      <c r="DG400" s="89"/>
      <c r="DH400" s="89"/>
      <c r="DI400" s="89"/>
      <c r="DJ400" s="89"/>
      <c r="DK400" s="89"/>
      <c r="DL400" s="89"/>
      <c r="DM400" s="89"/>
      <c r="DN400" s="89"/>
      <c r="DO400" s="89"/>
      <c r="DP400" s="89"/>
      <c r="DQ400" s="89"/>
      <c r="DR400" s="89"/>
      <c r="DS400" s="89"/>
      <c r="DT400" s="89"/>
      <c r="DU400" s="89"/>
      <c r="DV400" s="89"/>
      <c r="DW400" s="89"/>
      <c r="DX400" s="89"/>
      <c r="DY400" s="89"/>
      <c r="DZ400" s="89"/>
      <c r="EA400" s="89"/>
      <c r="EB400" s="89"/>
      <c r="EC400" s="89"/>
      <c r="ED400" s="89"/>
      <c r="EE400" s="89"/>
      <c r="EF400" s="89"/>
      <c r="EG400" s="89"/>
      <c r="EH400" s="89"/>
      <c r="EI400" s="89"/>
      <c r="EJ400" s="89"/>
      <c r="EK400" s="89"/>
      <c r="EL400" s="89"/>
      <c r="EM400" s="89"/>
      <c r="EN400" s="89"/>
    </row>
    <row r="401" spans="1:144" s="87" customFormat="1">
      <c r="A401" s="386">
        <v>11</v>
      </c>
      <c r="B401" s="131" t="s">
        <v>86</v>
      </c>
      <c r="C401" s="157" t="s">
        <v>6</v>
      </c>
      <c r="D401" s="177">
        <f>D365+D332+D300+D266+D232+D198+D165+D131+D97+D63+D29</f>
        <v>1361565.7093539787</v>
      </c>
      <c r="E401" s="177">
        <f t="shared" ref="E401:O401" si="175">E365+E332+E300+E266+E232+E198+E165+E131+E97+E63+E29</f>
        <v>1172299.754490477</v>
      </c>
      <c r="F401" s="177">
        <f t="shared" si="175"/>
        <v>-57014.865653752349</v>
      </c>
      <c r="G401" s="177">
        <f t="shared" si="175"/>
        <v>946517.54171099607</v>
      </c>
      <c r="H401" s="177">
        <f t="shared" si="175"/>
        <v>1456965.6468450008</v>
      </c>
      <c r="I401" s="177">
        <f t="shared" si="175"/>
        <v>264491.78291852865</v>
      </c>
      <c r="J401" s="177">
        <f t="shared" si="175"/>
        <v>873871.21122925263</v>
      </c>
      <c r="K401" s="177">
        <f t="shared" si="175"/>
        <v>-510648.14027306251</v>
      </c>
      <c r="L401" s="177">
        <f t="shared" si="175"/>
        <v>718721.22733049002</v>
      </c>
      <c r="M401" s="177">
        <f t="shared" si="175"/>
        <v>321060.15989090037</v>
      </c>
      <c r="N401" s="177">
        <f t="shared" si="175"/>
        <v>1246916.371755302</v>
      </c>
      <c r="O401" s="177">
        <f t="shared" si="175"/>
        <v>1676589.4865761115</v>
      </c>
      <c r="P401" s="101">
        <f>SUM(D401:O401)</f>
        <v>9471335.8861742225</v>
      </c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89"/>
      <c r="AJ401" s="89"/>
      <c r="AK401" s="89"/>
      <c r="AL401" s="89"/>
      <c r="AM401" s="89"/>
      <c r="AN401" s="89"/>
      <c r="AO401" s="89"/>
      <c r="AP401" s="89"/>
      <c r="AQ401" s="89"/>
      <c r="AR401" s="89"/>
      <c r="AS401" s="89"/>
      <c r="AT401" s="89"/>
      <c r="AU401" s="89"/>
      <c r="AV401" s="89"/>
      <c r="AW401" s="89"/>
      <c r="AX401" s="89"/>
      <c r="AY401" s="89"/>
      <c r="AZ401" s="89"/>
      <c r="BA401" s="89"/>
      <c r="BB401" s="89"/>
      <c r="BC401" s="89"/>
      <c r="BD401" s="89"/>
      <c r="BE401" s="89"/>
      <c r="BF401" s="89"/>
      <c r="BG401" s="89"/>
      <c r="BH401" s="89"/>
      <c r="BI401" s="89"/>
      <c r="BJ401" s="89"/>
      <c r="BK401" s="89"/>
      <c r="BL401" s="89"/>
      <c r="BM401" s="89"/>
      <c r="BN401" s="89"/>
      <c r="BO401" s="89"/>
      <c r="BP401" s="89"/>
      <c r="BQ401" s="89"/>
      <c r="BR401" s="89"/>
      <c r="BS401" s="89"/>
      <c r="BT401" s="89"/>
      <c r="BU401" s="89"/>
      <c r="BV401" s="89"/>
      <c r="BW401" s="89"/>
      <c r="BX401" s="89"/>
      <c r="BY401" s="89"/>
      <c r="BZ401" s="89"/>
      <c r="CA401" s="89"/>
      <c r="CB401" s="89"/>
      <c r="CC401" s="89"/>
      <c r="CD401" s="89"/>
      <c r="CE401" s="89"/>
      <c r="CF401" s="89"/>
      <c r="CG401" s="89"/>
      <c r="CH401" s="89"/>
      <c r="CI401" s="89"/>
      <c r="CJ401" s="89"/>
      <c r="CK401" s="89"/>
      <c r="CL401" s="89"/>
      <c r="CM401" s="89"/>
      <c r="CN401" s="89"/>
      <c r="CO401" s="89"/>
      <c r="CP401" s="89"/>
      <c r="CQ401" s="89"/>
      <c r="CR401" s="89"/>
      <c r="CS401" s="89"/>
      <c r="CT401" s="89"/>
      <c r="CU401" s="89"/>
      <c r="CV401" s="89"/>
      <c r="CW401" s="89"/>
      <c r="CX401" s="89"/>
      <c r="CY401" s="89"/>
      <c r="CZ401" s="89"/>
      <c r="DA401" s="89"/>
      <c r="DB401" s="89"/>
      <c r="DC401" s="89"/>
      <c r="DD401" s="89"/>
      <c r="DE401" s="89"/>
      <c r="DF401" s="89"/>
      <c r="DG401" s="89"/>
      <c r="DH401" s="89"/>
      <c r="DI401" s="89"/>
      <c r="DJ401" s="89"/>
      <c r="DK401" s="89"/>
      <c r="DL401" s="89"/>
      <c r="DM401" s="89"/>
      <c r="DN401" s="89"/>
      <c r="DO401" s="89"/>
      <c r="DP401" s="89"/>
      <c r="DQ401" s="89"/>
      <c r="DR401" s="89"/>
      <c r="DS401" s="89"/>
      <c r="DT401" s="89"/>
      <c r="DU401" s="89"/>
      <c r="DV401" s="89"/>
      <c r="DW401" s="89"/>
      <c r="DX401" s="89"/>
      <c r="DY401" s="89"/>
      <c r="DZ401" s="89"/>
      <c r="EA401" s="89"/>
      <c r="EB401" s="89"/>
      <c r="EC401" s="89"/>
      <c r="ED401" s="89"/>
      <c r="EE401" s="89"/>
      <c r="EF401" s="89"/>
      <c r="EG401" s="89"/>
      <c r="EH401" s="89"/>
      <c r="EI401" s="89"/>
      <c r="EJ401" s="89"/>
      <c r="EK401" s="89"/>
      <c r="EL401" s="89"/>
      <c r="EM401" s="89"/>
      <c r="EN401" s="89"/>
    </row>
    <row r="402" spans="1:144" s="87" customFormat="1">
      <c r="A402" s="4"/>
      <c r="C402" s="99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  <c r="O402" s="177"/>
      <c r="P402" s="177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89"/>
      <c r="AJ402" s="89"/>
      <c r="AK402" s="89"/>
      <c r="AL402" s="89"/>
      <c r="AM402" s="89"/>
      <c r="AN402" s="89"/>
      <c r="AO402" s="89"/>
      <c r="AP402" s="89"/>
      <c r="AQ402" s="89"/>
      <c r="AR402" s="89"/>
      <c r="AS402" s="89"/>
      <c r="AT402" s="89"/>
      <c r="AU402" s="89"/>
      <c r="AV402" s="89"/>
      <c r="AW402" s="89"/>
      <c r="AX402" s="89"/>
      <c r="AY402" s="89"/>
      <c r="AZ402" s="89"/>
      <c r="BA402" s="89"/>
      <c r="BB402" s="89"/>
      <c r="BC402" s="89"/>
      <c r="BD402" s="89"/>
      <c r="BE402" s="89"/>
      <c r="BF402" s="89"/>
      <c r="BG402" s="89"/>
      <c r="BH402" s="89"/>
      <c r="BI402" s="89"/>
      <c r="BJ402" s="89"/>
      <c r="BK402" s="89"/>
      <c r="BL402" s="89"/>
      <c r="BM402" s="89"/>
      <c r="BN402" s="89"/>
      <c r="BO402" s="89"/>
      <c r="BP402" s="89"/>
      <c r="BQ402" s="89"/>
      <c r="BR402" s="89"/>
      <c r="BS402" s="89"/>
      <c r="BT402" s="89"/>
      <c r="BU402" s="89"/>
      <c r="BV402" s="89"/>
      <c r="BW402" s="89"/>
      <c r="BX402" s="89"/>
      <c r="BY402" s="89"/>
      <c r="BZ402" s="89"/>
      <c r="CA402" s="89"/>
      <c r="CB402" s="89"/>
      <c r="CC402" s="89"/>
      <c r="CD402" s="89"/>
      <c r="CE402" s="89"/>
      <c r="CF402" s="89"/>
      <c r="CG402" s="89"/>
      <c r="CH402" s="89"/>
      <c r="CI402" s="89"/>
      <c r="CJ402" s="89"/>
      <c r="CK402" s="89"/>
      <c r="CL402" s="89"/>
      <c r="CM402" s="89"/>
      <c r="CN402" s="89"/>
      <c r="CO402" s="89"/>
      <c r="CP402" s="89"/>
      <c r="CQ402" s="89"/>
      <c r="CR402" s="89"/>
      <c r="CS402" s="89"/>
      <c r="CT402" s="89"/>
      <c r="CU402" s="89"/>
      <c r="CV402" s="89"/>
      <c r="CW402" s="89"/>
      <c r="CX402" s="89"/>
      <c r="CY402" s="89"/>
      <c r="CZ402" s="89"/>
      <c r="DA402" s="89"/>
      <c r="DB402" s="89"/>
      <c r="DC402" s="89"/>
      <c r="DD402" s="89"/>
      <c r="DE402" s="89"/>
      <c r="DF402" s="89"/>
      <c r="DG402" s="89"/>
      <c r="DH402" s="89"/>
      <c r="DI402" s="89"/>
      <c r="DJ402" s="89"/>
      <c r="DK402" s="89"/>
      <c r="DL402" s="89"/>
      <c r="DM402" s="89"/>
      <c r="DN402" s="89"/>
      <c r="DO402" s="89"/>
      <c r="DP402" s="89"/>
      <c r="DQ402" s="89"/>
      <c r="DR402" s="89"/>
      <c r="DS402" s="89"/>
      <c r="DT402" s="89"/>
      <c r="DU402" s="89"/>
      <c r="DV402" s="89"/>
      <c r="DW402" s="89"/>
      <c r="DX402" s="89"/>
      <c r="DY402" s="89"/>
      <c r="DZ402" s="89"/>
      <c r="EA402" s="89"/>
      <c r="EB402" s="89"/>
      <c r="EC402" s="89"/>
      <c r="ED402" s="89"/>
      <c r="EE402" s="89"/>
      <c r="EF402" s="89"/>
      <c r="EG402" s="89"/>
      <c r="EH402" s="89"/>
      <c r="EI402" s="89"/>
      <c r="EJ402" s="89"/>
      <c r="EK402" s="89"/>
      <c r="EL402" s="89"/>
      <c r="EM402" s="89"/>
      <c r="EN402" s="89"/>
    </row>
    <row r="403" spans="1:144" s="87" customFormat="1">
      <c r="A403" s="386">
        <v>12</v>
      </c>
      <c r="B403" s="89" t="s">
        <v>21</v>
      </c>
      <c r="C403" s="157" t="s">
        <v>4</v>
      </c>
      <c r="D403" s="177">
        <f>D367+D334+D302+D268+D234+D200+D167+D133+D99+D65+D31</f>
        <v>1801049.7969986834</v>
      </c>
      <c r="E403" s="177">
        <f t="shared" ref="E403:O403" si="176">E367+E334+E302+E268+E234+E200+E167+E133+E99+E65+E31</f>
        <v>1800621.4866241803</v>
      </c>
      <c r="F403" s="177">
        <f t="shared" si="176"/>
        <v>1796958.180085727</v>
      </c>
      <c r="G403" s="177">
        <f t="shared" si="176"/>
        <v>1804047.7757937138</v>
      </c>
      <c r="H403" s="177">
        <f t="shared" si="176"/>
        <v>1795631.6493972973</v>
      </c>
      <c r="I403" s="177">
        <f t="shared" si="176"/>
        <v>1812188.2157742758</v>
      </c>
      <c r="J403" s="177">
        <f t="shared" si="176"/>
        <v>1805028.9525640979</v>
      </c>
      <c r="K403" s="177">
        <f t="shared" si="176"/>
        <v>1799159.2821169998</v>
      </c>
      <c r="L403" s="177">
        <f t="shared" si="176"/>
        <v>1802460.5944612001</v>
      </c>
      <c r="M403" s="177">
        <f t="shared" si="176"/>
        <v>1801345.0116000012</v>
      </c>
      <c r="N403" s="177">
        <f t="shared" si="176"/>
        <v>1798284.3534257407</v>
      </c>
      <c r="O403" s="177">
        <f t="shared" si="176"/>
        <v>1809834.3599999994</v>
      </c>
      <c r="P403" s="101">
        <f>SUM(D403:O403)</f>
        <v>21626609.658841919</v>
      </c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  <c r="AI403" s="89"/>
      <c r="AJ403" s="89"/>
      <c r="AK403" s="89"/>
      <c r="AL403" s="89"/>
      <c r="AM403" s="89"/>
      <c r="AN403" s="89"/>
      <c r="AO403" s="89"/>
      <c r="AP403" s="89"/>
      <c r="AQ403" s="89"/>
      <c r="AR403" s="89"/>
      <c r="AS403" s="89"/>
      <c r="AT403" s="89"/>
      <c r="AU403" s="89"/>
      <c r="AV403" s="89"/>
      <c r="AW403" s="89"/>
      <c r="AX403" s="89"/>
      <c r="AY403" s="89"/>
      <c r="AZ403" s="89"/>
      <c r="BA403" s="89"/>
      <c r="BB403" s="89"/>
      <c r="BC403" s="89"/>
      <c r="BD403" s="89"/>
      <c r="BE403" s="89"/>
      <c r="BF403" s="89"/>
      <c r="BG403" s="89"/>
      <c r="BH403" s="89"/>
      <c r="BI403" s="89"/>
      <c r="BJ403" s="89"/>
      <c r="BK403" s="89"/>
      <c r="BL403" s="89"/>
      <c r="BM403" s="89"/>
      <c r="BN403" s="89"/>
      <c r="BO403" s="89"/>
      <c r="BP403" s="89"/>
      <c r="BQ403" s="89"/>
      <c r="BR403" s="89"/>
      <c r="BS403" s="89"/>
      <c r="BT403" s="89"/>
      <c r="BU403" s="89"/>
      <c r="BV403" s="89"/>
      <c r="BW403" s="89"/>
      <c r="BX403" s="89"/>
      <c r="BY403" s="89"/>
      <c r="BZ403" s="89"/>
      <c r="CA403" s="89"/>
      <c r="CB403" s="89"/>
      <c r="CC403" s="89"/>
      <c r="CD403" s="89"/>
      <c r="CE403" s="89"/>
      <c r="CF403" s="89"/>
      <c r="CG403" s="89"/>
      <c r="CH403" s="89"/>
      <c r="CI403" s="89"/>
      <c r="CJ403" s="89"/>
      <c r="CK403" s="89"/>
      <c r="CL403" s="89"/>
      <c r="CM403" s="89"/>
      <c r="CN403" s="89"/>
      <c r="CO403" s="89"/>
      <c r="CP403" s="89"/>
      <c r="CQ403" s="89"/>
      <c r="CR403" s="89"/>
      <c r="CS403" s="89"/>
      <c r="CT403" s="89"/>
      <c r="CU403" s="89"/>
      <c r="CV403" s="89"/>
      <c r="CW403" s="89"/>
      <c r="CX403" s="89"/>
      <c r="CY403" s="89"/>
      <c r="CZ403" s="89"/>
      <c r="DA403" s="89"/>
      <c r="DB403" s="89"/>
      <c r="DC403" s="89"/>
      <c r="DD403" s="89"/>
      <c r="DE403" s="89"/>
      <c r="DF403" s="89"/>
      <c r="DG403" s="89"/>
      <c r="DH403" s="89"/>
      <c r="DI403" s="89"/>
      <c r="DJ403" s="89"/>
      <c r="DK403" s="89"/>
      <c r="DL403" s="89"/>
      <c r="DM403" s="89"/>
      <c r="DN403" s="89"/>
      <c r="DO403" s="89"/>
      <c r="DP403" s="89"/>
      <c r="DQ403" s="89"/>
      <c r="DR403" s="89"/>
      <c r="DS403" s="89"/>
      <c r="DT403" s="89"/>
      <c r="DU403" s="89"/>
      <c r="DV403" s="89"/>
      <c r="DW403" s="89"/>
      <c r="DX403" s="89"/>
      <c r="DY403" s="89"/>
      <c r="DZ403" s="89"/>
      <c r="EA403" s="89"/>
      <c r="EB403" s="89"/>
      <c r="EC403" s="89"/>
      <c r="ED403" s="89"/>
      <c r="EE403" s="89"/>
      <c r="EF403" s="89"/>
      <c r="EG403" s="89"/>
      <c r="EH403" s="89"/>
      <c r="EI403" s="89"/>
      <c r="EJ403" s="89"/>
      <c r="EK403" s="89"/>
      <c r="EL403" s="89"/>
      <c r="EM403" s="89"/>
      <c r="EN403" s="89"/>
    </row>
    <row r="404" spans="1:144" s="87" customFormat="1">
      <c r="A404" s="386"/>
      <c r="C404" s="99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  <c r="O404" s="177"/>
      <c r="P404" s="177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89"/>
      <c r="AJ404" s="89"/>
      <c r="AK404" s="89"/>
      <c r="AL404" s="89"/>
      <c r="AM404" s="89"/>
      <c r="AN404" s="89"/>
      <c r="AO404" s="89"/>
      <c r="AP404" s="89"/>
      <c r="AQ404" s="89"/>
      <c r="AR404" s="89"/>
      <c r="AS404" s="89"/>
      <c r="AT404" s="89"/>
      <c r="AU404" s="89"/>
      <c r="AV404" s="89"/>
      <c r="AW404" s="89"/>
      <c r="AX404" s="89"/>
      <c r="AY404" s="89"/>
      <c r="AZ404" s="89"/>
      <c r="BA404" s="89"/>
      <c r="BB404" s="89"/>
      <c r="BC404" s="89"/>
      <c r="BD404" s="89"/>
      <c r="BE404" s="89"/>
      <c r="BF404" s="89"/>
      <c r="BG404" s="89"/>
      <c r="BH404" s="89"/>
      <c r="BI404" s="89"/>
      <c r="BJ404" s="89"/>
      <c r="BK404" s="89"/>
      <c r="BL404" s="89"/>
      <c r="BM404" s="89"/>
      <c r="BN404" s="89"/>
      <c r="BO404" s="89"/>
      <c r="BP404" s="89"/>
      <c r="BQ404" s="89"/>
      <c r="BR404" s="89"/>
      <c r="BS404" s="89"/>
      <c r="BT404" s="89"/>
      <c r="BU404" s="89"/>
      <c r="BV404" s="89"/>
      <c r="BW404" s="89"/>
      <c r="BX404" s="89"/>
      <c r="BY404" s="89"/>
      <c r="BZ404" s="89"/>
      <c r="CA404" s="89"/>
      <c r="CB404" s="89"/>
      <c r="CC404" s="89"/>
      <c r="CD404" s="89"/>
      <c r="CE404" s="89"/>
      <c r="CF404" s="89"/>
      <c r="CG404" s="89"/>
      <c r="CH404" s="89"/>
      <c r="CI404" s="89"/>
      <c r="CJ404" s="89"/>
      <c r="CK404" s="89"/>
      <c r="CL404" s="89"/>
      <c r="CM404" s="89"/>
      <c r="CN404" s="89"/>
      <c r="CO404" s="89"/>
      <c r="CP404" s="89"/>
      <c r="CQ404" s="89"/>
      <c r="CR404" s="89"/>
      <c r="CS404" s="89"/>
      <c r="CT404" s="89"/>
      <c r="CU404" s="89"/>
      <c r="CV404" s="89"/>
      <c r="CW404" s="89"/>
      <c r="CX404" s="89"/>
      <c r="CY404" s="89"/>
      <c r="CZ404" s="89"/>
      <c r="DA404" s="89"/>
      <c r="DB404" s="89"/>
      <c r="DC404" s="89"/>
      <c r="DD404" s="89"/>
      <c r="DE404" s="89"/>
      <c r="DF404" s="89"/>
      <c r="DG404" s="89"/>
      <c r="DH404" s="89"/>
      <c r="DI404" s="89"/>
      <c r="DJ404" s="89"/>
      <c r="DK404" s="89"/>
      <c r="DL404" s="89"/>
      <c r="DM404" s="89"/>
      <c r="DN404" s="89"/>
      <c r="DO404" s="89"/>
      <c r="DP404" s="89"/>
      <c r="DQ404" s="89"/>
      <c r="DR404" s="89"/>
      <c r="DS404" s="89"/>
      <c r="DT404" s="89"/>
      <c r="DU404" s="89"/>
      <c r="DV404" s="89"/>
      <c r="DW404" s="89"/>
      <c r="DX404" s="89"/>
      <c r="DY404" s="89"/>
      <c r="DZ404" s="89"/>
      <c r="EA404" s="89"/>
      <c r="EB404" s="89"/>
      <c r="EC404" s="89"/>
      <c r="ED404" s="89"/>
      <c r="EE404" s="89"/>
      <c r="EF404" s="89"/>
      <c r="EG404" s="89"/>
      <c r="EH404" s="89"/>
      <c r="EI404" s="89"/>
      <c r="EJ404" s="89"/>
      <c r="EK404" s="89"/>
      <c r="EL404" s="89"/>
      <c r="EM404" s="89"/>
      <c r="EN404" s="89"/>
    </row>
    <row r="405" spans="1:144" s="87" customFormat="1">
      <c r="A405" s="386">
        <v>13</v>
      </c>
      <c r="B405" s="393" t="s">
        <v>22</v>
      </c>
      <c r="C405" s="362"/>
      <c r="D405" s="394">
        <f t="shared" ref="D405:O405" si="177">D403+D401+D399+D393+D389+D387</f>
        <v>49832762.252597988</v>
      </c>
      <c r="E405" s="394">
        <f t="shared" si="177"/>
        <v>43779732.741216719</v>
      </c>
      <c r="F405" s="394">
        <f t="shared" si="177"/>
        <v>44241951.380141184</v>
      </c>
      <c r="G405" s="394">
        <f t="shared" si="177"/>
        <v>46997859.355829276</v>
      </c>
      <c r="H405" s="394">
        <f t="shared" si="177"/>
        <v>45944309.17018643</v>
      </c>
      <c r="I405" s="394">
        <f t="shared" si="177"/>
        <v>41760949.482387081</v>
      </c>
      <c r="J405" s="394">
        <f t="shared" si="177"/>
        <v>41546463.469331041</v>
      </c>
      <c r="K405" s="394">
        <f t="shared" si="177"/>
        <v>43525883.493785642</v>
      </c>
      <c r="L405" s="394">
        <f t="shared" si="177"/>
        <v>51944199.588980332</v>
      </c>
      <c r="M405" s="394">
        <f t="shared" si="177"/>
        <v>56323882.037986994</v>
      </c>
      <c r="N405" s="394">
        <f t="shared" si="177"/>
        <v>58063957.952883802</v>
      </c>
      <c r="O405" s="394">
        <f t="shared" si="177"/>
        <v>57769658.993224278</v>
      </c>
      <c r="P405" s="394">
        <f>P403+P401+P399+P393+P389+P387</f>
        <v>581731609.91855073</v>
      </c>
      <c r="Q405" s="136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89"/>
      <c r="AJ405" s="89"/>
      <c r="AK405" s="89"/>
      <c r="AL405" s="89"/>
      <c r="AM405" s="89"/>
      <c r="AN405" s="89"/>
      <c r="AO405" s="89"/>
      <c r="AP405" s="89"/>
      <c r="AQ405" s="89"/>
      <c r="AR405" s="89"/>
      <c r="AS405" s="89"/>
      <c r="AT405" s="89"/>
      <c r="AU405" s="89"/>
      <c r="AV405" s="89"/>
      <c r="AW405" s="89"/>
      <c r="AX405" s="89"/>
      <c r="AY405" s="89"/>
      <c r="AZ405" s="89"/>
      <c r="BA405" s="89"/>
      <c r="BB405" s="89"/>
      <c r="BC405" s="89"/>
      <c r="BD405" s="89"/>
      <c r="BE405" s="89"/>
      <c r="BF405" s="89"/>
      <c r="BG405" s="89"/>
      <c r="BH405" s="89"/>
      <c r="BI405" s="89"/>
      <c r="BJ405" s="89"/>
      <c r="BK405" s="89"/>
      <c r="BL405" s="89"/>
      <c r="BM405" s="89"/>
      <c r="BN405" s="89"/>
      <c r="BO405" s="89"/>
      <c r="BP405" s="89"/>
      <c r="BQ405" s="89"/>
      <c r="BR405" s="89"/>
      <c r="BS405" s="89"/>
      <c r="BT405" s="89"/>
      <c r="BU405" s="89"/>
      <c r="BV405" s="89"/>
      <c r="BW405" s="89"/>
      <c r="BX405" s="89"/>
      <c r="BY405" s="89"/>
      <c r="BZ405" s="89"/>
      <c r="CA405" s="89"/>
      <c r="CB405" s="89"/>
      <c r="CC405" s="89"/>
      <c r="CD405" s="89"/>
      <c r="CE405" s="89"/>
      <c r="CF405" s="89"/>
      <c r="CG405" s="89"/>
      <c r="CH405" s="89"/>
      <c r="CI405" s="89"/>
      <c r="CJ405" s="89"/>
      <c r="CK405" s="89"/>
      <c r="CL405" s="89"/>
      <c r="CM405" s="89"/>
      <c r="CN405" s="89"/>
      <c r="CO405" s="89"/>
      <c r="CP405" s="89"/>
      <c r="CQ405" s="89"/>
      <c r="CR405" s="89"/>
      <c r="CS405" s="89"/>
      <c r="CT405" s="89"/>
      <c r="CU405" s="89"/>
      <c r="CV405" s="89"/>
      <c r="CW405" s="89"/>
      <c r="CX405" s="89"/>
      <c r="CY405" s="89"/>
      <c r="CZ405" s="89"/>
      <c r="DA405" s="89"/>
      <c r="DB405" s="89"/>
      <c r="DC405" s="89"/>
      <c r="DD405" s="89"/>
      <c r="DE405" s="89"/>
      <c r="DF405" s="89"/>
      <c r="DG405" s="89"/>
      <c r="DH405" s="89"/>
      <c r="DI405" s="89"/>
      <c r="DJ405" s="89"/>
      <c r="DK405" s="89"/>
      <c r="DL405" s="89"/>
      <c r="DM405" s="89"/>
      <c r="DN405" s="89"/>
      <c r="DO405" s="89"/>
      <c r="DP405" s="89"/>
      <c r="DQ405" s="89"/>
      <c r="DR405" s="89"/>
      <c r="DS405" s="89"/>
      <c r="DT405" s="89"/>
      <c r="DU405" s="89"/>
      <c r="DV405" s="89"/>
      <c r="DW405" s="89"/>
      <c r="DX405" s="89"/>
      <c r="DY405" s="89"/>
      <c r="DZ405" s="89"/>
      <c r="EA405" s="89"/>
      <c r="EB405" s="89"/>
      <c r="EC405" s="89"/>
      <c r="ED405" s="89"/>
      <c r="EE405" s="89"/>
      <c r="EF405" s="89"/>
      <c r="EG405" s="89"/>
      <c r="EH405" s="89"/>
      <c r="EI405" s="89"/>
      <c r="EJ405" s="89"/>
      <c r="EK405" s="89"/>
      <c r="EL405" s="89"/>
      <c r="EM405" s="89"/>
      <c r="EN405" s="89"/>
    </row>
    <row r="406" spans="1:144" s="87" customFormat="1">
      <c r="A406" s="4"/>
      <c r="B406" s="362"/>
      <c r="C406" s="362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89"/>
      <c r="AJ406" s="89"/>
      <c r="AK406" s="89"/>
      <c r="AL406" s="89"/>
      <c r="AM406" s="89"/>
      <c r="AN406" s="89"/>
      <c r="AO406" s="89"/>
      <c r="AP406" s="89"/>
      <c r="AQ406" s="89"/>
      <c r="AR406" s="89"/>
      <c r="AS406" s="89"/>
      <c r="AT406" s="89"/>
      <c r="AU406" s="89"/>
      <c r="AV406" s="89"/>
      <c r="AW406" s="89"/>
      <c r="AX406" s="89"/>
      <c r="AY406" s="89"/>
      <c r="AZ406" s="89"/>
      <c r="BA406" s="89"/>
      <c r="BB406" s="89"/>
      <c r="BC406" s="89"/>
      <c r="BD406" s="89"/>
      <c r="BE406" s="89"/>
      <c r="BF406" s="89"/>
      <c r="BG406" s="89"/>
      <c r="BH406" s="89"/>
      <c r="BI406" s="89"/>
      <c r="BJ406" s="89"/>
      <c r="BK406" s="89"/>
      <c r="BL406" s="89"/>
      <c r="BM406" s="89"/>
      <c r="BN406" s="89"/>
      <c r="BO406" s="89"/>
      <c r="BP406" s="89"/>
      <c r="BQ406" s="89"/>
      <c r="BR406" s="89"/>
      <c r="BS406" s="89"/>
      <c r="BT406" s="89"/>
      <c r="BU406" s="89"/>
      <c r="BV406" s="89"/>
      <c r="BW406" s="89"/>
      <c r="BX406" s="89"/>
      <c r="BY406" s="89"/>
      <c r="BZ406" s="89"/>
      <c r="CA406" s="89"/>
      <c r="CB406" s="89"/>
      <c r="CC406" s="89"/>
      <c r="CD406" s="89"/>
      <c r="CE406" s="89"/>
      <c r="CF406" s="89"/>
      <c r="CG406" s="89"/>
      <c r="CH406" s="89"/>
      <c r="CI406" s="89"/>
      <c r="CJ406" s="89"/>
      <c r="CK406" s="89"/>
      <c r="CL406" s="89"/>
      <c r="CM406" s="89"/>
      <c r="CN406" s="89"/>
      <c r="CO406" s="89"/>
      <c r="CP406" s="89"/>
      <c r="CQ406" s="89"/>
      <c r="CR406" s="89"/>
      <c r="CS406" s="89"/>
      <c r="CT406" s="89"/>
      <c r="CU406" s="89"/>
      <c r="CV406" s="89"/>
      <c r="CW406" s="89"/>
      <c r="CX406" s="89"/>
      <c r="CY406" s="89"/>
      <c r="CZ406" s="89"/>
      <c r="DA406" s="89"/>
      <c r="DB406" s="89"/>
      <c r="DC406" s="89"/>
      <c r="DD406" s="89"/>
      <c r="DE406" s="89"/>
      <c r="DF406" s="89"/>
      <c r="DG406" s="89"/>
      <c r="DH406" s="89"/>
      <c r="DI406" s="89"/>
      <c r="DJ406" s="89"/>
      <c r="DK406" s="89"/>
      <c r="DL406" s="89"/>
      <c r="DM406" s="89"/>
      <c r="DN406" s="89"/>
      <c r="DO406" s="89"/>
      <c r="DP406" s="89"/>
      <c r="DQ406" s="89"/>
      <c r="DR406" s="89"/>
      <c r="DS406" s="89"/>
      <c r="DT406" s="89"/>
      <c r="DU406" s="89"/>
      <c r="DV406" s="89"/>
      <c r="DW406" s="89"/>
      <c r="DX406" s="89"/>
      <c r="DY406" s="89"/>
      <c r="DZ406" s="89"/>
      <c r="EA406" s="89"/>
      <c r="EB406" s="89"/>
      <c r="EC406" s="89"/>
      <c r="ED406" s="89"/>
      <c r="EE406" s="89"/>
      <c r="EF406" s="89"/>
      <c r="EG406" s="89"/>
      <c r="EH406" s="89"/>
      <c r="EI406" s="89"/>
      <c r="EJ406" s="89"/>
      <c r="EK406" s="89"/>
      <c r="EL406" s="89"/>
      <c r="EM406" s="89"/>
      <c r="EN406" s="89"/>
    </row>
    <row r="407" spans="1:144" s="87" customFormat="1">
      <c r="A407" s="386">
        <v>14</v>
      </c>
      <c r="B407" s="89" t="s">
        <v>69</v>
      </c>
      <c r="C407" s="157" t="s">
        <v>5</v>
      </c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  <c r="O407" s="177"/>
      <c r="P407" s="101">
        <f>SUM(D407:O407)</f>
        <v>0</v>
      </c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  <c r="AR407" s="89"/>
      <c r="AS407" s="89"/>
      <c r="AT407" s="89"/>
      <c r="AU407" s="89"/>
      <c r="AV407" s="89"/>
      <c r="AW407" s="89"/>
      <c r="AX407" s="89"/>
      <c r="AY407" s="89"/>
      <c r="AZ407" s="89"/>
      <c r="BA407" s="89"/>
      <c r="BB407" s="89"/>
      <c r="BC407" s="89"/>
      <c r="BD407" s="89"/>
      <c r="BE407" s="89"/>
      <c r="BF407" s="89"/>
      <c r="BG407" s="89"/>
      <c r="BH407" s="89"/>
      <c r="BI407" s="89"/>
      <c r="BJ407" s="89"/>
      <c r="BK407" s="89"/>
      <c r="BL407" s="89"/>
      <c r="BM407" s="89"/>
      <c r="BN407" s="89"/>
      <c r="BO407" s="89"/>
      <c r="BP407" s="89"/>
      <c r="BQ407" s="89"/>
      <c r="BR407" s="89"/>
      <c r="BS407" s="89"/>
      <c r="BT407" s="89"/>
      <c r="BU407" s="89"/>
      <c r="BV407" s="89"/>
      <c r="BW407" s="89"/>
      <c r="BX407" s="89"/>
      <c r="BY407" s="89"/>
      <c r="BZ407" s="89"/>
      <c r="CA407" s="89"/>
      <c r="CB407" s="89"/>
      <c r="CC407" s="89"/>
      <c r="CD407" s="89"/>
      <c r="CE407" s="89"/>
      <c r="CF407" s="89"/>
      <c r="CG407" s="89"/>
      <c r="CH407" s="89"/>
      <c r="CI407" s="89"/>
      <c r="CJ407" s="89"/>
      <c r="CK407" s="89"/>
      <c r="CL407" s="89"/>
      <c r="CM407" s="89"/>
      <c r="CN407" s="89"/>
      <c r="CO407" s="89"/>
      <c r="CP407" s="89"/>
      <c r="CQ407" s="89"/>
      <c r="CR407" s="89"/>
      <c r="CS407" s="89"/>
      <c r="CT407" s="89"/>
      <c r="CU407" s="89"/>
      <c r="CV407" s="89"/>
      <c r="CW407" s="89"/>
      <c r="CX407" s="89"/>
      <c r="CY407" s="89"/>
      <c r="CZ407" s="89"/>
      <c r="DA407" s="89"/>
      <c r="DB407" s="89"/>
      <c r="DC407" s="89"/>
      <c r="DD407" s="89"/>
      <c r="DE407" s="89"/>
      <c r="DF407" s="89"/>
      <c r="DG407" s="89"/>
      <c r="DH407" s="89"/>
      <c r="DI407" s="89"/>
      <c r="DJ407" s="89"/>
      <c r="DK407" s="89"/>
      <c r="DL407" s="89"/>
      <c r="DM407" s="89"/>
      <c r="DN407" s="89"/>
      <c r="DO407" s="89"/>
      <c r="DP407" s="89"/>
      <c r="DQ407" s="89"/>
      <c r="DR407" s="89"/>
      <c r="DS407" s="89"/>
      <c r="DT407" s="89"/>
      <c r="DU407" s="89"/>
      <c r="DV407" s="89"/>
      <c r="DW407" s="89"/>
      <c r="DX407" s="89"/>
      <c r="DY407" s="89"/>
      <c r="DZ407" s="89"/>
      <c r="EA407" s="89"/>
      <c r="EB407" s="89"/>
      <c r="EC407" s="89"/>
      <c r="ED407" s="89"/>
      <c r="EE407" s="89"/>
      <c r="EF407" s="89"/>
      <c r="EG407" s="89"/>
      <c r="EH407" s="89"/>
      <c r="EI407" s="89"/>
      <c r="EJ407" s="89"/>
      <c r="EK407" s="89"/>
      <c r="EL407" s="89"/>
      <c r="EM407" s="89"/>
      <c r="EN407" s="89"/>
    </row>
    <row r="408" spans="1:144" s="87" customFormat="1">
      <c r="A408" s="386">
        <v>15</v>
      </c>
      <c r="B408" s="89" t="s">
        <v>70</v>
      </c>
      <c r="C408" s="157" t="s">
        <v>6</v>
      </c>
      <c r="D408" s="388"/>
      <c r="E408" s="388"/>
      <c r="F408" s="388"/>
      <c r="G408" s="388"/>
      <c r="H408" s="388"/>
      <c r="I408" s="388"/>
      <c r="J408" s="388"/>
      <c r="K408" s="388"/>
      <c r="L408" s="388"/>
      <c r="M408" s="388"/>
      <c r="N408" s="388"/>
      <c r="O408" s="388"/>
      <c r="P408" s="425">
        <f>SUM(D408:O408)</f>
        <v>0</v>
      </c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89"/>
      <c r="AJ408" s="89"/>
      <c r="AK408" s="89"/>
      <c r="AL408" s="89"/>
      <c r="AM408" s="89"/>
      <c r="AN408" s="89"/>
      <c r="AO408" s="89"/>
      <c r="AP408" s="89"/>
      <c r="AQ408" s="89"/>
      <c r="AR408" s="89"/>
      <c r="AS408" s="89"/>
      <c r="AT408" s="89"/>
      <c r="AU408" s="89"/>
      <c r="AV408" s="89"/>
      <c r="AW408" s="89"/>
      <c r="AX408" s="89"/>
      <c r="AY408" s="89"/>
      <c r="AZ408" s="89"/>
      <c r="BA408" s="89"/>
      <c r="BB408" s="89"/>
      <c r="BC408" s="89"/>
      <c r="BD408" s="89"/>
      <c r="BE408" s="89"/>
      <c r="BF408" s="89"/>
      <c r="BG408" s="89"/>
      <c r="BH408" s="89"/>
      <c r="BI408" s="89"/>
      <c r="BJ408" s="89"/>
      <c r="BK408" s="89"/>
      <c r="BL408" s="89"/>
      <c r="BM408" s="89"/>
      <c r="BN408" s="89"/>
      <c r="BO408" s="89"/>
      <c r="BP408" s="89"/>
      <c r="BQ408" s="89"/>
      <c r="BR408" s="89"/>
      <c r="BS408" s="89"/>
      <c r="BT408" s="89"/>
      <c r="BU408" s="89"/>
      <c r="BV408" s="89"/>
      <c r="BW408" s="89"/>
      <c r="BX408" s="89"/>
      <c r="BY408" s="89"/>
      <c r="BZ408" s="89"/>
      <c r="CA408" s="89"/>
      <c r="CB408" s="89"/>
      <c r="CC408" s="89"/>
      <c r="CD408" s="89"/>
      <c r="CE408" s="89"/>
      <c r="CF408" s="89"/>
      <c r="CG408" s="89"/>
      <c r="CH408" s="89"/>
      <c r="CI408" s="89"/>
      <c r="CJ408" s="89"/>
      <c r="CK408" s="89"/>
      <c r="CL408" s="89"/>
      <c r="CM408" s="89"/>
      <c r="CN408" s="89"/>
      <c r="CO408" s="89"/>
      <c r="CP408" s="89"/>
      <c r="CQ408" s="89"/>
      <c r="CR408" s="89"/>
      <c r="CS408" s="89"/>
      <c r="CT408" s="89"/>
      <c r="CU408" s="89"/>
      <c r="CV408" s="89"/>
      <c r="CW408" s="89"/>
      <c r="CX408" s="89"/>
      <c r="CY408" s="89"/>
      <c r="CZ408" s="89"/>
      <c r="DA408" s="89"/>
      <c r="DB408" s="89"/>
      <c r="DC408" s="89"/>
      <c r="DD408" s="89"/>
      <c r="DE408" s="89"/>
      <c r="DF408" s="89"/>
      <c r="DG408" s="89"/>
      <c r="DH408" s="89"/>
      <c r="DI408" s="89"/>
      <c r="DJ408" s="89"/>
      <c r="DK408" s="89"/>
      <c r="DL408" s="89"/>
      <c r="DM408" s="89"/>
      <c r="DN408" s="89"/>
      <c r="DO408" s="89"/>
      <c r="DP408" s="89"/>
      <c r="DQ408" s="89"/>
      <c r="DR408" s="89"/>
      <c r="DS408" s="89"/>
      <c r="DT408" s="89"/>
      <c r="DU408" s="89"/>
      <c r="DV408" s="89"/>
      <c r="DW408" s="89"/>
      <c r="DX408" s="89"/>
      <c r="DY408" s="89"/>
      <c r="DZ408" s="89"/>
      <c r="EA408" s="89"/>
      <c r="EB408" s="89"/>
      <c r="EC408" s="89"/>
      <c r="ED408" s="89"/>
      <c r="EE408" s="89"/>
      <c r="EF408" s="89"/>
      <c r="EG408" s="89"/>
      <c r="EH408" s="89"/>
      <c r="EI408" s="89"/>
      <c r="EJ408" s="89"/>
      <c r="EK408" s="89"/>
      <c r="EL408" s="89"/>
      <c r="EM408" s="89"/>
      <c r="EN408" s="89"/>
    </row>
    <row r="409" spans="1:144" s="87" customFormat="1">
      <c r="A409" s="386">
        <v>16</v>
      </c>
      <c r="B409" s="393" t="s">
        <v>23</v>
      </c>
      <c r="C409" s="361"/>
      <c r="D409" s="101">
        <f t="shared" ref="D409:P409" si="178">SUM(D407:D408)</f>
        <v>0</v>
      </c>
      <c r="E409" s="101">
        <f t="shared" si="178"/>
        <v>0</v>
      </c>
      <c r="F409" s="101">
        <f t="shared" si="178"/>
        <v>0</v>
      </c>
      <c r="G409" s="101">
        <f t="shared" si="178"/>
        <v>0</v>
      </c>
      <c r="H409" s="101">
        <f t="shared" si="178"/>
        <v>0</v>
      </c>
      <c r="I409" s="101">
        <f t="shared" si="178"/>
        <v>0</v>
      </c>
      <c r="J409" s="101">
        <f t="shared" si="178"/>
        <v>0</v>
      </c>
      <c r="K409" s="101">
        <f t="shared" si="178"/>
        <v>0</v>
      </c>
      <c r="L409" s="101">
        <f t="shared" si="178"/>
        <v>0</v>
      </c>
      <c r="M409" s="101">
        <f t="shared" si="178"/>
        <v>0</v>
      </c>
      <c r="N409" s="101">
        <f t="shared" si="178"/>
        <v>0</v>
      </c>
      <c r="O409" s="101">
        <f t="shared" si="178"/>
        <v>0</v>
      </c>
      <c r="P409" s="101">
        <f t="shared" si="178"/>
        <v>0</v>
      </c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89"/>
      <c r="AJ409" s="89"/>
      <c r="AK409" s="89"/>
      <c r="AL409" s="89"/>
      <c r="AM409" s="89"/>
      <c r="AN409" s="89"/>
      <c r="AO409" s="89"/>
      <c r="AP409" s="89"/>
      <c r="AQ409" s="89"/>
      <c r="AR409" s="89"/>
      <c r="AS409" s="89"/>
      <c r="AT409" s="89"/>
      <c r="AU409" s="89"/>
      <c r="AV409" s="89"/>
      <c r="AW409" s="89"/>
      <c r="AX409" s="89"/>
      <c r="AY409" s="89"/>
      <c r="AZ409" s="89"/>
      <c r="BA409" s="89"/>
      <c r="BB409" s="89"/>
      <c r="BC409" s="89"/>
      <c r="BD409" s="89"/>
      <c r="BE409" s="89"/>
      <c r="BF409" s="89"/>
      <c r="BG409" s="89"/>
      <c r="BH409" s="89"/>
      <c r="BI409" s="89"/>
      <c r="BJ409" s="89"/>
      <c r="BK409" s="89"/>
      <c r="BL409" s="89"/>
      <c r="BM409" s="89"/>
      <c r="BN409" s="89"/>
      <c r="BO409" s="89"/>
      <c r="BP409" s="89"/>
      <c r="BQ409" s="89"/>
      <c r="BR409" s="89"/>
      <c r="BS409" s="89"/>
      <c r="BT409" s="89"/>
      <c r="BU409" s="89"/>
      <c r="BV409" s="89"/>
      <c r="BW409" s="89"/>
      <c r="BX409" s="89"/>
      <c r="BY409" s="89"/>
      <c r="BZ409" s="89"/>
      <c r="CA409" s="89"/>
      <c r="CB409" s="89"/>
      <c r="CC409" s="89"/>
      <c r="CD409" s="89"/>
      <c r="CE409" s="89"/>
      <c r="CF409" s="89"/>
      <c r="CG409" s="89"/>
      <c r="CH409" s="89"/>
      <c r="CI409" s="89"/>
      <c r="CJ409" s="89"/>
      <c r="CK409" s="89"/>
      <c r="CL409" s="89"/>
      <c r="CM409" s="89"/>
      <c r="CN409" s="89"/>
      <c r="CO409" s="89"/>
      <c r="CP409" s="89"/>
      <c r="CQ409" s="89"/>
      <c r="CR409" s="89"/>
      <c r="CS409" s="89"/>
      <c r="CT409" s="89"/>
      <c r="CU409" s="89"/>
      <c r="CV409" s="89"/>
      <c r="CW409" s="89"/>
      <c r="CX409" s="89"/>
      <c r="CY409" s="89"/>
      <c r="CZ409" s="89"/>
      <c r="DA409" s="89"/>
      <c r="DB409" s="89"/>
      <c r="DC409" s="89"/>
      <c r="DD409" s="89"/>
      <c r="DE409" s="89"/>
      <c r="DF409" s="89"/>
      <c r="DG409" s="89"/>
      <c r="DH409" s="89"/>
      <c r="DI409" s="89"/>
      <c r="DJ409" s="89"/>
      <c r="DK409" s="89"/>
      <c r="DL409" s="89"/>
      <c r="DM409" s="89"/>
      <c r="DN409" s="89"/>
      <c r="DO409" s="89"/>
      <c r="DP409" s="89"/>
      <c r="DQ409" s="89"/>
      <c r="DR409" s="89"/>
      <c r="DS409" s="89"/>
      <c r="DT409" s="89"/>
      <c r="DU409" s="89"/>
      <c r="DV409" s="89"/>
      <c r="DW409" s="89"/>
      <c r="DX409" s="89"/>
      <c r="DY409" s="89"/>
      <c r="DZ409" s="89"/>
      <c r="EA409" s="89"/>
      <c r="EB409" s="89"/>
      <c r="EC409" s="89"/>
      <c r="ED409" s="89"/>
      <c r="EE409" s="89"/>
      <c r="EF409" s="89"/>
      <c r="EG409" s="89"/>
      <c r="EH409" s="89"/>
      <c r="EI409" s="89"/>
      <c r="EJ409" s="89"/>
      <c r="EK409" s="89"/>
      <c r="EL409" s="89"/>
      <c r="EM409" s="89"/>
      <c r="EN409" s="89"/>
    </row>
    <row r="410" spans="1:144" s="87" customFormat="1">
      <c r="A410" s="386"/>
      <c r="C410" s="396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38">
        <f>P39</f>
        <v>1247330541.3499999</v>
      </c>
      <c r="R410" s="89" t="s">
        <v>305</v>
      </c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89"/>
      <c r="AJ410" s="89"/>
      <c r="AK410" s="89"/>
      <c r="AL410" s="89"/>
      <c r="AM410" s="89"/>
      <c r="AN410" s="89"/>
      <c r="AO410" s="89"/>
      <c r="AP410" s="89"/>
      <c r="AQ410" s="89"/>
      <c r="AR410" s="89"/>
      <c r="AS410" s="89"/>
      <c r="AT410" s="89"/>
      <c r="AU410" s="89"/>
      <c r="AV410" s="89"/>
      <c r="AW410" s="89"/>
      <c r="AX410" s="89"/>
      <c r="AY410" s="89"/>
      <c r="AZ410" s="89"/>
      <c r="BA410" s="89"/>
      <c r="BB410" s="89"/>
      <c r="BC410" s="89"/>
      <c r="BD410" s="89"/>
      <c r="BE410" s="89"/>
      <c r="BF410" s="89"/>
      <c r="BG410" s="89"/>
      <c r="BH410" s="89"/>
      <c r="BI410" s="89"/>
      <c r="BJ410" s="89"/>
      <c r="BK410" s="89"/>
      <c r="BL410" s="89"/>
      <c r="BM410" s="89"/>
      <c r="BN410" s="89"/>
      <c r="BO410" s="89"/>
      <c r="BP410" s="89"/>
      <c r="BQ410" s="89"/>
      <c r="BR410" s="89"/>
      <c r="BS410" s="89"/>
      <c r="BT410" s="89"/>
      <c r="BU410" s="89"/>
      <c r="BV410" s="89"/>
      <c r="BW410" s="89"/>
      <c r="BX410" s="89"/>
      <c r="BY410" s="89"/>
      <c r="BZ410" s="89"/>
      <c r="CA410" s="89"/>
      <c r="CB410" s="89"/>
      <c r="CC410" s="89"/>
      <c r="CD410" s="89"/>
      <c r="CE410" s="89"/>
      <c r="CF410" s="89"/>
      <c r="CG410" s="89"/>
      <c r="CH410" s="89"/>
      <c r="CI410" s="89"/>
      <c r="CJ410" s="89"/>
      <c r="CK410" s="89"/>
      <c r="CL410" s="89"/>
      <c r="CM410" s="89"/>
      <c r="CN410" s="89"/>
      <c r="CO410" s="89"/>
      <c r="CP410" s="89"/>
      <c r="CQ410" s="89"/>
      <c r="CR410" s="89"/>
      <c r="CS410" s="89"/>
      <c r="CT410" s="89"/>
      <c r="CU410" s="89"/>
      <c r="CV410" s="89"/>
      <c r="CW410" s="89"/>
      <c r="CX410" s="89"/>
      <c r="CY410" s="89"/>
      <c r="CZ410" s="89"/>
      <c r="DA410" s="89"/>
      <c r="DB410" s="89"/>
      <c r="DC410" s="89"/>
      <c r="DD410" s="89"/>
      <c r="DE410" s="89"/>
      <c r="DF410" s="89"/>
      <c r="DG410" s="89"/>
      <c r="DH410" s="89"/>
      <c r="DI410" s="89"/>
      <c r="DJ410" s="89"/>
      <c r="DK410" s="89"/>
      <c r="DL410" s="89"/>
      <c r="DM410" s="89"/>
      <c r="DN410" s="89"/>
      <c r="DO410" s="89"/>
      <c r="DP410" s="89"/>
      <c r="DQ410" s="89"/>
      <c r="DR410" s="89"/>
      <c r="DS410" s="89"/>
      <c r="DT410" s="89"/>
      <c r="DU410" s="89"/>
      <c r="DV410" s="89"/>
      <c r="DW410" s="89"/>
      <c r="DX410" s="89"/>
      <c r="DY410" s="89"/>
      <c r="DZ410" s="89"/>
      <c r="EA410" s="89"/>
      <c r="EB410" s="89"/>
      <c r="EC410" s="89"/>
      <c r="ED410" s="89"/>
      <c r="EE410" s="89"/>
      <c r="EF410" s="89"/>
      <c r="EG410" s="89"/>
      <c r="EH410" s="89"/>
      <c r="EI410" s="89"/>
      <c r="EJ410" s="89"/>
      <c r="EK410" s="89"/>
      <c r="EL410" s="89"/>
      <c r="EM410" s="89"/>
      <c r="EN410" s="89"/>
    </row>
    <row r="411" spans="1:144" s="87" customFormat="1" ht="13.5" customHeight="1" thickBot="1">
      <c r="A411" s="386">
        <v>17</v>
      </c>
      <c r="B411" s="147" t="s">
        <v>92</v>
      </c>
      <c r="C411" s="361"/>
      <c r="D411" s="426">
        <f t="shared" ref="D411:P411" si="179">+D409+D405</f>
        <v>49832762.252597988</v>
      </c>
      <c r="E411" s="426">
        <f t="shared" si="179"/>
        <v>43779732.741216719</v>
      </c>
      <c r="F411" s="426">
        <f t="shared" si="179"/>
        <v>44241951.380141184</v>
      </c>
      <c r="G411" s="426">
        <f t="shared" si="179"/>
        <v>46997859.355829276</v>
      </c>
      <c r="H411" s="426">
        <f t="shared" si="179"/>
        <v>45944309.17018643</v>
      </c>
      <c r="I411" s="426">
        <f t="shared" si="179"/>
        <v>41760949.482387081</v>
      </c>
      <c r="J411" s="426">
        <f t="shared" si="179"/>
        <v>41546463.469331041</v>
      </c>
      <c r="K411" s="426">
        <f t="shared" si="179"/>
        <v>43525883.493785642</v>
      </c>
      <c r="L411" s="426">
        <f t="shared" si="179"/>
        <v>51944199.588980332</v>
      </c>
      <c r="M411" s="426">
        <f t="shared" si="179"/>
        <v>56323882.037986994</v>
      </c>
      <c r="N411" s="426">
        <f t="shared" si="179"/>
        <v>58063957.952883802</v>
      </c>
      <c r="O411" s="426">
        <f t="shared" si="179"/>
        <v>57769658.993224278</v>
      </c>
      <c r="P411" s="426">
        <f t="shared" si="179"/>
        <v>581731609.91855073</v>
      </c>
      <c r="Q411" s="452">
        <f>-Riders!Q328</f>
        <v>-659926382.45000005</v>
      </c>
      <c r="R411" s="89" t="s">
        <v>306</v>
      </c>
      <c r="T411" s="138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89"/>
      <c r="AJ411" s="89"/>
      <c r="AK411" s="89"/>
      <c r="AL411" s="89"/>
      <c r="AM411" s="89"/>
      <c r="AN411" s="89"/>
      <c r="AO411" s="89"/>
      <c r="AP411" s="89"/>
      <c r="AQ411" s="89"/>
      <c r="AR411" s="89"/>
      <c r="AS411" s="89"/>
      <c r="AT411" s="89"/>
      <c r="AU411" s="89"/>
      <c r="AV411" s="89"/>
      <c r="AW411" s="89"/>
      <c r="AX411" s="89"/>
      <c r="AY411" s="89"/>
      <c r="AZ411" s="89"/>
      <c r="BA411" s="89"/>
      <c r="BB411" s="89"/>
      <c r="BC411" s="89"/>
      <c r="BD411" s="89"/>
      <c r="BE411" s="89"/>
      <c r="BF411" s="89"/>
      <c r="BG411" s="89"/>
      <c r="BH411" s="89"/>
      <c r="BI411" s="89"/>
      <c r="BJ411" s="89"/>
      <c r="BK411" s="89"/>
      <c r="BL411" s="89"/>
      <c r="BM411" s="89"/>
      <c r="BN411" s="89"/>
      <c r="BO411" s="89"/>
      <c r="BP411" s="89"/>
      <c r="BQ411" s="89"/>
      <c r="BR411" s="89"/>
      <c r="BS411" s="89"/>
      <c r="BT411" s="89"/>
      <c r="BU411" s="89"/>
      <c r="BV411" s="89"/>
      <c r="BW411" s="89"/>
      <c r="BX411" s="89"/>
      <c r="BY411" s="89"/>
      <c r="BZ411" s="89"/>
      <c r="CA411" s="89"/>
      <c r="CB411" s="89"/>
      <c r="CC411" s="89"/>
      <c r="CD411" s="89"/>
      <c r="CE411" s="89"/>
      <c r="CF411" s="89"/>
      <c r="CG411" s="89"/>
      <c r="CH411" s="89"/>
      <c r="CI411" s="89"/>
      <c r="CJ411" s="89"/>
      <c r="CK411" s="89"/>
      <c r="CL411" s="89"/>
      <c r="CM411" s="89"/>
      <c r="CN411" s="89"/>
      <c r="CO411" s="89"/>
      <c r="CP411" s="89"/>
      <c r="CQ411" s="89"/>
      <c r="CR411" s="89"/>
      <c r="CS411" s="89"/>
      <c r="CT411" s="89"/>
      <c r="CU411" s="89"/>
      <c r="CV411" s="89"/>
      <c r="CW411" s="89"/>
      <c r="CX411" s="89"/>
      <c r="CY411" s="89"/>
      <c r="CZ411" s="89"/>
      <c r="DA411" s="89"/>
      <c r="DB411" s="89"/>
      <c r="DC411" s="89"/>
      <c r="DD411" s="89"/>
      <c r="DE411" s="89"/>
      <c r="DF411" s="89"/>
      <c r="DG411" s="89"/>
      <c r="DH411" s="89"/>
      <c r="DI411" s="89"/>
      <c r="DJ411" s="89"/>
      <c r="DK411" s="89"/>
      <c r="DL411" s="89"/>
      <c r="DM411" s="89"/>
      <c r="DN411" s="89"/>
      <c r="DO411" s="89"/>
      <c r="DP411" s="89"/>
      <c r="DQ411" s="89"/>
      <c r="DR411" s="89"/>
      <c r="DS411" s="89"/>
      <c r="DT411" s="89"/>
      <c r="DU411" s="89"/>
      <c r="DV411" s="89"/>
      <c r="DW411" s="89"/>
      <c r="DX411" s="89"/>
      <c r="DY411" s="89"/>
      <c r="DZ411" s="89"/>
      <c r="EA411" s="89"/>
      <c r="EB411" s="89"/>
      <c r="EC411" s="89"/>
      <c r="ED411" s="89"/>
      <c r="EE411" s="89"/>
      <c r="EF411" s="89"/>
      <c r="EG411" s="89"/>
      <c r="EH411" s="89"/>
      <c r="EI411" s="89"/>
      <c r="EJ411" s="89"/>
      <c r="EK411" s="89"/>
      <c r="EL411" s="89"/>
      <c r="EM411" s="89"/>
      <c r="EN411" s="89"/>
    </row>
    <row r="412" spans="1:144" s="70" customFormat="1" ht="13.5" thickTop="1">
      <c r="P412" s="121"/>
      <c r="Q412" s="138">
        <f>Q410+Q411</f>
        <v>587404158.89999986</v>
      </c>
      <c r="R412" s="89" t="s">
        <v>359</v>
      </c>
    </row>
    <row r="413" spans="1:144" s="70" customFormat="1" ht="15" customHeight="1">
      <c r="P413" s="453"/>
      <c r="Q413" s="138">
        <f>+P375</f>
        <v>-4260</v>
      </c>
      <c r="R413" s="89" t="s">
        <v>488</v>
      </c>
    </row>
    <row r="414" spans="1:144" s="70" customFormat="1" ht="12.75">
      <c r="P414" s="454"/>
      <c r="Q414" s="138">
        <f>P310</f>
        <v>3423282.7268746542</v>
      </c>
      <c r="R414" s="89" t="s">
        <v>307</v>
      </c>
      <c r="S414" s="454"/>
    </row>
    <row r="415" spans="1:144" s="373" customFormat="1" ht="12.75">
      <c r="P415" s="455"/>
      <c r="Q415" s="452">
        <f>P342</f>
        <v>-9091571.708323881</v>
      </c>
      <c r="R415" s="89" t="s">
        <v>308</v>
      </c>
    </row>
    <row r="416" spans="1:144" s="373" customFormat="1" ht="12.75">
      <c r="P416" s="455"/>
      <c r="Q416" s="138">
        <f>SUM(Q412:Q415)</f>
        <v>581731609.91855073</v>
      </c>
      <c r="R416" s="89" t="s">
        <v>358</v>
      </c>
    </row>
    <row r="417" spans="17:17" s="373" customFormat="1" ht="12.75"/>
    <row r="418" spans="17:17" s="373" customFormat="1" ht="12.75">
      <c r="Q418" s="455"/>
    </row>
    <row r="419" spans="17:17" s="373" customFormat="1" ht="12.75"/>
    <row r="420" spans="17:17" s="373" customFormat="1" ht="12.75"/>
    <row r="421" spans="17:17" s="373" customFormat="1" ht="12.75"/>
    <row r="422" spans="17:17" s="373" customFormat="1" ht="12.75"/>
    <row r="423" spans="17:17" s="373" customFormat="1" ht="12.75"/>
    <row r="424" spans="17:17" s="373" customFormat="1" ht="12.75"/>
    <row r="425" spans="17:17" s="373" customFormat="1" ht="12.75"/>
    <row r="426" spans="17:17" s="373" customFormat="1" ht="12.75"/>
    <row r="427" spans="17:17" s="373" customFormat="1" ht="12.75"/>
    <row r="428" spans="17:17" s="373" customFormat="1" ht="12.75"/>
    <row r="429" spans="17:17" s="373" customFormat="1" ht="12.75"/>
    <row r="430" spans="17:17" s="373" customFormat="1" ht="12.75"/>
    <row r="431" spans="17:17" s="373" customFormat="1" ht="12.75"/>
    <row r="432" spans="17:17" s="373" customFormat="1" ht="12.75"/>
    <row r="433" s="373" customFormat="1" ht="12.75"/>
    <row r="434" s="373" customFormat="1" ht="12.75"/>
    <row r="435" s="373" customFormat="1" ht="12.75"/>
    <row r="436" s="373" customFormat="1" ht="12.75"/>
    <row r="437" s="373" customFormat="1" ht="12.75"/>
    <row r="438" s="373" customFormat="1" ht="12.75"/>
    <row r="439" s="373" customFormat="1" ht="12.75"/>
    <row r="440" s="373" customFormat="1" ht="12.75"/>
    <row r="441" s="373" customFormat="1" ht="12.75"/>
    <row r="442" s="373" customFormat="1" ht="12.75"/>
    <row r="443" s="373" customFormat="1" ht="12.75"/>
    <row r="444" s="373" customFormat="1" ht="12.75"/>
    <row r="445" s="373" customFormat="1" ht="12.75"/>
    <row r="446" s="373" customFormat="1" ht="12.75"/>
    <row r="447" s="373" customFormat="1" ht="12.75"/>
    <row r="448" s="373" customFormat="1" ht="13.5" customHeight="1"/>
    <row r="449" s="373" customFormat="1" ht="12.75"/>
    <row r="450" s="373" customFormat="1" ht="12.75"/>
    <row r="451" s="373" customFormat="1" ht="12.75"/>
    <row r="452" s="373" customFormat="1" ht="12.75"/>
    <row r="453" s="373" customFormat="1" ht="12.75"/>
    <row r="454" s="373" customFormat="1" ht="12.75"/>
    <row r="455" s="373" customFormat="1" ht="12.75"/>
    <row r="456" s="373" customFormat="1" ht="12.75"/>
    <row r="457" s="373" customFormat="1" ht="12.75"/>
    <row r="458" s="373" customFormat="1" ht="12.75"/>
    <row r="459" s="373" customFormat="1" ht="12.75"/>
    <row r="460" s="373" customFormat="1" ht="12.75"/>
    <row r="461" s="373" customFormat="1" ht="12.75"/>
    <row r="462" s="373" customFormat="1" ht="12.75"/>
    <row r="463" s="373" customFormat="1" ht="12.75"/>
    <row r="464" s="373" customFormat="1" ht="12.75"/>
    <row r="465" s="373" customFormat="1" ht="12.75"/>
    <row r="466" s="373" customFormat="1" ht="12.75"/>
    <row r="467" s="373" customFormat="1" ht="12.75"/>
    <row r="468" s="373" customFormat="1" ht="12.75"/>
    <row r="469" s="373" customFormat="1" ht="12.75"/>
    <row r="470" s="373" customFormat="1" ht="12.75"/>
    <row r="471" s="373" customFormat="1" ht="12.75"/>
    <row r="472" s="373" customFormat="1" ht="12.75"/>
    <row r="473" s="373" customFormat="1" ht="12.75"/>
    <row r="474" s="373" customFormat="1" ht="12.75"/>
    <row r="475" s="373" customFormat="1" ht="12.75"/>
    <row r="476" s="373" customFormat="1" ht="12.75"/>
    <row r="477" s="373" customFormat="1" ht="12.75"/>
    <row r="478" s="373" customFormat="1" ht="12.75"/>
    <row r="479" s="373" customFormat="1" ht="12.75"/>
    <row r="480" s="373" customFormat="1" ht="12.75"/>
    <row r="481" s="373" customFormat="1" ht="12.75"/>
    <row r="482" s="373" customFormat="1" ht="12.75"/>
    <row r="483" s="373" customFormat="1" ht="12.75"/>
    <row r="484" s="373" customFormat="1" ht="12.75"/>
    <row r="485" s="373" customFormat="1" ht="12.75"/>
    <row r="486" s="373" customFormat="1" ht="12.75"/>
    <row r="487" s="373" customFormat="1" ht="12.75"/>
    <row r="488" s="373" customFormat="1" ht="12.75"/>
    <row r="489" s="373" customFormat="1" ht="12.75"/>
    <row r="490" s="373" customFormat="1" ht="12.75"/>
    <row r="491" s="373" customFormat="1" ht="12.75"/>
    <row r="492" s="373" customFormat="1" ht="12.75"/>
    <row r="493" s="373" customFormat="1" ht="12.75"/>
    <row r="494" s="373" customFormat="1" ht="12.75"/>
    <row r="495" s="373" customFormat="1" ht="12.75"/>
    <row r="496" s="373" customFormat="1" ht="12.75"/>
    <row r="497" s="373" customFormat="1" ht="12.75"/>
    <row r="498" s="373" customFormat="1" ht="12.75"/>
    <row r="499" s="373" customFormat="1" ht="12.75"/>
    <row r="500" s="373" customFormat="1" ht="12.75"/>
    <row r="501" s="373" customFormat="1" ht="12.75"/>
    <row r="502" s="373" customFormat="1" ht="12.75"/>
    <row r="503" s="373" customFormat="1" ht="12.75"/>
    <row r="504" s="373" customFormat="1" ht="12.75"/>
    <row r="505" s="373" customFormat="1" ht="12.75"/>
    <row r="506" s="373" customFormat="1" ht="12.75"/>
    <row r="507" s="373" customFormat="1" ht="12.75"/>
    <row r="508" s="373" customFormat="1" ht="12.75"/>
    <row r="509" s="373" customFormat="1" ht="12.75"/>
    <row r="510" s="373" customFormat="1" ht="12.75"/>
    <row r="511" s="373" customFormat="1" ht="12.75"/>
    <row r="512" s="373" customFormat="1" ht="12.75"/>
    <row r="513" s="373" customFormat="1" ht="12.75"/>
    <row r="514" s="373" customFormat="1" ht="12.75"/>
    <row r="515" s="373" customFormat="1" ht="12.75"/>
    <row r="516" s="373" customFormat="1" ht="12.75"/>
    <row r="517" s="373" customFormat="1" ht="12.75"/>
    <row r="518" s="373" customFormat="1" ht="12.75"/>
    <row r="519" s="373" customFormat="1" ht="12.75"/>
    <row r="520" s="373" customFormat="1" ht="12.75"/>
    <row r="521" s="373" customFormat="1" ht="12.75"/>
    <row r="522" s="373" customFormat="1" ht="12.75"/>
    <row r="523" s="373" customFormat="1" ht="12.75"/>
    <row r="524" s="373" customFormat="1" ht="12.75"/>
    <row r="525" s="373" customFormat="1" ht="12.75"/>
    <row r="526" s="373" customFormat="1" ht="12.75"/>
    <row r="527" s="373" customFormat="1" ht="12.75"/>
    <row r="528" s="373" customFormat="1" ht="12.75"/>
    <row r="529" s="373" customFormat="1" ht="12.75"/>
    <row r="530" s="373" customFormat="1" ht="12.75"/>
    <row r="531" s="373" customFormat="1" ht="12.75"/>
    <row r="532" s="373" customFormat="1" ht="12.75"/>
    <row r="533" s="373" customFormat="1" ht="12.75"/>
    <row r="534" s="373" customFormat="1" ht="12.75"/>
    <row r="535" s="373" customFormat="1" ht="12.75"/>
    <row r="536" s="373" customFormat="1" ht="12.75"/>
    <row r="537" s="373" customFormat="1" ht="12.75"/>
    <row r="538" s="373" customFormat="1" ht="12.75"/>
    <row r="539" s="373" customFormat="1" ht="12.75"/>
    <row r="540" s="373" customFormat="1" ht="12.75"/>
    <row r="541" s="373" customFormat="1" ht="12.75"/>
    <row r="542" s="373" customFormat="1" ht="12.75"/>
    <row r="543" s="373" customFormat="1" ht="12.75"/>
    <row r="544" s="373" customFormat="1" ht="12.75"/>
    <row r="545" s="373" customFormat="1" ht="12.75"/>
    <row r="546" s="373" customFormat="1" ht="12.75"/>
    <row r="547" s="373" customFormat="1" ht="12.75"/>
    <row r="548" s="373" customFormat="1" ht="12.75"/>
    <row r="549" s="373" customFormat="1" ht="12.75"/>
    <row r="550" s="373" customFormat="1" ht="12.75"/>
    <row r="551" s="373" customFormat="1" ht="12.75"/>
    <row r="552" s="373" customFormat="1" ht="12.75"/>
    <row r="553" s="373" customFormat="1" ht="12.75"/>
    <row r="554" s="373" customFormat="1" ht="12.75"/>
    <row r="555" s="373" customFormat="1" ht="12.75"/>
    <row r="556" s="373" customFormat="1" ht="12.75"/>
    <row r="557" s="373" customFormat="1" ht="12.75"/>
    <row r="558" s="373" customFormat="1" ht="12.75"/>
    <row r="559" s="373" customFormat="1" ht="12.75"/>
    <row r="560" s="373" customFormat="1" ht="12.75"/>
    <row r="561" s="373" customFormat="1" ht="12.75"/>
    <row r="562" s="373" customFormat="1" ht="12.75"/>
    <row r="563" s="373" customFormat="1" ht="12.75"/>
    <row r="564" s="373" customFormat="1" ht="12.75"/>
    <row r="565" s="373" customFormat="1" ht="12.75"/>
    <row r="566" s="373" customFormat="1" ht="12.75"/>
    <row r="567" s="373" customFormat="1" ht="12.75"/>
    <row r="568" s="373" customFormat="1" ht="12.75"/>
    <row r="569" s="373" customFormat="1" ht="12.75"/>
    <row r="570" s="373" customFormat="1" ht="12.75"/>
    <row r="571" s="373" customFormat="1" ht="12.75"/>
    <row r="572" s="373" customFormat="1" ht="12.75"/>
    <row r="573" s="373" customFormat="1" ht="12.75"/>
    <row r="574" s="373" customFormat="1" ht="12.75"/>
    <row r="575" s="373" customFormat="1" ht="12.75"/>
    <row r="576" s="373" customFormat="1" ht="12.75"/>
    <row r="577" s="373" customFormat="1" ht="12.75"/>
    <row r="578" s="373" customFormat="1" ht="12.75"/>
    <row r="579" s="373" customFormat="1" ht="12.75"/>
    <row r="580" s="373" customFormat="1" ht="12.75"/>
    <row r="581" s="373" customFormat="1" ht="12.75"/>
    <row r="582" s="373" customFormat="1" ht="12.75"/>
    <row r="583" s="373" customFormat="1" ht="12.75"/>
    <row r="584" s="373" customFormat="1" ht="12.75"/>
    <row r="585" s="373" customFormat="1" ht="12.75"/>
    <row r="586" s="373" customFormat="1" ht="12.75"/>
    <row r="587" s="373" customFormat="1" ht="12.75"/>
    <row r="588" s="373" customFormat="1" ht="12.75"/>
    <row r="589" s="373" customFormat="1" ht="12.75"/>
    <row r="590" s="373" customFormat="1" ht="12.75"/>
    <row r="591" s="373" customFormat="1" ht="12.75"/>
    <row r="592" s="373" customFormat="1" ht="12.75"/>
    <row r="593" s="373" customFormat="1" ht="12.75"/>
    <row r="594" s="373" customFormat="1" ht="12.75"/>
    <row r="595" s="373" customFormat="1" ht="12.75"/>
    <row r="596" s="373" customFormat="1" ht="12.75"/>
    <row r="597" s="373" customFormat="1" ht="12.75"/>
    <row r="598" s="373" customFormat="1" ht="12.75"/>
    <row r="599" s="373" customFormat="1" ht="12.75"/>
    <row r="600" s="373" customFormat="1" ht="12.75"/>
    <row r="601" s="373" customFormat="1" ht="12.75"/>
    <row r="602" s="373" customFormat="1" ht="12.75"/>
    <row r="603" s="373" customFormat="1" ht="12.75"/>
    <row r="604" s="373" customFormat="1" ht="12.75"/>
    <row r="605" s="373" customFormat="1" ht="12.75"/>
    <row r="606" s="373" customFormat="1" ht="12.75"/>
    <row r="607" s="373" customFormat="1" ht="12.75"/>
    <row r="608" s="373" customFormat="1" ht="12.75"/>
    <row r="609" s="373" customFormat="1" ht="12.75"/>
    <row r="610" s="373" customFormat="1" ht="12.75"/>
    <row r="611" s="373" customFormat="1" ht="12.75"/>
    <row r="612" s="373" customFormat="1" ht="12.75"/>
    <row r="613" s="373" customFormat="1" ht="12.75"/>
    <row r="614" s="373" customFormat="1" ht="12.75"/>
    <row r="615" s="373" customFormat="1" ht="12.75"/>
    <row r="616" s="373" customFormat="1" ht="12.75"/>
    <row r="617" s="373" customFormat="1" ht="12.75"/>
    <row r="618" s="373" customFormat="1" ht="12.75"/>
    <row r="619" s="373" customFormat="1" ht="12.75"/>
    <row r="620" s="373" customFormat="1" ht="12.75"/>
    <row r="621" s="373" customFormat="1" ht="12.75"/>
    <row r="622" s="373" customFormat="1" ht="12.75"/>
    <row r="623" s="373" customFormat="1" ht="12.75"/>
    <row r="624" s="373" customFormat="1" ht="12.75"/>
    <row r="625" s="373" customFormat="1" ht="12.75"/>
    <row r="626" s="373" customFormat="1" ht="12.75"/>
    <row r="627" s="373" customFormat="1" ht="12.75"/>
    <row r="628" s="373" customFormat="1" ht="12.75"/>
    <row r="629" s="373" customFormat="1" ht="12.75"/>
    <row r="630" s="373" customFormat="1" ht="12.75"/>
    <row r="631" s="373" customFormat="1" ht="12.75"/>
    <row r="632" s="373" customFormat="1" ht="12.75"/>
    <row r="633" s="373" customFormat="1" ht="12.75"/>
    <row r="634" s="373" customFormat="1" ht="12.75"/>
    <row r="635" s="373" customFormat="1" ht="12.75"/>
    <row r="636" s="373" customFormat="1" ht="12.75"/>
    <row r="637" s="373" customFormat="1" ht="12.75"/>
    <row r="638" s="373" customFormat="1" ht="12.75"/>
    <row r="639" s="373" customFormat="1" ht="12.75"/>
    <row r="640" s="373" customFormat="1" ht="12.75"/>
    <row r="641" s="373" customFormat="1" ht="12.75"/>
    <row r="642" s="373" customFormat="1" ht="12.75"/>
    <row r="643" s="373" customFormat="1" ht="12.75"/>
    <row r="644" s="373" customFormat="1" ht="12.75"/>
    <row r="645" s="373" customFormat="1" ht="12.75"/>
    <row r="646" s="373" customFormat="1" ht="12.75"/>
    <row r="647" s="373" customFormat="1" ht="12.75"/>
    <row r="648" s="373" customFormat="1" ht="12.75"/>
    <row r="649" s="373" customFormat="1" ht="12.75"/>
    <row r="650" s="373" customFormat="1" ht="12.75"/>
    <row r="651" s="373" customFormat="1" ht="12.75"/>
    <row r="652" s="373" customFormat="1" ht="12.75"/>
    <row r="653" s="373" customFormat="1" ht="12.75"/>
    <row r="654" s="373" customFormat="1" ht="12.75"/>
    <row r="655" s="373" customFormat="1" ht="12.75"/>
    <row r="656" s="373" customFormat="1" ht="12.75"/>
    <row r="657" s="373" customFormat="1" ht="12.75"/>
    <row r="658" s="373" customFormat="1" ht="12.75"/>
    <row r="659" s="373" customFormat="1" ht="12.75"/>
    <row r="660" s="373" customFormat="1" ht="12.75"/>
    <row r="661" s="373" customFormat="1" ht="12.75"/>
    <row r="662" s="373" customFormat="1" ht="12.75"/>
    <row r="663" s="373" customFormat="1" ht="12.75"/>
    <row r="664" s="373" customFormat="1" ht="12.75"/>
    <row r="665" s="373" customFormat="1" ht="12.75"/>
    <row r="666" s="373" customFormat="1" ht="12.75"/>
    <row r="667" s="373" customFormat="1" ht="12.75"/>
    <row r="668" s="373" customFormat="1" ht="12.75"/>
    <row r="669" s="373" customFormat="1" ht="12.75"/>
    <row r="670" s="373" customFormat="1" ht="12.75"/>
    <row r="671" s="373" customFormat="1" ht="12.75"/>
    <row r="672" s="373" customFormat="1" ht="12.75"/>
    <row r="673" s="373" customFormat="1" ht="12.75"/>
    <row r="674" s="373" customFormat="1" ht="12.75"/>
    <row r="675" s="373" customFormat="1" ht="12.75"/>
    <row r="676" s="373" customFormat="1" ht="12.75"/>
    <row r="677" s="373" customFormat="1" ht="12.75"/>
    <row r="678" s="373" customFormat="1" ht="12.75"/>
    <row r="679" s="373" customFormat="1" ht="12.75"/>
    <row r="680" s="373" customFormat="1" ht="12.75"/>
    <row r="681" s="373" customFormat="1" ht="12.75"/>
    <row r="682" s="373" customFormat="1" ht="12.75"/>
    <row r="683" s="373" customFormat="1" ht="12.75"/>
    <row r="684" s="373" customFormat="1" ht="12.75"/>
    <row r="685" s="373" customFormat="1" ht="12.75"/>
    <row r="686" s="373" customFormat="1" ht="12.75"/>
    <row r="687" s="373" customFormat="1" ht="12.75"/>
    <row r="688" s="373" customFormat="1" ht="12.75"/>
    <row r="689" s="373" customFormat="1" ht="12.75"/>
    <row r="690" s="373" customFormat="1" ht="12.75"/>
    <row r="691" s="373" customFormat="1" ht="12.75"/>
    <row r="692" s="373" customFormat="1" ht="12.75"/>
    <row r="693" s="373" customFormat="1" ht="12.75"/>
    <row r="694" s="373" customFormat="1" ht="12.75"/>
    <row r="695" s="373" customFormat="1" ht="12.75"/>
    <row r="696" s="373" customFormat="1" ht="12.75"/>
    <row r="697" s="373" customFormat="1" ht="12.75"/>
    <row r="698" s="373" customFormat="1" ht="12.75"/>
    <row r="699" s="373" customFormat="1" ht="12.75"/>
    <row r="700" s="373" customFormat="1" ht="12.75"/>
    <row r="701" s="373" customFormat="1" ht="12.75"/>
    <row r="702" s="373" customFormat="1" ht="12.75"/>
    <row r="703" s="373" customFormat="1" ht="12.75"/>
    <row r="704" s="373" customFormat="1" ht="12.75"/>
    <row r="705" s="373" customFormat="1" ht="12.75"/>
    <row r="706" s="373" customFormat="1" ht="12.75"/>
    <row r="707" s="373" customFormat="1" ht="12.75"/>
    <row r="708" s="373" customFormat="1" ht="12.75"/>
    <row r="709" s="373" customFormat="1" ht="12.75"/>
    <row r="710" s="373" customFormat="1" ht="12.75"/>
    <row r="711" s="373" customFormat="1" ht="12.75"/>
    <row r="712" s="373" customFormat="1" ht="12.75"/>
    <row r="713" s="373" customFormat="1" ht="12.75"/>
    <row r="714" s="373" customFormat="1" ht="12.75"/>
    <row r="715" s="373" customFormat="1" ht="12.75"/>
    <row r="716" s="373" customFormat="1" ht="12.75"/>
    <row r="717" s="373" customFormat="1" ht="12.75"/>
    <row r="718" s="373" customFormat="1" ht="12.75"/>
    <row r="719" s="373" customFormat="1" ht="12.75"/>
    <row r="720" s="373" customFormat="1" ht="12.75"/>
    <row r="721" s="373" customFormat="1" ht="12.75"/>
    <row r="722" s="373" customFormat="1" ht="12.75"/>
    <row r="723" s="373" customFormat="1" ht="12.75"/>
    <row r="724" s="373" customFormat="1" ht="12.75"/>
    <row r="725" s="373" customFormat="1" ht="12.75"/>
    <row r="726" s="373" customFormat="1" ht="12.75"/>
    <row r="727" s="373" customFormat="1" ht="12.75"/>
    <row r="728" s="373" customFormat="1" ht="12.75"/>
    <row r="729" s="373" customFormat="1" ht="12.75"/>
    <row r="730" s="373" customFormat="1" ht="12.75"/>
    <row r="731" s="373" customFormat="1" ht="12.75"/>
    <row r="732" s="373" customFormat="1" ht="12.75"/>
    <row r="733" s="373" customFormat="1" ht="12.75"/>
    <row r="734" s="373" customFormat="1" ht="12.75"/>
    <row r="735" s="373" customFormat="1" ht="12.75"/>
    <row r="736" s="373" customFormat="1" ht="12.75"/>
    <row r="737" s="373" customFormat="1" ht="12.75"/>
    <row r="738" s="373" customFormat="1" ht="12.75"/>
    <row r="739" s="373" customFormat="1" ht="12.75"/>
    <row r="740" s="373" customFormat="1" ht="12.75"/>
    <row r="741" s="373" customFormat="1" ht="12.75"/>
    <row r="742" s="373" customFormat="1" ht="12.75"/>
    <row r="743" s="373" customFormat="1" ht="12.75"/>
    <row r="744" s="373" customFormat="1" ht="12.75"/>
    <row r="745" s="373" customFormat="1" ht="12.75"/>
    <row r="746" s="373" customFormat="1" ht="12.75"/>
    <row r="747" s="373" customFormat="1" ht="12.75"/>
    <row r="748" s="373" customFormat="1" ht="12.75"/>
    <row r="749" s="373" customFormat="1" ht="12.75"/>
    <row r="750" s="373" customFormat="1" ht="12.75"/>
    <row r="751" s="373" customFormat="1" ht="12.75"/>
    <row r="752" s="373" customFormat="1" ht="12.75"/>
    <row r="753" s="373" customFormat="1" ht="12.75"/>
    <row r="754" s="373" customFormat="1" ht="12.75"/>
    <row r="755" s="373" customFormat="1" ht="12.75"/>
    <row r="756" s="373" customFormat="1" ht="12.75"/>
    <row r="757" s="373" customFormat="1" ht="12.75"/>
    <row r="758" s="373" customFormat="1" ht="12.75"/>
    <row r="759" s="373" customFormat="1" ht="12.75"/>
    <row r="760" s="373" customFormat="1" ht="12.75"/>
    <row r="761" s="373" customFormat="1" ht="12.75"/>
    <row r="762" s="373" customFormat="1" ht="12.75"/>
    <row r="763" s="373" customFormat="1" ht="12.75"/>
    <row r="764" s="373" customFormat="1" ht="12.75"/>
    <row r="765" s="373" customFormat="1" ht="12.75"/>
    <row r="766" s="373" customFormat="1" ht="12.75"/>
    <row r="767" s="373" customFormat="1" ht="12.75"/>
    <row r="768" s="373" customFormat="1" ht="12.75"/>
    <row r="769" s="373" customFormat="1" ht="12.75"/>
    <row r="770" s="373" customFormat="1" ht="12.75"/>
    <row r="771" s="373" customFormat="1" ht="12.75"/>
    <row r="772" s="373" customFormat="1" ht="12.75"/>
    <row r="773" s="373" customFormat="1" ht="12.75"/>
    <row r="774" s="373" customFormat="1" ht="12.75"/>
    <row r="775" s="373" customFormat="1" ht="12.75"/>
    <row r="776" s="373" customFormat="1" ht="12.75"/>
    <row r="777" s="373" customFormat="1" ht="12.75"/>
    <row r="778" s="373" customFormat="1" ht="12.75"/>
    <row r="779" s="373" customFormat="1" ht="12.75"/>
    <row r="780" s="373" customFormat="1" ht="12.75"/>
    <row r="781" s="373" customFormat="1" ht="12.75"/>
    <row r="782" s="373" customFormat="1" ht="12.75"/>
    <row r="783" s="373" customFormat="1" ht="12.75"/>
    <row r="784" s="373" customFormat="1" ht="12.75"/>
    <row r="785" s="373" customFormat="1" ht="12.75"/>
    <row r="786" s="373" customFormat="1" ht="12.75"/>
    <row r="787" s="373" customFormat="1" ht="12.75"/>
    <row r="788" s="373" customFormat="1" ht="12.75"/>
    <row r="789" s="373" customFormat="1" ht="12.75"/>
    <row r="790" s="373" customFormat="1" ht="12.75"/>
    <row r="791" s="373" customFormat="1" ht="12.75"/>
    <row r="792" s="373" customFormat="1" ht="12.75"/>
    <row r="793" s="373" customFormat="1" ht="12.75"/>
    <row r="794" s="373" customFormat="1" ht="12.75"/>
    <row r="795" s="373" customFormat="1" ht="12.75"/>
    <row r="796" s="373" customFormat="1" ht="12.75"/>
    <row r="797" s="373" customFormat="1" ht="12.75"/>
    <row r="798" s="373" customFormat="1" ht="12.75"/>
    <row r="799" s="373" customFormat="1" ht="12.75"/>
    <row r="800" s="373" customFormat="1" ht="12.75"/>
    <row r="801" s="373" customFormat="1" ht="12.75"/>
    <row r="802" s="373" customFormat="1" ht="12.75"/>
    <row r="803" s="373" customFormat="1" ht="12.75"/>
    <row r="804" s="373" customFormat="1" ht="12.75"/>
    <row r="805" s="373" customFormat="1" ht="12.75"/>
    <row r="806" s="373" customFormat="1" ht="12.75"/>
    <row r="807" s="373" customFormat="1" ht="12.75"/>
    <row r="808" s="373" customFormat="1" ht="12.75"/>
    <row r="809" s="373" customFormat="1" ht="12.75"/>
    <row r="810" s="373" customFormat="1" ht="12.75"/>
    <row r="811" s="373" customFormat="1" ht="12.75"/>
    <row r="812" s="373" customFormat="1" ht="12.75"/>
    <row r="813" s="373" customFormat="1" ht="12.75"/>
    <row r="814" s="373" customFormat="1" ht="12.75"/>
    <row r="815" s="373" customFormat="1" ht="12.75"/>
    <row r="816" s="373" customFormat="1" ht="12.75"/>
    <row r="817" s="373" customFormat="1" ht="12.75"/>
    <row r="818" s="373" customFormat="1" ht="12.75"/>
    <row r="819" s="373" customFormat="1" ht="12.75"/>
    <row r="820" s="373" customFormat="1" ht="12.75"/>
    <row r="821" s="373" customFormat="1" ht="12.75"/>
    <row r="822" s="373" customFormat="1" ht="12.75"/>
    <row r="823" s="373" customFormat="1" ht="12.75"/>
    <row r="824" s="373" customFormat="1" ht="12.75"/>
    <row r="825" s="373" customFormat="1" ht="12.75"/>
    <row r="826" s="373" customFormat="1" ht="12.75"/>
    <row r="827" s="373" customFormat="1" ht="12.75"/>
    <row r="828" s="373" customFormat="1" ht="12.75"/>
    <row r="829" s="373" customFormat="1" ht="12.75"/>
    <row r="830" s="373" customFormat="1" ht="12.75"/>
    <row r="831" s="373" customFormat="1" ht="12.75"/>
    <row r="832" s="373" customFormat="1" ht="12.75"/>
    <row r="833" s="373" customFormat="1" ht="12.75"/>
    <row r="834" s="373" customFormat="1" ht="12.75"/>
    <row r="835" s="373" customFormat="1" ht="12.75"/>
    <row r="836" s="373" customFormat="1" ht="12.75"/>
    <row r="837" s="373" customFormat="1" ht="12.75"/>
    <row r="838" s="373" customFormat="1" ht="12.75"/>
    <row r="839" s="373" customFormat="1" ht="12.75"/>
    <row r="840" s="373" customFormat="1" ht="12.75"/>
    <row r="841" s="373" customFormat="1" ht="12.75"/>
    <row r="842" s="373" customFormat="1" ht="12.75"/>
    <row r="843" s="373" customFormat="1" ht="12.75"/>
    <row r="844" s="373" customFormat="1" ht="12.75"/>
    <row r="845" s="373" customFormat="1" ht="12.75"/>
    <row r="846" s="373" customFormat="1" ht="12.75"/>
    <row r="847" s="373" customFormat="1" ht="12.75"/>
    <row r="848" s="373" customFormat="1" ht="12.75"/>
    <row r="849" s="373" customFormat="1" ht="12.75"/>
    <row r="850" s="373" customFormat="1" ht="12.75"/>
    <row r="851" s="373" customFormat="1" ht="12.75"/>
    <row r="852" s="373" customFormat="1" ht="12.75"/>
    <row r="853" s="373" customFormat="1" ht="12.75"/>
    <row r="854" s="373" customFormat="1" ht="12.75"/>
    <row r="855" s="373" customFormat="1" ht="12.75"/>
    <row r="856" s="373" customFormat="1" ht="12.75"/>
    <row r="857" s="373" customFormat="1" ht="12.75"/>
    <row r="858" s="373" customFormat="1" ht="12.75"/>
    <row r="859" s="373" customFormat="1" ht="12.75"/>
    <row r="860" s="373" customFormat="1" ht="12.75"/>
    <row r="861" s="373" customFormat="1" ht="12.75"/>
    <row r="862" s="373" customFormat="1" ht="12.75"/>
    <row r="863" s="373" customFormat="1" ht="12.75"/>
    <row r="864" s="373" customFormat="1" ht="12.75"/>
    <row r="865" s="373" customFormat="1" ht="12.75"/>
    <row r="866" s="373" customFormat="1" ht="12.75"/>
    <row r="867" s="373" customFormat="1" ht="12.75"/>
    <row r="868" s="373" customFormat="1" ht="12.75"/>
    <row r="869" s="373" customFormat="1" ht="12.75"/>
    <row r="870" s="373" customFormat="1" ht="12.75"/>
    <row r="871" s="373" customFormat="1" ht="12.75"/>
    <row r="872" s="373" customFormat="1" ht="12.75"/>
    <row r="873" s="373" customFormat="1" ht="12.75"/>
    <row r="874" s="373" customFormat="1" ht="12.75"/>
    <row r="875" s="373" customFormat="1" ht="12.75"/>
    <row r="876" s="373" customFormat="1" ht="12.75"/>
    <row r="877" s="373" customFormat="1" ht="12.75"/>
    <row r="878" s="373" customFormat="1" ht="12.75"/>
    <row r="879" s="373" customFormat="1" ht="12.75"/>
    <row r="880" s="373" customFormat="1" ht="12.75"/>
    <row r="881" s="373" customFormat="1" ht="12.75"/>
    <row r="882" s="373" customFormat="1" ht="12.75"/>
    <row r="883" s="373" customFormat="1" ht="12.75"/>
    <row r="884" s="373" customFormat="1" ht="12.75"/>
    <row r="885" s="373" customFormat="1" ht="12.75"/>
    <row r="886" s="373" customFormat="1" ht="12.75"/>
    <row r="887" s="373" customFormat="1" ht="12.75"/>
    <row r="888" s="373" customFormat="1" ht="12.75"/>
    <row r="889" s="373" customFormat="1" ht="12.75"/>
    <row r="890" s="373" customFormat="1" ht="12.75"/>
    <row r="891" s="373" customFormat="1" ht="12.75"/>
    <row r="892" s="373" customFormat="1" ht="12.75"/>
    <row r="893" s="373" customFormat="1" ht="12.75"/>
    <row r="894" s="373" customFormat="1" ht="12.75"/>
    <row r="895" s="373" customFormat="1" ht="12.75"/>
    <row r="896" s="373" customFormat="1" ht="12.75"/>
    <row r="897" s="373" customFormat="1" ht="12.75"/>
    <row r="898" s="373" customFormat="1" ht="12.75"/>
    <row r="899" s="373" customFormat="1" ht="12.75"/>
    <row r="900" s="373" customFormat="1" ht="12.75"/>
    <row r="901" s="373" customFormat="1" ht="12.75"/>
    <row r="902" s="373" customFormat="1" ht="12.75"/>
    <row r="903" s="373" customFormat="1" ht="12.75"/>
    <row r="904" s="373" customFormat="1" ht="12.75"/>
    <row r="905" s="373" customFormat="1" ht="12.75"/>
    <row r="906" s="373" customFormat="1" ht="12.75"/>
    <row r="907" s="373" customFormat="1" ht="12.75"/>
    <row r="908" s="373" customFormat="1" ht="12.75"/>
    <row r="909" s="373" customFormat="1" ht="12.75"/>
    <row r="910" s="373" customFormat="1" ht="12.75"/>
    <row r="911" s="373" customFormat="1" ht="12.75"/>
    <row r="912" s="373" customFormat="1" ht="12.75"/>
    <row r="913" s="373" customFormat="1" ht="12.75"/>
    <row r="914" s="373" customFormat="1" ht="12.75"/>
    <row r="915" s="373" customFormat="1" ht="12.75"/>
    <row r="916" s="373" customFormat="1" ht="12.75"/>
    <row r="917" s="373" customFormat="1" ht="12.75"/>
    <row r="918" s="373" customFormat="1" ht="12.75"/>
    <row r="919" s="373" customFormat="1" ht="12.75"/>
    <row r="920" s="373" customFormat="1" ht="12.75"/>
    <row r="921" s="373" customFormat="1" ht="12.75"/>
    <row r="922" s="373" customFormat="1" ht="12.75"/>
    <row r="923" s="373" customFormat="1" ht="12.75"/>
    <row r="924" s="373" customFormat="1" ht="12.75"/>
    <row r="925" s="373" customFormat="1" ht="12.75"/>
    <row r="926" s="373" customFormat="1" ht="12.75"/>
    <row r="927" s="373" customFormat="1" ht="12.75"/>
    <row r="928" s="373" customFormat="1" ht="12.75"/>
    <row r="929" s="373" customFormat="1" ht="12.75"/>
    <row r="930" s="373" customFormat="1" ht="12.75"/>
    <row r="931" s="373" customFormat="1" ht="12.75"/>
    <row r="932" s="373" customFormat="1" ht="12.75"/>
    <row r="933" s="373" customFormat="1" ht="12.75"/>
    <row r="934" s="373" customFormat="1" ht="12.75"/>
    <row r="935" s="373" customFormat="1" ht="12.75"/>
    <row r="936" s="373" customFormat="1" ht="12.75"/>
    <row r="937" s="373" customFormat="1" ht="12.75"/>
    <row r="938" s="373" customFormat="1" ht="12.75"/>
    <row r="939" s="373" customFormat="1" ht="12.75"/>
    <row r="940" s="373" customFormat="1" ht="12.75"/>
    <row r="941" s="373" customFormat="1" ht="12.75"/>
    <row r="942" s="373" customFormat="1" ht="12.75"/>
    <row r="943" s="373" customFormat="1" ht="12.75"/>
    <row r="944" s="373" customFormat="1" ht="12.75"/>
    <row r="945" s="373" customFormat="1" ht="12.75"/>
    <row r="946" s="373" customFormat="1" ht="12.75"/>
    <row r="947" s="373" customFormat="1" ht="12.75"/>
    <row r="948" s="373" customFormat="1" ht="12.75"/>
    <row r="949" s="373" customFormat="1" ht="12.75"/>
    <row r="950" s="373" customFormat="1" ht="12.75"/>
    <row r="951" s="373" customFormat="1" ht="12.75"/>
    <row r="952" s="373" customFormat="1" ht="12.75"/>
    <row r="953" s="373" customFormat="1" ht="12.75"/>
    <row r="954" s="373" customFormat="1" ht="12.75"/>
    <row r="955" s="373" customFormat="1" ht="12.75"/>
    <row r="956" s="373" customFormat="1" ht="12.75"/>
    <row r="957" s="373" customFormat="1" ht="12.75"/>
    <row r="958" s="373" customFormat="1" ht="12.75"/>
    <row r="959" s="373" customFormat="1" ht="12.75"/>
    <row r="960" s="373" customFormat="1" ht="12.75"/>
    <row r="961" s="373" customFormat="1" ht="12.75"/>
    <row r="962" s="373" customFormat="1" ht="12.75"/>
    <row r="963" s="373" customFormat="1" ht="12.75"/>
    <row r="964" s="373" customFormat="1" ht="12.75"/>
    <row r="965" s="373" customFormat="1" ht="12.75"/>
    <row r="966" s="373" customFormat="1" ht="12.75"/>
    <row r="967" s="373" customFormat="1" ht="12.75"/>
    <row r="968" s="373" customFormat="1" ht="12.75"/>
    <row r="969" s="373" customFormat="1" ht="12.75"/>
    <row r="970" s="373" customFormat="1" ht="12.75"/>
    <row r="971" s="373" customFormat="1" ht="12.75"/>
    <row r="972" s="373" customFormat="1" ht="12.75"/>
    <row r="973" s="373" customFormat="1" ht="12.75"/>
    <row r="974" s="373" customFormat="1" ht="12.75"/>
    <row r="975" s="373" customFormat="1" ht="12.75"/>
    <row r="976" s="373" customFormat="1" ht="12.75"/>
    <row r="977" s="373" customFormat="1" ht="12.75"/>
    <row r="978" s="373" customFormat="1" ht="12.75"/>
    <row r="979" s="373" customFormat="1" ht="12.75"/>
    <row r="980" s="373" customFormat="1" ht="12.75"/>
    <row r="981" s="373" customFormat="1" ht="12.75"/>
    <row r="982" s="373" customFormat="1" ht="12.75"/>
    <row r="983" s="373" customFormat="1" ht="12.75"/>
    <row r="984" s="373" customFormat="1" ht="12.75"/>
    <row r="985" s="373" customFormat="1" ht="12.75"/>
    <row r="986" s="373" customFormat="1" ht="12.75"/>
    <row r="987" s="373" customFormat="1" ht="12.75"/>
    <row r="988" s="373" customFormat="1" ht="12.75"/>
    <row r="989" s="373" customFormat="1" ht="12.75"/>
    <row r="990" s="373" customFormat="1" ht="12.75"/>
    <row r="991" s="373" customFormat="1" ht="12.75"/>
    <row r="992" s="373" customFormat="1" ht="12.75"/>
    <row r="993" s="373" customFormat="1" ht="12.75"/>
    <row r="994" s="373" customFormat="1" ht="12.75"/>
    <row r="995" s="373" customFormat="1" ht="12.75"/>
    <row r="996" s="373" customFormat="1" ht="12.75"/>
    <row r="997" s="373" customFormat="1" ht="12.75"/>
    <row r="998" s="373" customFormat="1" ht="12.75"/>
    <row r="999" s="373" customFormat="1" ht="12.75"/>
    <row r="1000" s="373" customFormat="1" ht="12.75"/>
    <row r="1001" s="373" customFormat="1" ht="12.75"/>
    <row r="1002" s="373" customFormat="1" ht="12.75"/>
    <row r="1003" s="373" customFormat="1" ht="12.75"/>
    <row r="1004" s="373" customFormat="1" ht="12.75"/>
    <row r="1005" s="373" customFormat="1" ht="12.75"/>
    <row r="1006" s="373" customFormat="1" ht="12.75"/>
    <row r="1007" s="373" customFormat="1" ht="12.75"/>
    <row r="1008" s="373" customFormat="1" ht="12.75"/>
    <row r="1009" s="373" customFormat="1" ht="12.75"/>
    <row r="1010" s="373" customFormat="1" ht="12.75"/>
    <row r="1011" s="373" customFormat="1" ht="12.75"/>
    <row r="1012" s="373" customFormat="1" ht="12.75"/>
    <row r="1013" s="373" customFormat="1" ht="12.75"/>
    <row r="1014" s="373" customFormat="1" ht="12.75"/>
    <row r="1015" s="373" customFormat="1" ht="12.75"/>
    <row r="1016" s="373" customFormat="1" ht="12.75"/>
    <row r="1017" s="373" customFormat="1" ht="12.75"/>
    <row r="1018" s="373" customFormat="1" ht="12.75"/>
    <row r="1019" s="373" customFormat="1" ht="12.75"/>
    <row r="1020" s="373" customFormat="1" ht="12.75"/>
    <row r="1021" s="373" customFormat="1" ht="12.75"/>
    <row r="1022" s="373" customFormat="1" ht="12.75"/>
    <row r="1023" s="373" customFormat="1" ht="12.75"/>
    <row r="1024" s="373" customFormat="1" ht="12.75"/>
    <row r="1025" s="373" customFormat="1" ht="12.75"/>
    <row r="1026" s="373" customFormat="1" ht="12.75"/>
    <row r="1027" s="373" customFormat="1" ht="12.75"/>
    <row r="1028" s="373" customFormat="1" ht="12.75"/>
    <row r="1029" s="373" customFormat="1" ht="12.75"/>
    <row r="1030" s="373" customFormat="1" ht="12.75"/>
    <row r="1031" s="373" customFormat="1" ht="12.75"/>
    <row r="1032" s="373" customFormat="1" ht="12.75"/>
    <row r="1033" s="373" customFormat="1" ht="12.75"/>
    <row r="1034" s="373" customFormat="1" ht="12.75"/>
    <row r="1035" s="373" customFormat="1" ht="12.75"/>
    <row r="1036" s="373" customFormat="1" ht="12.75"/>
    <row r="1037" s="373" customFormat="1" ht="12.75"/>
    <row r="1038" s="373" customFormat="1" ht="12.75"/>
    <row r="1039" s="373" customFormat="1" ht="12.75"/>
    <row r="1040" s="373" customFormat="1" ht="12.75"/>
    <row r="1041" s="373" customFormat="1" ht="12.75"/>
    <row r="1042" s="373" customFormat="1" ht="12.75"/>
    <row r="1043" s="373" customFormat="1" ht="12.75"/>
    <row r="1044" s="373" customFormat="1" ht="12.75"/>
    <row r="1045" s="373" customFormat="1" ht="12.75"/>
    <row r="1046" s="373" customFormat="1" ht="12.75"/>
    <row r="1047" s="373" customFormat="1" ht="12.75"/>
    <row r="1048" s="373" customFormat="1" ht="12.75"/>
    <row r="1049" s="373" customFormat="1" ht="12.75"/>
    <row r="1050" s="373" customFormat="1" ht="12.75"/>
    <row r="1051" s="373" customFormat="1" ht="12.75"/>
    <row r="1052" s="373" customFormat="1" ht="12.75"/>
    <row r="1053" s="373" customFormat="1" ht="12.75"/>
    <row r="1054" s="373" customFormat="1" ht="12.75"/>
    <row r="1055" s="373" customFormat="1" ht="12.75"/>
    <row r="1056" s="373" customFormat="1" ht="12.75"/>
    <row r="1057" s="373" customFormat="1" ht="12.75"/>
    <row r="1058" s="373" customFormat="1" ht="12.75"/>
    <row r="1059" s="373" customFormat="1" ht="12.75"/>
    <row r="1060" s="373" customFormat="1" ht="12.75"/>
    <row r="1061" s="373" customFormat="1" ht="12.75"/>
    <row r="1062" s="373" customFormat="1" ht="12.75"/>
    <row r="1063" s="373" customFormat="1" ht="12.75"/>
    <row r="1064" s="373" customFormat="1" ht="12.75"/>
    <row r="1065" s="373" customFormat="1" ht="12.75"/>
    <row r="1066" s="373" customFormat="1" ht="12.75"/>
    <row r="1067" s="373" customFormat="1" ht="12.75"/>
    <row r="1068" s="373" customFormat="1" ht="12.75"/>
    <row r="1069" s="373" customFormat="1" ht="12.75"/>
    <row r="1070" s="373" customFormat="1" ht="12.75"/>
    <row r="1071" s="373" customFormat="1" ht="12.75"/>
    <row r="1072" s="373" customFormat="1" ht="12.75"/>
    <row r="1073" s="373" customFormat="1" ht="12.75"/>
    <row r="1074" s="373" customFormat="1" ht="12.75"/>
    <row r="1075" s="373" customFormat="1" ht="12.75"/>
    <row r="1076" s="373" customFormat="1" ht="12.75"/>
    <row r="1077" s="373" customFormat="1" ht="12.75"/>
    <row r="1078" s="373" customFormat="1" ht="12.75"/>
    <row r="1079" s="373" customFormat="1" ht="12.75"/>
    <row r="1080" s="373" customFormat="1" ht="12.75"/>
    <row r="1081" s="373" customFormat="1" ht="12.75"/>
    <row r="1082" s="373" customFormat="1" ht="12.75"/>
    <row r="1083" s="373" customFormat="1" ht="12.75"/>
    <row r="1084" s="373" customFormat="1" ht="12.75"/>
    <row r="1085" s="373" customFormat="1" ht="12.75"/>
    <row r="1086" s="373" customFormat="1" ht="12.75"/>
    <row r="1087" s="373" customFormat="1" ht="12.75"/>
    <row r="1088" s="373" customFormat="1" ht="12.75"/>
    <row r="1089" s="373" customFormat="1" ht="12.75"/>
    <row r="1090" s="373" customFormat="1" ht="12.75"/>
    <row r="1091" s="373" customFormat="1" ht="12.75"/>
    <row r="1092" s="373" customFormat="1" ht="12.75"/>
    <row r="1093" s="373" customFormat="1" ht="12.75"/>
    <row r="1094" s="373" customFormat="1" ht="12.75"/>
    <row r="1095" s="373" customFormat="1" ht="12.75"/>
    <row r="1096" s="373" customFormat="1" ht="12.75"/>
    <row r="1097" s="373" customFormat="1" ht="12.75"/>
    <row r="1098" s="373" customFormat="1" ht="12.75"/>
    <row r="1099" s="373" customFormat="1" ht="12.75"/>
    <row r="1100" s="373" customFormat="1" ht="12.75"/>
    <row r="1101" s="373" customFormat="1" ht="12.75"/>
    <row r="1102" s="373" customFormat="1" ht="12.75"/>
    <row r="1103" s="373" customFormat="1" ht="12.75"/>
    <row r="1104" s="373" customFormat="1" ht="12.75"/>
    <row r="1105" s="373" customFormat="1" ht="12.75"/>
    <row r="1106" s="373" customFormat="1" ht="12.75"/>
    <row r="1107" s="373" customFormat="1" ht="12.75"/>
    <row r="1108" s="373" customFormat="1" ht="12.75"/>
    <row r="1109" s="373" customFormat="1" ht="12.75"/>
    <row r="1110" s="373" customFormat="1" ht="12.75"/>
    <row r="1111" s="373" customFormat="1" ht="12.75"/>
    <row r="1112" s="373" customFormat="1" ht="12.75"/>
    <row r="1113" s="373" customFormat="1" ht="12.75"/>
    <row r="1114" s="373" customFormat="1" ht="12.75"/>
    <row r="1115" s="373" customFormat="1" ht="12.75"/>
    <row r="1116" s="373" customFormat="1" ht="12.75"/>
    <row r="1117" s="373" customFormat="1" ht="12.75"/>
    <row r="1118" s="373" customFormat="1" ht="12.75"/>
    <row r="1119" s="373" customFormat="1" ht="12.75"/>
    <row r="1120" s="373" customFormat="1" ht="12.75"/>
    <row r="1121" s="373" customFormat="1" ht="12.75"/>
    <row r="1122" s="373" customFormat="1" ht="12.75"/>
    <row r="1123" s="373" customFormat="1" ht="12.75"/>
    <row r="1124" s="373" customFormat="1" ht="12.75"/>
    <row r="1125" s="373" customFormat="1" ht="12.75"/>
    <row r="1126" s="373" customFormat="1" ht="12.75"/>
    <row r="1127" s="373" customFormat="1" ht="12.75"/>
    <row r="1128" s="373" customFormat="1" ht="12.75"/>
    <row r="1129" s="373" customFormat="1" ht="12.75"/>
    <row r="1130" s="373" customFormat="1" ht="12.75"/>
    <row r="1131" s="373" customFormat="1" ht="12.75"/>
    <row r="1132" s="373" customFormat="1" ht="12.75"/>
    <row r="1133" s="373" customFormat="1" ht="12.75"/>
    <row r="1134" s="373" customFormat="1" ht="12.75"/>
    <row r="1135" s="373" customFormat="1" ht="12.75"/>
    <row r="1136" s="373" customFormat="1" ht="12.75"/>
    <row r="1137" s="373" customFormat="1" ht="12.75"/>
    <row r="1138" s="373" customFormat="1" ht="12.75"/>
    <row r="1139" s="373" customFormat="1" ht="12.75"/>
    <row r="1140" s="373" customFormat="1" ht="12.75"/>
    <row r="1141" s="373" customFormat="1" ht="12.75"/>
    <row r="1142" s="373" customFormat="1" ht="12.75"/>
    <row r="1143" s="373" customFormat="1" ht="12.75"/>
    <row r="1144" s="373" customFormat="1" ht="12.75"/>
    <row r="1145" s="373" customFormat="1" ht="12.75"/>
    <row r="1146" s="373" customFormat="1" ht="12.75"/>
    <row r="1147" s="373" customFormat="1" ht="12.75"/>
    <row r="1148" s="373" customFormat="1" ht="12.75"/>
    <row r="1149" s="373" customFormat="1" ht="12.75"/>
    <row r="1150" s="373" customFormat="1" ht="12.75"/>
    <row r="1151" s="373" customFormat="1" ht="12.75"/>
    <row r="1152" s="373" customFormat="1" ht="12.75"/>
    <row r="1153" s="373" customFormat="1" ht="12.75"/>
    <row r="1154" s="373" customFormat="1" ht="12.75"/>
    <row r="1155" s="373" customFormat="1" ht="12.75"/>
    <row r="1156" s="373" customFormat="1" ht="12.75"/>
    <row r="1157" s="373" customFormat="1" ht="12.75"/>
    <row r="1158" s="373" customFormat="1" ht="12.75"/>
    <row r="1159" s="373" customFormat="1" ht="12.75"/>
    <row r="1160" s="373" customFormat="1" ht="12.75"/>
    <row r="1161" s="373" customFormat="1" ht="12.75"/>
    <row r="1162" s="373" customFormat="1" ht="12.75"/>
    <row r="1163" s="373" customFormat="1" ht="12.75"/>
    <row r="1164" s="373" customFormat="1" ht="12.75"/>
    <row r="1165" s="373" customFormat="1" ht="12.75"/>
    <row r="1166" s="373" customFormat="1" ht="12.75"/>
    <row r="1167" s="373" customFormat="1" ht="12.75"/>
    <row r="1168" s="373" customFormat="1" ht="12.75"/>
    <row r="1169" s="373" customFormat="1" ht="12.75"/>
    <row r="1170" s="373" customFormat="1" ht="12.75"/>
    <row r="1171" s="373" customFormat="1" ht="12.75"/>
    <row r="1172" s="373" customFormat="1" ht="12.75"/>
    <row r="1173" s="373" customFormat="1" ht="12.75"/>
    <row r="1174" s="373" customFormat="1" ht="12.75"/>
    <row r="1175" s="373" customFormat="1" ht="12.75"/>
    <row r="1176" s="373" customFormat="1" ht="12.75"/>
    <row r="1177" s="373" customFormat="1" ht="12.75"/>
    <row r="1178" s="373" customFormat="1" ht="12.75"/>
    <row r="1179" s="373" customFormat="1" ht="12.75"/>
    <row r="1180" s="373" customFormat="1" ht="12.75"/>
    <row r="1181" s="373" customFormat="1" ht="12.75"/>
    <row r="1182" s="373" customFormat="1" ht="12.75"/>
    <row r="1183" s="373" customFormat="1" ht="12.75"/>
    <row r="1184" s="373" customFormat="1" ht="12.75"/>
    <row r="1185" s="373" customFormat="1" ht="12.75"/>
    <row r="1186" s="373" customFormat="1" ht="12.75"/>
    <row r="1187" s="373" customFormat="1" ht="12.75"/>
    <row r="1188" s="373" customFormat="1" ht="12.75"/>
    <row r="1189" s="373" customFormat="1" ht="12.75"/>
    <row r="1190" s="373" customFormat="1" ht="12.75"/>
    <row r="1191" s="373" customFormat="1" ht="12.75"/>
    <row r="1192" s="373" customFormat="1" ht="12.75"/>
    <row r="1193" s="373" customFormat="1" ht="12.75"/>
    <row r="1194" s="373" customFormat="1" ht="12.75"/>
    <row r="1195" s="373" customFormat="1" ht="12.75"/>
    <row r="1196" s="373" customFormat="1" ht="12.75"/>
    <row r="1197" s="373" customFormat="1" ht="12.75"/>
    <row r="1198" s="373" customFormat="1" ht="12.75"/>
    <row r="1199" s="373" customFormat="1" ht="12.75"/>
    <row r="1200" s="373" customFormat="1" ht="12.75"/>
    <row r="1201" s="373" customFormat="1" ht="12.75"/>
    <row r="1202" s="373" customFormat="1" ht="12.75"/>
    <row r="1203" s="373" customFormat="1" ht="12.75"/>
    <row r="1204" s="373" customFormat="1" ht="12.75"/>
    <row r="1205" s="373" customFormat="1" ht="12.75"/>
    <row r="1206" s="373" customFormat="1" ht="12.75"/>
    <row r="1207" s="373" customFormat="1" ht="12.75"/>
    <row r="1208" s="373" customFormat="1" ht="12.75"/>
    <row r="1209" s="373" customFormat="1" ht="12.75"/>
    <row r="1210" s="373" customFormat="1" ht="12.75"/>
    <row r="1211" s="373" customFormat="1" ht="12.75"/>
    <row r="1212" s="373" customFormat="1" ht="12.75"/>
    <row r="1213" s="373" customFormat="1" ht="12.75"/>
    <row r="1214" s="373" customFormat="1" ht="12.75"/>
    <row r="1215" s="373" customFormat="1" ht="12.75"/>
    <row r="1216" s="373" customFormat="1" ht="12.75"/>
    <row r="1217" s="373" customFormat="1" ht="12.75"/>
    <row r="1218" s="373" customFormat="1" ht="12.75"/>
    <row r="1219" s="373" customFormat="1" ht="12.75"/>
    <row r="1220" s="373" customFormat="1" ht="12.75"/>
    <row r="1221" s="373" customFormat="1" ht="12.75"/>
    <row r="1222" s="373" customFormat="1" ht="12.75"/>
    <row r="1223" s="373" customFormat="1" ht="12.75"/>
    <row r="1224" s="373" customFormat="1" ht="12.75"/>
    <row r="1225" s="373" customFormat="1" ht="12.75"/>
    <row r="1226" s="373" customFormat="1" ht="12.75"/>
    <row r="1227" s="373" customFormat="1" ht="12.75"/>
    <row r="1228" s="373" customFormat="1" ht="12.75"/>
    <row r="1229" s="373" customFormat="1" ht="12.75"/>
    <row r="1230" s="373" customFormat="1" ht="12.75"/>
    <row r="1231" s="373" customFormat="1" ht="12.75"/>
    <row r="1232" s="373" customFormat="1" ht="12.75"/>
    <row r="1233" s="373" customFormat="1" ht="12.75"/>
    <row r="1234" s="373" customFormat="1" ht="12.75"/>
    <row r="1235" s="373" customFormat="1" ht="12.75"/>
    <row r="1236" s="373" customFormat="1" ht="12.75"/>
    <row r="1237" s="373" customFormat="1" ht="12.75"/>
    <row r="1238" s="373" customFormat="1" ht="12.75"/>
    <row r="1239" s="373" customFormat="1" ht="12.75"/>
    <row r="1240" s="373" customFormat="1" ht="12.75"/>
    <row r="1241" s="373" customFormat="1" ht="12.75"/>
    <row r="1242" s="373" customFormat="1" ht="12.75"/>
    <row r="1243" s="373" customFormat="1" ht="12.75"/>
    <row r="1244" s="373" customFormat="1" ht="12.75"/>
    <row r="1245" s="373" customFormat="1" ht="12.75"/>
    <row r="1246" s="373" customFormat="1" ht="12.75"/>
    <row r="1247" s="373" customFormat="1" ht="12.75"/>
    <row r="1248" s="373" customFormat="1" ht="12.75"/>
    <row r="1249" s="373" customFormat="1" ht="12.75"/>
    <row r="1250" s="373" customFormat="1" ht="12.75"/>
    <row r="1251" s="373" customFormat="1" ht="12.75"/>
    <row r="1252" s="373" customFormat="1" ht="12.75"/>
    <row r="1253" s="373" customFormat="1" ht="12.75"/>
    <row r="1254" s="373" customFormat="1" ht="12.75"/>
    <row r="1255" s="373" customFormat="1" ht="12.75"/>
    <row r="1256" s="373" customFormat="1" ht="12.75"/>
    <row r="1257" s="373" customFormat="1" ht="12.75"/>
    <row r="1258" s="373" customFormat="1" ht="12.75"/>
    <row r="1259" s="373" customFormat="1" ht="12.75"/>
    <row r="1260" s="373" customFormat="1" ht="12.75"/>
    <row r="1261" s="373" customFormat="1" ht="12.75"/>
    <row r="1262" s="373" customFormat="1" ht="12.75"/>
    <row r="1263" s="373" customFormat="1" ht="12.75"/>
    <row r="1264" s="373" customFormat="1" ht="12.75"/>
    <row r="1265" s="373" customFormat="1" ht="12.75"/>
    <row r="1266" s="373" customFormat="1" ht="12.75"/>
    <row r="1267" s="373" customFormat="1" ht="12.75"/>
    <row r="1268" s="373" customFormat="1" ht="12.75"/>
    <row r="1269" s="373" customFormat="1" ht="12.75"/>
    <row r="1270" s="373" customFormat="1" ht="12.75"/>
    <row r="1271" s="373" customFormat="1" ht="12.75"/>
    <row r="1272" s="373" customFormat="1" ht="12.75"/>
    <row r="1273" s="373" customFormat="1" ht="12.75"/>
    <row r="1274" s="373" customFormat="1" ht="12.75"/>
    <row r="1275" s="373" customFormat="1" ht="12.75"/>
    <row r="1276" s="373" customFormat="1" ht="12.75"/>
    <row r="1277" s="373" customFormat="1" ht="12.75"/>
    <row r="1278" s="373" customFormat="1" ht="12.75"/>
    <row r="1279" s="373" customFormat="1" ht="12.75"/>
    <row r="1280" s="373" customFormat="1" ht="12.75"/>
    <row r="1281" s="373" customFormat="1" ht="12.75"/>
    <row r="1282" s="373" customFormat="1" ht="12.75"/>
    <row r="1283" s="373" customFormat="1" ht="12.75"/>
    <row r="1284" s="373" customFormat="1" ht="12.75"/>
    <row r="1285" s="373" customFormat="1" ht="12.75"/>
    <row r="1286" s="373" customFormat="1" ht="12.75"/>
    <row r="1287" s="373" customFormat="1" ht="12.75"/>
    <row r="1288" s="373" customFormat="1" ht="12.75"/>
    <row r="1289" s="373" customFormat="1" ht="12.75"/>
    <row r="1290" s="373" customFormat="1" ht="12.75"/>
    <row r="1291" s="373" customFormat="1" ht="12.75"/>
    <row r="1292" s="373" customFormat="1" ht="12.75"/>
    <row r="1293" s="373" customFormat="1" ht="12.75"/>
    <row r="1294" s="373" customFormat="1" ht="12.75"/>
    <row r="1295" s="373" customFormat="1" ht="12.75"/>
    <row r="1296" s="373" customFormat="1" ht="12.75"/>
    <row r="1297" s="373" customFormat="1" ht="12.75"/>
    <row r="1298" s="373" customFormat="1" ht="12.75"/>
    <row r="1299" s="373" customFormat="1" ht="12.75"/>
    <row r="1300" s="373" customFormat="1" ht="12.75"/>
    <row r="1301" s="373" customFormat="1" ht="12.75"/>
    <row r="1302" s="373" customFormat="1" ht="12.75"/>
    <row r="1303" s="373" customFormat="1" ht="12.75"/>
    <row r="1304" s="373" customFormat="1" ht="12.75"/>
    <row r="1305" s="373" customFormat="1" ht="12.75"/>
    <row r="1306" s="373" customFormat="1" ht="12.75"/>
    <row r="1307" s="373" customFormat="1" ht="12.75"/>
    <row r="1308" s="373" customFormat="1" ht="12.75"/>
    <row r="1309" s="373" customFormat="1" ht="12.75"/>
    <row r="1310" s="373" customFormat="1" ht="12.75"/>
    <row r="1311" s="373" customFormat="1" ht="12.75"/>
    <row r="1312" s="373" customFormat="1" ht="12.75"/>
    <row r="1313" s="373" customFormat="1" ht="12.75"/>
    <row r="1314" s="373" customFormat="1" ht="12.75"/>
    <row r="1315" s="373" customFormat="1" ht="12.75"/>
    <row r="1316" s="373" customFormat="1" ht="12.75"/>
    <row r="1317" s="373" customFormat="1" ht="12.75"/>
    <row r="1318" s="373" customFormat="1" ht="12.75"/>
    <row r="1319" s="373" customFormat="1" ht="12.75"/>
    <row r="1320" s="373" customFormat="1" ht="12.75"/>
    <row r="1321" s="373" customFormat="1" ht="12.75"/>
    <row r="1322" s="373" customFormat="1" ht="12.75"/>
    <row r="1323" s="373" customFormat="1" ht="12.75"/>
    <row r="1324" s="373" customFormat="1" ht="12.75"/>
    <row r="1325" s="373" customFormat="1" ht="12.75"/>
    <row r="1326" s="373" customFormat="1" ht="12.75"/>
    <row r="1327" s="373" customFormat="1" ht="12.75"/>
    <row r="1328" s="373" customFormat="1" ht="12.75"/>
    <row r="1329" s="373" customFormat="1" ht="12.75"/>
    <row r="1330" s="373" customFormat="1" ht="12.75"/>
    <row r="1331" s="373" customFormat="1" ht="12.75"/>
    <row r="1332" s="373" customFormat="1" ht="12.75"/>
    <row r="1333" s="373" customFormat="1" ht="12.75"/>
    <row r="1334" s="373" customFormat="1" ht="12.75"/>
    <row r="1335" s="373" customFormat="1" ht="12.75"/>
    <row r="1336" s="373" customFormat="1" ht="12.75"/>
    <row r="1337" s="373" customFormat="1" ht="12.75"/>
    <row r="1338" s="373" customFormat="1" ht="12.75"/>
    <row r="1339" s="373" customFormat="1" ht="12.75"/>
    <row r="1340" s="373" customFormat="1" ht="12.75"/>
    <row r="1341" s="373" customFormat="1" ht="12.75"/>
    <row r="1342" s="373" customFormat="1" ht="12.75"/>
    <row r="1343" s="373" customFormat="1" ht="12.75"/>
    <row r="1344" s="373" customFormat="1" ht="12.75"/>
    <row r="1345" s="373" customFormat="1" ht="12.75"/>
    <row r="1346" s="373" customFormat="1" ht="12.75"/>
    <row r="1347" s="373" customFormat="1" ht="12.75"/>
    <row r="1348" s="373" customFormat="1" ht="12.75"/>
    <row r="1349" s="373" customFormat="1" ht="12.75"/>
    <row r="1350" s="373" customFormat="1" ht="12.75"/>
    <row r="1351" s="373" customFormat="1" ht="12.75"/>
    <row r="1352" s="373" customFormat="1" ht="12.75"/>
    <row r="1353" s="373" customFormat="1" ht="12.75"/>
    <row r="1354" s="373" customFormat="1" ht="12.75"/>
    <row r="1355" s="373" customFormat="1" ht="12.75"/>
    <row r="1356" s="373" customFormat="1" ht="12.75"/>
    <row r="1357" s="373" customFormat="1" ht="12.75"/>
    <row r="1358" s="373" customFormat="1" ht="12.75"/>
    <row r="1359" s="373" customFormat="1" ht="12.75"/>
    <row r="1360" s="373" customFormat="1" ht="12.75"/>
    <row r="1361" s="373" customFormat="1" ht="12.75"/>
    <row r="1362" s="373" customFormat="1" ht="12.75"/>
    <row r="1363" s="373" customFormat="1" ht="12.75"/>
    <row r="1364" s="373" customFormat="1" ht="12.75"/>
    <row r="1365" s="373" customFormat="1" ht="12.75"/>
    <row r="1366" s="373" customFormat="1" ht="12.75"/>
    <row r="1367" s="373" customFormat="1" ht="12.75"/>
    <row r="1368" s="373" customFormat="1" ht="12.75"/>
    <row r="1369" s="373" customFormat="1" ht="12.75"/>
    <row r="1370" s="373" customFormat="1" ht="12.75"/>
    <row r="1371" s="373" customFormat="1" ht="12.75"/>
    <row r="1372" s="373" customFormat="1" ht="12.75"/>
    <row r="1373" s="373" customFormat="1" ht="12.75"/>
    <row r="1374" s="373" customFormat="1" ht="12.75"/>
    <row r="1375" s="373" customFormat="1" ht="12.75"/>
    <row r="1376" s="373" customFormat="1" ht="12.75"/>
    <row r="1377" s="373" customFormat="1" ht="12.75"/>
    <row r="1378" s="373" customFormat="1" ht="12.75"/>
    <row r="1379" s="373" customFormat="1" ht="12.75"/>
    <row r="1380" s="373" customFormat="1" ht="12.75"/>
    <row r="1381" s="373" customFormat="1" ht="12.75"/>
    <row r="1382" s="373" customFormat="1" ht="12.75"/>
    <row r="1383" s="373" customFormat="1" ht="12.75"/>
    <row r="1384" s="373" customFormat="1" ht="12.75"/>
    <row r="1385" s="373" customFormat="1" ht="12.75"/>
    <row r="1386" s="373" customFormat="1" ht="12.75"/>
    <row r="1387" s="373" customFormat="1" ht="12.75"/>
    <row r="1388" s="373" customFormat="1" ht="12.75"/>
    <row r="1389" s="373" customFormat="1" ht="12.75"/>
    <row r="1390" s="373" customFormat="1" ht="12.75"/>
    <row r="1391" s="373" customFormat="1" ht="12.75"/>
    <row r="1392" s="373" customFormat="1" ht="12.75"/>
    <row r="1393" s="373" customFormat="1" ht="12.75"/>
    <row r="1394" s="373" customFormat="1" ht="12.75"/>
    <row r="1395" s="373" customFormat="1" ht="12.75"/>
    <row r="1396" s="373" customFormat="1" ht="12.75"/>
    <row r="1397" s="373" customFormat="1" ht="12.75"/>
    <row r="1398" s="373" customFormat="1" ht="12.75"/>
    <row r="1399" s="373" customFormat="1" ht="12.75"/>
    <row r="1400" s="373" customFormat="1" ht="12.75"/>
    <row r="1401" s="373" customFormat="1" ht="12.75"/>
    <row r="1402" s="373" customFormat="1" ht="12.75"/>
    <row r="1403" s="373" customFormat="1" ht="12.75"/>
    <row r="1404" s="373" customFormat="1" ht="12.75"/>
    <row r="1405" s="373" customFormat="1" ht="12.75"/>
    <row r="1406" s="373" customFormat="1" ht="12.75"/>
    <row r="1407" s="373" customFormat="1" ht="12.75"/>
    <row r="1408" s="373" customFormat="1" ht="12.75"/>
    <row r="1409" spans="17:18" s="373" customFormat="1" ht="12.75"/>
    <row r="1410" spans="17:18" s="373" customFormat="1" ht="12.75"/>
    <row r="1411" spans="17:18" s="373" customFormat="1" ht="12.75"/>
    <row r="1412" spans="17:18" s="373" customFormat="1" ht="12.75"/>
    <row r="1413" spans="17:18" s="373" customFormat="1" ht="12.75"/>
    <row r="1414" spans="17:18" s="373" customFormat="1" ht="12.75"/>
    <row r="1415" spans="17:18" s="373" customFormat="1" ht="12.75"/>
    <row r="1416" spans="17:18" s="373" customFormat="1" ht="12.75"/>
    <row r="1417" spans="17:18" s="373" customFormat="1" ht="12.75"/>
    <row r="1418" spans="17:18" s="373" customFormat="1" ht="12.75"/>
    <row r="1419" spans="17:18" s="373" customFormat="1" ht="12.75"/>
    <row r="1420" spans="17:18" s="373" customFormat="1" ht="12.75"/>
    <row r="1421" spans="17:18" ht="12.75">
      <c r="Q1421" s="373"/>
      <c r="R1421" s="373"/>
    </row>
    <row r="1422" spans="17:18" ht="12.75">
      <c r="Q1422" s="373"/>
    </row>
  </sheetData>
  <mergeCells count="36">
    <mergeCell ref="B144:O144"/>
    <mergeCell ref="B145:O145"/>
    <mergeCell ref="B146:O146"/>
    <mergeCell ref="B179:O179"/>
    <mergeCell ref="B8:O8"/>
    <mergeCell ref="B9:O9"/>
    <mergeCell ref="B10:O10"/>
    <mergeCell ref="B112:O112"/>
    <mergeCell ref="B42:O42"/>
    <mergeCell ref="B43:O43"/>
    <mergeCell ref="B44:O44"/>
    <mergeCell ref="B76:O76"/>
    <mergeCell ref="B77:O77"/>
    <mergeCell ref="B111:O111"/>
    <mergeCell ref="B110:O110"/>
    <mergeCell ref="B78:O78"/>
    <mergeCell ref="B279:P279"/>
    <mergeCell ref="B381:O381"/>
    <mergeCell ref="B345:P345"/>
    <mergeCell ref="B346:P346"/>
    <mergeCell ref="B344:P344"/>
    <mergeCell ref="B311:P311"/>
    <mergeCell ref="B281:P281"/>
    <mergeCell ref="B382:O382"/>
    <mergeCell ref="B380:O380"/>
    <mergeCell ref="B280:P280"/>
    <mergeCell ref="B312:P312"/>
    <mergeCell ref="B313:P313"/>
    <mergeCell ref="B245:O245"/>
    <mergeCell ref="B246:O246"/>
    <mergeCell ref="B247:O247"/>
    <mergeCell ref="B177:O177"/>
    <mergeCell ref="B178:O178"/>
    <mergeCell ref="B211:O211"/>
    <mergeCell ref="B212:O212"/>
    <mergeCell ref="B213:O213"/>
  </mergeCells>
  <phoneticPr fontId="4" type="noConversion"/>
  <pageMargins left="0.7" right="0.7" top="1.07" bottom="0.75" header="0.3" footer="0.3"/>
  <pageSetup scale="61" fitToHeight="0" orientation="landscape" r:id="rId1"/>
  <headerFooter>
    <oddHeader>&amp;RDocket No 56165
Schedule &amp;A
Page &amp;P of &amp;N</oddHeader>
    <oddFooter>&amp;LSponsored by: Earlyne Reynolds</oddFooter>
  </headerFooter>
  <rowBreaks count="9" manualBreakCount="9">
    <brk id="40" max="16383" man="1"/>
    <brk id="75" max="16383" man="1"/>
    <brk id="107" max="16383" man="1"/>
    <brk id="143" max="15" man="1"/>
    <brk id="209" max="15" man="1"/>
    <brk id="278" max="16383" man="1"/>
    <brk id="310" max="16383" man="1"/>
    <brk id="343" max="16383" man="1"/>
    <brk id="377" max="16383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J1222"/>
  <sheetViews>
    <sheetView topLeftCell="D1" zoomScale="110" zoomScaleNormal="110" workbookViewId="0">
      <selection activeCell="D1" sqref="D1"/>
    </sheetView>
  </sheetViews>
  <sheetFormatPr defaultColWidth="9.140625" defaultRowHeight="11.25"/>
  <cols>
    <col min="1" max="1" width="4.5703125" style="87" customWidth="1"/>
    <col min="2" max="2" width="31.85546875" style="87" customWidth="1"/>
    <col min="3" max="3" width="5.7109375" style="99" customWidth="1"/>
    <col min="4" max="4" width="16.5703125" style="94" customWidth="1"/>
    <col min="5" max="5" width="15" style="94" customWidth="1"/>
    <col min="6" max="6" width="17.42578125" style="94" customWidth="1"/>
    <col min="7" max="7" width="11.42578125" style="94" customWidth="1"/>
    <col min="8" max="8" width="12.140625" style="94" bestFit="1" customWidth="1"/>
    <col min="9" max="9" width="14.42578125" style="94" customWidth="1"/>
    <col min="10" max="10" width="14.140625" style="94" bestFit="1" customWidth="1"/>
    <col min="11" max="11" width="3.42578125" style="77" customWidth="1"/>
    <col min="12" max="12" width="13.5703125" style="89" bestFit="1" customWidth="1"/>
    <col min="13" max="13" width="14.7109375" style="89" bestFit="1" customWidth="1"/>
    <col min="14" max="14" width="13.140625" style="89" bestFit="1" customWidth="1"/>
    <col min="15" max="15" width="11.28515625" style="89" customWidth="1"/>
    <col min="16" max="17" width="13.28515625" style="89" customWidth="1"/>
    <col min="18" max="18" width="14.140625" style="89" bestFit="1" customWidth="1"/>
    <col min="19" max="19" width="2.7109375" style="89" customWidth="1"/>
    <col min="20" max="20" width="15.42578125" style="89" bestFit="1" customWidth="1"/>
    <col min="21" max="140" width="9.140625" style="89"/>
    <col min="141" max="16384" width="9.140625" style="87"/>
  </cols>
  <sheetData>
    <row r="1" spans="1:140" ht="12" thickBot="1"/>
    <row r="2" spans="1:140">
      <c r="B2" s="203" t="s">
        <v>100</v>
      </c>
    </row>
    <row r="3" spans="1:140">
      <c r="B3" s="204" t="s">
        <v>101</v>
      </c>
    </row>
    <row r="4" spans="1:140">
      <c r="B4" s="205" t="s">
        <v>140</v>
      </c>
    </row>
    <row r="5" spans="1:140">
      <c r="B5" s="205" t="str">
        <f>'II-H-4.1 Monthly'!B5</f>
        <v>TEST YEAR ENDING 9/30/2023</v>
      </c>
    </row>
    <row r="6" spans="1:140" ht="12" thickBot="1">
      <c r="B6" s="206" t="str">
        <f>+'II-H-1'!B6</f>
        <v>DOCKET 56165</v>
      </c>
    </row>
    <row r="7" spans="1:140">
      <c r="B7" s="210"/>
    </row>
    <row r="8" spans="1:140" ht="12.75" customHeight="1">
      <c r="A8" s="371" t="s">
        <v>91</v>
      </c>
      <c r="B8" s="366"/>
      <c r="C8" s="366"/>
      <c r="D8" s="366"/>
      <c r="E8" s="366"/>
      <c r="F8" s="366"/>
      <c r="G8" s="366"/>
      <c r="H8" s="366"/>
      <c r="I8" s="366"/>
      <c r="J8" s="366"/>
      <c r="K8" s="366"/>
      <c r="L8" s="366"/>
      <c r="M8" s="366"/>
      <c r="N8" s="366"/>
      <c r="O8" s="366"/>
      <c r="P8" s="366"/>
      <c r="Q8" s="366"/>
      <c r="R8" s="366"/>
      <c r="S8" s="366"/>
      <c r="T8" s="366"/>
    </row>
    <row r="9" spans="1:140" ht="12.75" customHeight="1">
      <c r="A9" s="371" t="s">
        <v>61</v>
      </c>
      <c r="B9" s="371"/>
      <c r="C9" s="371"/>
      <c r="D9" s="371"/>
      <c r="E9" s="371"/>
      <c r="F9" s="371"/>
      <c r="G9" s="371"/>
      <c r="H9" s="371"/>
      <c r="I9" s="371"/>
      <c r="J9" s="371"/>
      <c r="K9" s="371"/>
      <c r="L9" s="371"/>
      <c r="M9" s="371"/>
      <c r="N9" s="371"/>
      <c r="O9" s="371"/>
      <c r="P9" s="371"/>
      <c r="Q9" s="371"/>
      <c r="R9" s="371"/>
      <c r="S9" s="371"/>
      <c r="T9" s="371"/>
    </row>
    <row r="10" spans="1:140" ht="12.75" customHeight="1">
      <c r="A10" s="371" t="s">
        <v>147</v>
      </c>
      <c r="B10" s="371"/>
      <c r="C10" s="371"/>
      <c r="D10" s="371"/>
      <c r="E10" s="371"/>
      <c r="F10" s="371"/>
      <c r="G10" s="371"/>
      <c r="H10" s="371"/>
      <c r="I10" s="371"/>
      <c r="J10" s="371"/>
      <c r="K10" s="371"/>
      <c r="L10" s="371"/>
      <c r="M10" s="371"/>
      <c r="N10" s="371"/>
      <c r="O10" s="371"/>
      <c r="P10" s="371"/>
      <c r="Q10" s="371"/>
      <c r="R10" s="371"/>
      <c r="S10" s="371"/>
      <c r="T10" s="371"/>
    </row>
    <row r="11" spans="1:140">
      <c r="B11" s="73"/>
      <c r="C11" s="358"/>
      <c r="D11" s="358"/>
      <c r="E11" s="358"/>
      <c r="F11" s="140"/>
      <c r="G11" s="140"/>
      <c r="H11" s="140"/>
      <c r="I11" s="358"/>
      <c r="J11" s="358"/>
      <c r="K11" s="360"/>
    </row>
    <row r="12" spans="1:140">
      <c r="B12" s="73"/>
      <c r="D12" s="186"/>
      <c r="E12" s="108"/>
      <c r="F12" s="108"/>
      <c r="G12" s="108"/>
      <c r="H12" s="108"/>
    </row>
    <row r="13" spans="1:140" ht="33.75">
      <c r="A13" s="358" t="s">
        <v>8</v>
      </c>
      <c r="B13" s="361" t="s">
        <v>0</v>
      </c>
      <c r="C13" s="361" t="s">
        <v>7</v>
      </c>
      <c r="D13" s="142" t="s">
        <v>65</v>
      </c>
      <c r="E13" s="142" t="s">
        <v>64</v>
      </c>
      <c r="F13" s="141" t="s">
        <v>63</v>
      </c>
      <c r="G13" s="141" t="s">
        <v>77</v>
      </c>
      <c r="H13" s="141" t="s">
        <v>311</v>
      </c>
      <c r="I13" s="142" t="s">
        <v>310</v>
      </c>
      <c r="J13" s="142" t="s">
        <v>62</v>
      </c>
      <c r="K13" s="187"/>
      <c r="L13" s="188" t="str">
        <f>'II-H-4.1 Monthly'!B46</f>
        <v>TTRAR</v>
      </c>
      <c r="M13" s="188" t="str">
        <f>'II-H-4.1 Monthly'!B80</f>
        <v>EECR</v>
      </c>
      <c r="N13" s="188" t="str">
        <f>'II-H-4.1 Monthly'!B114</f>
        <v>TC3</v>
      </c>
      <c r="O13" s="188" t="str">
        <f>'II-H-4.1 Monthly'!B148</f>
        <v>MTEEE</v>
      </c>
      <c r="P13" s="188" t="str">
        <f>'II-H-4.1 Monthly'!B181</f>
        <v>SRC</v>
      </c>
      <c r="Q13" s="188" t="str">
        <f>Riders!A40</f>
        <v>Miscellaneous Riders</v>
      </c>
      <c r="R13" s="188" t="s">
        <v>67</v>
      </c>
      <c r="S13" s="189"/>
      <c r="T13" s="188" t="s">
        <v>72</v>
      </c>
    </row>
    <row r="14" spans="1:140">
      <c r="B14" s="361"/>
      <c r="C14" s="361"/>
      <c r="D14" s="97"/>
      <c r="E14" s="97"/>
      <c r="F14" s="97"/>
      <c r="G14" s="97"/>
      <c r="H14" s="97"/>
      <c r="I14" s="97"/>
      <c r="J14" s="97"/>
      <c r="K14" s="123"/>
    </row>
    <row r="15" spans="1:140" s="78" customFormat="1">
      <c r="A15" s="83" t="s">
        <v>9</v>
      </c>
      <c r="B15" s="78" t="s">
        <v>17</v>
      </c>
      <c r="C15" s="85" t="s">
        <v>4</v>
      </c>
      <c r="D15" s="90">
        <f>+'[6]Functional Rev Unadjusted'!C55</f>
        <v>15556436.27914482</v>
      </c>
      <c r="E15" s="90">
        <f>+'[6]Functional Rev Unadjusted'!$D$55</f>
        <v>37668799.275929242</v>
      </c>
      <c r="F15" s="90">
        <f>+'[6]Functional Rev Unadjusted'!$E$55</f>
        <v>278794523.54492581</v>
      </c>
      <c r="G15" s="90"/>
      <c r="H15" s="90">
        <f>+'TCRF and DCRF Rider Revenues'!P17</f>
        <v>60613641.559999987</v>
      </c>
      <c r="I15" s="90">
        <f>+'TCRF and DCRF Rider Revenues'!P5</f>
        <v>195216362.53999996</v>
      </c>
      <c r="J15" s="90">
        <f>SUM(D15:I15)</f>
        <v>587849763.19999981</v>
      </c>
      <c r="K15" s="124"/>
      <c r="L15" s="124">
        <f>VLOOKUP(_xlfn.CONCAT(L$13,$B15),Riders!$A$11:$Q$328,17,FALSE)</f>
        <v>2981645.4299999997</v>
      </c>
      <c r="M15" s="124">
        <f>VLOOKUP(_xlfn.CONCAT(M$13,$B15),Riders!$A$11:$Q$328,17,FALSE)</f>
        <v>14232786.710000001</v>
      </c>
      <c r="N15" s="124">
        <f>VLOOKUP(_xlfn.CONCAT(N$13,$B15),Riders!$A$11:$Q$328,17,FALSE)</f>
        <v>27997172.240000002</v>
      </c>
      <c r="O15" s="124">
        <f>VLOOKUP(_xlfn.CONCAT(O$13,$B15),Riders!$A$11:$Q$328,17,FALSE)</f>
        <v>1232462.07</v>
      </c>
      <c r="P15" s="124">
        <f>VLOOKUP(_xlfn.CONCAT(P$13,$B15),Riders!$A$11:$Q$328,17,FALSE)</f>
        <v>14176856.449999999</v>
      </c>
      <c r="Q15" s="90">
        <f>SUMIF(Riders!$A:$A,_xlfn.CONCAT('II-H-4.1 Functions'!Q$13,'II-H-4.1 Functions'!$B15),Riders!$Q:$Q)</f>
        <v>96.33</v>
      </c>
      <c r="R15" s="124">
        <f>L15+M15+N15+O15+P15+Q15</f>
        <v>60621019.230000004</v>
      </c>
      <c r="S15" s="124"/>
      <c r="T15" s="124">
        <f>R15+J15</f>
        <v>648470782.42999983</v>
      </c>
      <c r="V15" s="190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/>
      <c r="DY15" s="68"/>
      <c r="DZ15" s="68"/>
      <c r="EA15" s="68"/>
      <c r="EB15" s="68"/>
      <c r="EC15" s="68"/>
      <c r="ED15" s="68"/>
      <c r="EE15" s="68"/>
      <c r="EF15" s="68"/>
      <c r="EG15" s="68"/>
      <c r="EH15" s="68"/>
      <c r="EI15" s="68"/>
      <c r="EJ15" s="68"/>
    </row>
    <row r="16" spans="1:140" s="78" customFormat="1">
      <c r="C16" s="85"/>
      <c r="D16" s="280"/>
      <c r="E16" s="280"/>
      <c r="F16" s="280"/>
      <c r="G16" s="280"/>
      <c r="H16" s="280"/>
      <c r="I16" s="280"/>
      <c r="J16" s="280"/>
      <c r="K16" s="281"/>
      <c r="L16" s="124"/>
      <c r="M16" s="124"/>
      <c r="N16" s="124"/>
      <c r="O16" s="124"/>
      <c r="P16" s="124"/>
      <c r="Q16" s="124"/>
      <c r="R16" s="124"/>
      <c r="S16" s="124"/>
      <c r="T16" s="124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  <c r="CO16" s="68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68"/>
      <c r="DA16" s="68"/>
      <c r="DB16" s="68"/>
      <c r="DC16" s="68"/>
      <c r="DD16" s="68"/>
      <c r="DE16" s="68"/>
      <c r="DF16" s="68"/>
      <c r="DG16" s="68"/>
      <c r="DH16" s="68"/>
      <c r="DI16" s="68"/>
      <c r="DJ16" s="68"/>
      <c r="DK16" s="68"/>
      <c r="DL16" s="68"/>
      <c r="DM16" s="68"/>
      <c r="DN16" s="68"/>
      <c r="DO16" s="68"/>
      <c r="DP16" s="68"/>
      <c r="DQ16" s="68"/>
      <c r="DR16" s="68"/>
      <c r="DS16" s="68"/>
      <c r="DT16" s="68"/>
      <c r="DU16" s="68"/>
      <c r="DV16" s="68"/>
      <c r="DW16" s="68"/>
      <c r="DX16" s="68"/>
      <c r="DY16" s="68"/>
      <c r="DZ16" s="68"/>
      <c r="EA16" s="68"/>
      <c r="EB16" s="68"/>
      <c r="EC16" s="68"/>
      <c r="ED16" s="68"/>
      <c r="EE16" s="68"/>
      <c r="EF16" s="68"/>
      <c r="EG16" s="68"/>
      <c r="EH16" s="68"/>
      <c r="EI16" s="68"/>
      <c r="EJ16" s="68"/>
    </row>
    <row r="17" spans="1:140" s="78" customFormat="1">
      <c r="A17" s="83">
        <v>2</v>
      </c>
      <c r="B17" s="78" t="s">
        <v>150</v>
      </c>
      <c r="C17" s="85" t="s">
        <v>4</v>
      </c>
      <c r="D17" s="90">
        <f>+'[6]Functional Rev Unadjusted'!$C$56</f>
        <v>1657485.9296076566</v>
      </c>
      <c r="E17" s="90">
        <f>+'[6]Functional Rev Unadjusted'!$D$56</f>
        <v>5069882.1456802683</v>
      </c>
      <c r="F17" s="90">
        <f>+'[6]Functional Rev Unadjusted'!$E$56</f>
        <v>14297306.034712067</v>
      </c>
      <c r="G17" s="90"/>
      <c r="H17" s="90">
        <f>+'TCRF and DCRF Rider Revenues'!P18</f>
        <v>5782103.6000000015</v>
      </c>
      <c r="I17" s="90">
        <f>+'TCRF and DCRF Rider Revenues'!P6</f>
        <v>6531262.9400000004</v>
      </c>
      <c r="J17" s="90">
        <f>SUM(D17:I17)</f>
        <v>33338040.649999995</v>
      </c>
      <c r="K17" s="124"/>
      <c r="L17" s="124">
        <f>VLOOKUP(_xlfn.CONCAT(L$13,$B17),Riders!$A$11:$Q$328,17,FALSE)</f>
        <v>115912.84000000001</v>
      </c>
      <c r="M17" s="124">
        <f>VLOOKUP(_xlfn.CONCAT(M$13,$B17),Riders!$A$11:$Q$328,17,FALSE)</f>
        <v>627738</v>
      </c>
      <c r="N17" s="124">
        <f>VLOOKUP(_xlfn.CONCAT(N$13,$B17),Riders!$A$11:$Q$328,17,FALSE)</f>
        <v>4512469.45</v>
      </c>
      <c r="O17" s="124">
        <f>VLOOKUP(_xlfn.CONCAT(O$13,$B17),Riders!$A$11:$Q$328,17,FALSE)</f>
        <v>107094.36000000002</v>
      </c>
      <c r="P17" s="124">
        <f>VLOOKUP(_xlfn.CONCAT(P$13,$B17),Riders!$A$11:$Q$328,17,FALSE)</f>
        <v>706508.42999999993</v>
      </c>
      <c r="Q17" s="90">
        <f>SUMIF(Riders!$A:$A,_xlfn.CONCAT('II-H-4.1 Functions'!Q$13,'II-H-4.1 Functions'!$B17),Riders!$Q:$Q)</f>
        <v>54.79</v>
      </c>
      <c r="R17" s="124">
        <f>L17+M17+N17+O17+P17+Q17</f>
        <v>6069777.8700000001</v>
      </c>
      <c r="S17" s="124"/>
      <c r="T17" s="124">
        <f>R17+J17</f>
        <v>39407818.519999996</v>
      </c>
      <c r="V17" s="190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68"/>
      <c r="BY17" s="68"/>
      <c r="BZ17" s="68"/>
      <c r="CA17" s="68"/>
      <c r="CB17" s="68"/>
      <c r="CC17" s="68"/>
      <c r="CD17" s="68"/>
      <c r="CE17" s="68"/>
      <c r="CF17" s="68"/>
      <c r="CG17" s="68"/>
      <c r="CH17" s="68"/>
      <c r="CI17" s="68"/>
      <c r="CJ17" s="68"/>
      <c r="CK17" s="68"/>
      <c r="CL17" s="68"/>
      <c r="CM17" s="68"/>
      <c r="CN17" s="68"/>
      <c r="CO17" s="68"/>
      <c r="CP17" s="68"/>
      <c r="CQ17" s="68"/>
      <c r="CR17" s="68"/>
      <c r="CS17" s="68"/>
      <c r="CT17" s="68"/>
      <c r="CU17" s="68"/>
      <c r="CV17" s="68"/>
      <c r="CW17" s="68"/>
      <c r="CX17" s="68"/>
      <c r="CY17" s="68"/>
      <c r="CZ17" s="68"/>
      <c r="DA17" s="68"/>
      <c r="DB17" s="68"/>
      <c r="DC17" s="68"/>
      <c r="DD17" s="68"/>
      <c r="DE17" s="68"/>
      <c r="DF17" s="68"/>
      <c r="DG17" s="68"/>
      <c r="DH17" s="68"/>
      <c r="DI17" s="68"/>
      <c r="DJ17" s="68"/>
      <c r="DK17" s="68"/>
      <c r="DL17" s="68"/>
      <c r="DM17" s="68"/>
      <c r="DN17" s="68"/>
      <c r="DO17" s="68"/>
      <c r="DP17" s="68"/>
      <c r="DQ17" s="68"/>
      <c r="DR17" s="68"/>
      <c r="DS17" s="68"/>
      <c r="DT17" s="68"/>
      <c r="DU17" s="68"/>
      <c r="DV17" s="68"/>
      <c r="DW17" s="68"/>
      <c r="DX17" s="68"/>
      <c r="DY17" s="68"/>
      <c r="DZ17" s="68"/>
      <c r="EA17" s="68"/>
      <c r="EB17" s="68"/>
      <c r="EC17" s="68"/>
      <c r="ED17" s="68"/>
      <c r="EE17" s="68"/>
      <c r="EF17" s="68"/>
      <c r="EG17" s="68"/>
      <c r="EH17" s="68"/>
      <c r="EI17" s="68"/>
      <c r="EJ17" s="68"/>
    </row>
    <row r="18" spans="1:140" s="78" customFormat="1">
      <c r="A18" s="83"/>
      <c r="C18" s="85"/>
      <c r="D18" s="90"/>
      <c r="E18" s="90"/>
      <c r="F18" s="90"/>
      <c r="G18" s="90"/>
      <c r="H18" s="90"/>
      <c r="I18" s="90"/>
      <c r="J18" s="90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V18" s="190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68"/>
      <c r="DA18" s="68"/>
      <c r="DB18" s="68"/>
      <c r="DC18" s="68"/>
      <c r="DD18" s="68"/>
      <c r="DE18" s="68"/>
      <c r="DF18" s="68"/>
      <c r="DG18" s="68"/>
      <c r="DH18" s="68"/>
      <c r="DI18" s="68"/>
      <c r="DJ18" s="68"/>
      <c r="DK18" s="68"/>
      <c r="DL18" s="68"/>
      <c r="DM18" s="68"/>
      <c r="DN18" s="68"/>
      <c r="DO18" s="68"/>
      <c r="DP18" s="68"/>
      <c r="DQ18" s="68"/>
      <c r="DR18" s="68"/>
      <c r="DS18" s="68"/>
      <c r="DT18" s="68"/>
      <c r="DU18" s="68"/>
      <c r="DV18" s="68"/>
      <c r="DW18" s="68"/>
      <c r="DX18" s="68"/>
      <c r="DY18" s="68"/>
      <c r="DZ18" s="68"/>
      <c r="EA18" s="68"/>
      <c r="EB18" s="68"/>
      <c r="EC18" s="68"/>
      <c r="ED18" s="68"/>
      <c r="EE18" s="68"/>
      <c r="EF18" s="68"/>
      <c r="EG18" s="68"/>
      <c r="EH18" s="68"/>
      <c r="EI18" s="68"/>
      <c r="EJ18" s="68"/>
    </row>
    <row r="19" spans="1:140" s="78" customFormat="1">
      <c r="A19" s="83">
        <v>3</v>
      </c>
      <c r="B19" s="87" t="s">
        <v>81</v>
      </c>
      <c r="C19" s="74" t="s">
        <v>4</v>
      </c>
      <c r="D19" s="124">
        <f>+'[6]Functional Rev Unadjusted'!$C$60</f>
        <v>1724725.6887125589</v>
      </c>
      <c r="E19" s="124">
        <f>+'[6]Functional Rev Unadjusted'!$D$60</f>
        <v>10817957.661380259</v>
      </c>
      <c r="F19" s="124">
        <f>+'[6]Functional Rev Unadjusted'!$E$60</f>
        <v>136412271.29990721</v>
      </c>
      <c r="G19" s="124">
        <f>355.01*12</f>
        <v>4260.12</v>
      </c>
      <c r="H19" s="124">
        <f>+'TCRF and DCRF Rider Revenues'!P19</f>
        <v>26612208.369999997</v>
      </c>
      <c r="I19" s="124">
        <f>+'TCRF and DCRF Rider Revenues'!P7</f>
        <v>107501111.58</v>
      </c>
      <c r="J19" s="90">
        <f t="shared" ref="J19:J20" si="0">SUM(D19:I19)</f>
        <v>283072534.72000003</v>
      </c>
      <c r="K19" s="124"/>
      <c r="L19" s="124">
        <f>VLOOKUP(_xlfn.CONCAT(L$13,$B19),Riders!$A$11:$Q$328,17,FALSE)</f>
        <v>1471094.95</v>
      </c>
      <c r="M19" s="124">
        <f>VLOOKUP(_xlfn.CONCAT(M$13,$B19),Riders!$A$11:$Q$328,17,FALSE)</f>
        <v>8162304.1600000001</v>
      </c>
      <c r="N19" s="124">
        <f>VLOOKUP(_xlfn.CONCAT(N$13,$B19),Riders!$A$11:$Q$328,17,FALSE)</f>
        <v>27005442.690000001</v>
      </c>
      <c r="O19" s="124">
        <f>VLOOKUP(_xlfn.CONCAT(O$13,$B19),Riders!$A$11:$Q$328,17,FALSE)</f>
        <v>438124.11</v>
      </c>
      <c r="P19" s="124">
        <f>VLOOKUP(_xlfn.CONCAT(P$13,$B19),Riders!$A$11:$Q$328,17,FALSE)</f>
        <v>7674626.1499999994</v>
      </c>
      <c r="Q19" s="124">
        <f>SUMIF(Riders!$A:$A,_xlfn.CONCAT('II-H-4.1 Functions'!Q$13,'II-H-4.1 Functions'!$B19),Riders!$Q:$Q)</f>
        <v>-10.190000000000001</v>
      </c>
      <c r="R19" s="124">
        <f>L19+M19+N19+O19+P19+Q19</f>
        <v>44751581.869999997</v>
      </c>
      <c r="S19" s="124"/>
      <c r="T19" s="124">
        <f>R19+J19</f>
        <v>327824116.59000003</v>
      </c>
      <c r="V19" s="190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  <c r="DO19" s="68"/>
      <c r="DP19" s="68"/>
      <c r="DQ19" s="68"/>
      <c r="DR19" s="68"/>
      <c r="DS19" s="68"/>
      <c r="DT19" s="68"/>
      <c r="DU19" s="68"/>
      <c r="DV19" s="68"/>
      <c r="DW19" s="68"/>
      <c r="DX19" s="68"/>
      <c r="DY19" s="68"/>
      <c r="DZ19" s="68"/>
      <c r="EA19" s="68"/>
      <c r="EB19" s="68"/>
      <c r="EC19" s="68"/>
      <c r="ED19" s="68"/>
      <c r="EE19" s="68"/>
      <c r="EF19" s="68"/>
      <c r="EG19" s="68"/>
      <c r="EH19" s="68"/>
      <c r="EI19" s="68"/>
      <c r="EJ19" s="68"/>
    </row>
    <row r="20" spans="1:140" s="78" customFormat="1">
      <c r="A20" s="83">
        <v>4</v>
      </c>
      <c r="B20" s="87" t="s">
        <v>85</v>
      </c>
      <c r="C20" s="74" t="s">
        <v>4</v>
      </c>
      <c r="D20" s="149">
        <f>+'[6]Functional Rev Unadjusted'!$C$59</f>
        <v>13867.347843947808</v>
      </c>
      <c r="E20" s="149">
        <f>+'[6]Functional Rev Unadjusted'!$D$59</f>
        <v>86979.850090504304</v>
      </c>
      <c r="F20" s="149">
        <f>+'[6]Functional Rev Unadjusted'!$E$59</f>
        <v>17581110.182065543</v>
      </c>
      <c r="G20" s="149"/>
      <c r="H20" s="149">
        <f>+'TCRF and DCRF Rider Revenues'!P20</f>
        <v>3442679.5900000003</v>
      </c>
      <c r="I20" s="149">
        <f>+'TCRF and DCRF Rider Revenues'!P8</f>
        <v>13326752.060000002</v>
      </c>
      <c r="J20" s="149">
        <f t="shared" si="0"/>
        <v>34451389.030000001</v>
      </c>
      <c r="K20" s="124"/>
      <c r="L20" s="149">
        <f>VLOOKUP(_xlfn.CONCAT(L$13,$B20),Riders!$A$11:$Q$328,17,FALSE)</f>
        <v>189910.7</v>
      </c>
      <c r="M20" s="149">
        <f>VLOOKUP(_xlfn.CONCAT(M$13,$B20),Riders!$A$11:$Q$328,17,FALSE)</f>
        <v>1347101.5699999998</v>
      </c>
      <c r="N20" s="149">
        <f>VLOOKUP(_xlfn.CONCAT(N$13,$B20),Riders!$A$11:$Q$328,17,FALSE)</f>
        <v>2541524.5300000003</v>
      </c>
      <c r="O20" s="149">
        <f>VLOOKUP(_xlfn.CONCAT(O$13,$B20),Riders!$A$11:$Q$328,17,FALSE)</f>
        <v>58722.27</v>
      </c>
      <c r="P20" s="149">
        <f>VLOOKUP(_xlfn.CONCAT(P$13,$B20),Riders!$A$11:$Q$328,17,FALSE)</f>
        <v>812052.25</v>
      </c>
      <c r="Q20" s="149">
        <f>SUMIF(Riders!$A:$A,_xlfn.CONCAT('II-H-4.1 Functions'!Q$13,'II-H-4.1 Functions'!$B20),Riders!$Q:$Q)</f>
        <v>0</v>
      </c>
      <c r="R20" s="124">
        <f>L20+M20+N20+O20+P20+Q20</f>
        <v>4949311.32</v>
      </c>
      <c r="S20" s="124"/>
      <c r="T20" s="149">
        <f>R20+J20</f>
        <v>39400700.350000001</v>
      </c>
      <c r="V20" s="190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68"/>
      <c r="DA20" s="68"/>
      <c r="DB20" s="68"/>
      <c r="DC20" s="68"/>
      <c r="DD20" s="68"/>
      <c r="DE20" s="68"/>
      <c r="DF20" s="68"/>
      <c r="DG20" s="68"/>
      <c r="DH20" s="68"/>
      <c r="DI20" s="68"/>
      <c r="DJ20" s="68"/>
      <c r="DK20" s="68"/>
      <c r="DL20" s="68"/>
      <c r="DM20" s="68"/>
      <c r="DN20" s="68"/>
      <c r="DO20" s="68"/>
      <c r="DP20" s="68"/>
      <c r="DQ20" s="68"/>
      <c r="DR20" s="68"/>
      <c r="DS20" s="68"/>
      <c r="DT20" s="68"/>
      <c r="DU20" s="68"/>
      <c r="DV20" s="68"/>
      <c r="DW20" s="68"/>
      <c r="DX20" s="68"/>
      <c r="DY20" s="68"/>
      <c r="DZ20" s="68"/>
      <c r="EA20" s="68"/>
      <c r="EB20" s="68"/>
      <c r="EC20" s="68"/>
      <c r="ED20" s="68"/>
      <c r="EE20" s="68"/>
      <c r="EF20" s="68"/>
      <c r="EG20" s="68"/>
      <c r="EH20" s="68"/>
      <c r="EI20" s="68"/>
      <c r="EJ20" s="68"/>
    </row>
    <row r="21" spans="1:140" s="78" customFormat="1">
      <c r="A21" s="83">
        <v>5</v>
      </c>
      <c r="B21" s="96" t="s">
        <v>18</v>
      </c>
      <c r="C21" s="85"/>
      <c r="D21" s="231">
        <f t="shared" ref="D21:J21" si="1">SUM(D19:D20)</f>
        <v>1738593.0365565068</v>
      </c>
      <c r="E21" s="231">
        <f t="shared" si="1"/>
        <v>10904937.511470763</v>
      </c>
      <c r="F21" s="231">
        <f t="shared" si="1"/>
        <v>153993381.48197275</v>
      </c>
      <c r="G21" s="231">
        <f t="shared" si="1"/>
        <v>4260.12</v>
      </c>
      <c r="H21" s="231">
        <f t="shared" si="1"/>
        <v>30054887.959999997</v>
      </c>
      <c r="I21" s="231">
        <f t="shared" si="1"/>
        <v>120827863.64</v>
      </c>
      <c r="J21" s="231">
        <f t="shared" si="1"/>
        <v>317523923.75</v>
      </c>
      <c r="K21" s="113"/>
      <c r="L21" s="231">
        <f t="shared" ref="L21:Q21" si="2">SUM(L19:L20)</f>
        <v>1661005.65</v>
      </c>
      <c r="M21" s="231">
        <f t="shared" si="2"/>
        <v>9509405.7300000004</v>
      </c>
      <c r="N21" s="231">
        <f>SUM(N19:N20)</f>
        <v>29546967.220000003</v>
      </c>
      <c r="O21" s="231">
        <f t="shared" si="2"/>
        <v>496846.38</v>
      </c>
      <c r="P21" s="231">
        <f t="shared" si="2"/>
        <v>8486678.3999999985</v>
      </c>
      <c r="Q21" s="231">
        <f t="shared" si="2"/>
        <v>-10.190000000000001</v>
      </c>
      <c r="R21" s="233">
        <f>SUM(R19:R20)</f>
        <v>49700893.189999998</v>
      </c>
      <c r="S21" s="124"/>
      <c r="T21" s="124">
        <f>R21+J21</f>
        <v>367224816.94</v>
      </c>
      <c r="V21" s="190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  <c r="BW21" s="68"/>
      <c r="BX21" s="68"/>
      <c r="BY21" s="68"/>
      <c r="BZ21" s="68"/>
      <c r="CA21" s="68"/>
      <c r="CB21" s="68"/>
      <c r="CC21" s="68"/>
      <c r="CD21" s="68"/>
      <c r="CE21" s="68"/>
      <c r="CF21" s="68"/>
      <c r="CG21" s="68"/>
      <c r="CH21" s="68"/>
      <c r="CI21" s="68"/>
      <c r="CJ21" s="68"/>
      <c r="CK21" s="68"/>
      <c r="CL21" s="68"/>
      <c r="CM21" s="68"/>
      <c r="CN21" s="68"/>
      <c r="CO21" s="68"/>
      <c r="CP21" s="68"/>
      <c r="CQ21" s="68"/>
      <c r="CR21" s="68"/>
      <c r="CS21" s="68"/>
      <c r="CT21" s="68"/>
      <c r="CU21" s="68"/>
      <c r="CV21" s="68"/>
      <c r="CW21" s="68"/>
      <c r="CX21" s="68"/>
      <c r="CY21" s="68"/>
      <c r="CZ21" s="68"/>
      <c r="DA21" s="68"/>
      <c r="DB21" s="68"/>
      <c r="DC21" s="68"/>
      <c r="DD21" s="68"/>
      <c r="DE21" s="68"/>
      <c r="DF21" s="68"/>
      <c r="DG21" s="68"/>
      <c r="DH21" s="68"/>
      <c r="DI21" s="68"/>
      <c r="DJ21" s="68"/>
      <c r="DK21" s="68"/>
      <c r="DL21" s="68"/>
      <c r="DM21" s="68"/>
      <c r="DN21" s="68"/>
      <c r="DO21" s="68"/>
      <c r="DP21" s="68"/>
      <c r="DQ21" s="68"/>
      <c r="DR21" s="68"/>
      <c r="DS21" s="68"/>
      <c r="DT21" s="68"/>
      <c r="DU21" s="68"/>
      <c r="DV21" s="68"/>
      <c r="DW21" s="68"/>
      <c r="DX21" s="68"/>
      <c r="DY21" s="68"/>
      <c r="DZ21" s="68"/>
      <c r="EA21" s="68"/>
      <c r="EB21" s="68"/>
      <c r="EC21" s="68"/>
      <c r="ED21" s="68"/>
      <c r="EE21" s="68"/>
      <c r="EF21" s="68"/>
      <c r="EG21" s="68"/>
      <c r="EH21" s="68"/>
      <c r="EI21" s="68"/>
      <c r="EJ21" s="68"/>
    </row>
    <row r="22" spans="1:140" s="78" customFormat="1">
      <c r="B22" s="146"/>
      <c r="C22" s="85"/>
      <c r="D22" s="231"/>
      <c r="E22" s="231"/>
      <c r="F22" s="231"/>
      <c r="G22" s="231"/>
      <c r="H22" s="231"/>
      <c r="I22" s="231"/>
      <c r="J22" s="231"/>
      <c r="K22" s="113"/>
      <c r="L22" s="124"/>
      <c r="M22" s="124"/>
      <c r="N22" s="124"/>
      <c r="O22" s="124"/>
      <c r="P22" s="124"/>
      <c r="Q22" s="124"/>
      <c r="R22" s="124"/>
      <c r="S22" s="124"/>
      <c r="T22" s="124"/>
      <c r="V22" s="190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  <c r="CO22" s="68"/>
      <c r="CP22" s="68"/>
      <c r="CQ22" s="68"/>
      <c r="CR22" s="68"/>
      <c r="CS22" s="68"/>
      <c r="CT22" s="68"/>
      <c r="CU22" s="68"/>
      <c r="CV22" s="68"/>
      <c r="CW22" s="68"/>
      <c r="CX22" s="68"/>
      <c r="CY22" s="68"/>
      <c r="CZ22" s="68"/>
      <c r="DA22" s="68"/>
      <c r="DB22" s="68"/>
      <c r="DC22" s="68"/>
      <c r="DD22" s="68"/>
      <c r="DE22" s="68"/>
      <c r="DF22" s="68"/>
      <c r="DG22" s="68"/>
      <c r="DH22" s="68"/>
      <c r="DI22" s="68"/>
      <c r="DJ22" s="68"/>
      <c r="DK22" s="68"/>
      <c r="DL22" s="68"/>
      <c r="DM22" s="68"/>
      <c r="DN22" s="68"/>
      <c r="DO22" s="68"/>
      <c r="DP22" s="68"/>
      <c r="DQ22" s="68"/>
      <c r="DR22" s="68"/>
      <c r="DS22" s="68"/>
      <c r="DT22" s="68"/>
      <c r="DU22" s="68"/>
      <c r="DV22" s="68"/>
      <c r="DW22" s="68"/>
      <c r="DX22" s="68"/>
      <c r="DY22" s="68"/>
      <c r="DZ22" s="68"/>
      <c r="EA22" s="68"/>
      <c r="EB22" s="68"/>
      <c r="EC22" s="68"/>
      <c r="ED22" s="68"/>
      <c r="EE22" s="68"/>
      <c r="EF22" s="68"/>
      <c r="EG22" s="68"/>
      <c r="EH22" s="68"/>
      <c r="EI22" s="68"/>
      <c r="EJ22" s="68"/>
    </row>
    <row r="23" spans="1:140" s="78" customFormat="1">
      <c r="A23" s="83">
        <v>6</v>
      </c>
      <c r="B23" s="87" t="s">
        <v>82</v>
      </c>
      <c r="C23" s="74" t="s">
        <v>5</v>
      </c>
      <c r="D23" s="90">
        <f>+'[6]Functional Rev Unadjusted'!$C$65</f>
        <v>48169.995692148492</v>
      </c>
      <c r="E23" s="90">
        <f>+'[6]Functional Rev Unadjusted'!$D$65</f>
        <v>831473.10931467754</v>
      </c>
      <c r="F23" s="90">
        <f>+'[6]Functional Rev Unadjusted'!$E$65</f>
        <v>2328029.1349931741</v>
      </c>
      <c r="G23" s="90"/>
      <c r="H23" s="90">
        <f>+'TCRF and DCRF Rider Revenues'!P21-H25</f>
        <v>421784.89</v>
      </c>
      <c r="I23" s="90">
        <f>+'TCRF and DCRF Rider Revenues'!P9-I25</f>
        <v>2618516.4500000002</v>
      </c>
      <c r="J23" s="90">
        <f t="shared" ref="J23:J26" si="3">SUM(D23:I23)</f>
        <v>6247973.5800000001</v>
      </c>
      <c r="K23" s="124"/>
      <c r="L23" s="124">
        <f>VLOOKUP(_xlfn.CONCAT(L$13,$B23),Riders!$A$11:$Q$328,17,FALSE)</f>
        <v>32510.42</v>
      </c>
      <c r="M23" s="124">
        <f>VLOOKUP(_xlfn.CONCAT(M$13,$B23),Riders!$A$11:$Q$328,17,FALSE)</f>
        <v>98002.21</v>
      </c>
      <c r="N23" s="124">
        <f>VLOOKUP(_xlfn.CONCAT(N$13,$B23),Riders!$A$11:$Q$328,17,FALSE)</f>
        <v>452588.2</v>
      </c>
      <c r="O23" s="124">
        <f>VLOOKUP(_xlfn.CONCAT(O$13,$B23),Riders!$A$11:$Q$328,17,FALSE)</f>
        <v>5785.0499999999993</v>
      </c>
      <c r="P23" s="124">
        <f>VLOOKUP(_xlfn.CONCAT(P$13,$B23),Riders!$A$11:$Q$328,17,FALSE)</f>
        <v>97823.41</v>
      </c>
      <c r="Q23" s="124">
        <f>SUMIF(Riders!$A:$A,_xlfn.CONCAT('II-H-4.1 Functions'!Q$13,'II-H-4.1 Functions'!$B23),Riders!$Q:$Q)</f>
        <v>0</v>
      </c>
      <c r="R23" s="124">
        <f>L23+M23+N23+O23+P23+Q23</f>
        <v>686709.29000000015</v>
      </c>
      <c r="S23" s="124"/>
      <c r="T23" s="124">
        <f>R23+J23</f>
        <v>6934682.8700000001</v>
      </c>
      <c r="V23" s="190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  <c r="EE23" s="68"/>
      <c r="EF23" s="68"/>
      <c r="EG23" s="68"/>
      <c r="EH23" s="68"/>
      <c r="EI23" s="68"/>
      <c r="EJ23" s="68"/>
    </row>
    <row r="24" spans="1:140" s="78" customFormat="1">
      <c r="A24" s="83">
        <v>7</v>
      </c>
      <c r="B24" s="87" t="s">
        <v>83</v>
      </c>
      <c r="C24" s="74" t="s">
        <v>5</v>
      </c>
      <c r="D24" s="124">
        <f>+'[6]Functional Rev Unadjusted'!$C$64</f>
        <v>41851.309083640961</v>
      </c>
      <c r="E24" s="124">
        <f>+'[6]Functional Rev Unadjusted'!$D$64</f>
        <v>722404.84128456167</v>
      </c>
      <c r="F24" s="124">
        <f>+'[6]Functional Rev Unadjusted'!$E$64</f>
        <v>25767464.11963176</v>
      </c>
      <c r="G24" s="124"/>
      <c r="H24" s="90">
        <f>+'TCRF and DCRF Rider Revenues'!P22-H26</f>
        <v>4675651.0500000007</v>
      </c>
      <c r="I24" s="90">
        <f>+'TCRF and DCRF Rider Revenues'!P10-I26</f>
        <v>33583173.549999997</v>
      </c>
      <c r="J24" s="90">
        <f t="shared" si="3"/>
        <v>64790544.86999996</v>
      </c>
      <c r="K24" s="124"/>
      <c r="L24" s="124">
        <f>VLOOKUP(_xlfn.CONCAT(L$13,$B24),Riders!$A$11:$Q$328,17,FALSE)</f>
        <v>359059.31000000006</v>
      </c>
      <c r="M24" s="124">
        <f>VLOOKUP(_xlfn.CONCAT(M$13,$B24),Riders!$A$11:$Q$328,17,FALSE)</f>
        <v>1194247.28</v>
      </c>
      <c r="N24" s="124">
        <f>VLOOKUP(_xlfn.CONCAT(N$13,$B24),Riders!$A$11:$Q$328,17,FALSE)</f>
        <v>4901564.6399999997</v>
      </c>
      <c r="O24" s="124">
        <f>VLOOKUP(_xlfn.CONCAT(O$13,$B24),Riders!$A$11:$Q$328,17,FALSE)</f>
        <v>73420.28</v>
      </c>
      <c r="P24" s="124">
        <f>VLOOKUP(_xlfn.CONCAT(P$13,$B24),Riders!$A$11:$Q$328,17,FALSE)</f>
        <v>1200696.0600000003</v>
      </c>
      <c r="Q24" s="124">
        <f>SUMIF(Riders!$A:$A,_xlfn.CONCAT('II-H-4.1 Functions'!Q$13,'II-H-4.1 Functions'!$B24),Riders!$Q:$Q)</f>
        <v>0</v>
      </c>
      <c r="R24" s="124">
        <f>L24+M24+N24+O24+P24+Q24</f>
        <v>7728987.5700000003</v>
      </c>
      <c r="S24" s="124"/>
      <c r="T24" s="124">
        <f>R24+J24</f>
        <v>72519532.439999968</v>
      </c>
      <c r="V24" s="190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  <c r="CO24" s="68"/>
      <c r="CP24" s="68"/>
      <c r="CQ24" s="68"/>
      <c r="CR24" s="68"/>
      <c r="CS24" s="68"/>
      <c r="CT24" s="68"/>
      <c r="CU24" s="68"/>
      <c r="CV24" s="68"/>
      <c r="CW24" s="68"/>
      <c r="CX24" s="68"/>
      <c r="CY24" s="68"/>
      <c r="CZ24" s="68"/>
      <c r="DA24" s="68"/>
      <c r="DB24" s="68"/>
      <c r="DC24" s="68"/>
      <c r="DD24" s="68"/>
      <c r="DE24" s="68"/>
      <c r="DF24" s="68"/>
      <c r="DG24" s="68"/>
      <c r="DH24" s="68"/>
      <c r="DI24" s="68"/>
      <c r="DJ24" s="68"/>
      <c r="DK24" s="68"/>
      <c r="DL24" s="68"/>
      <c r="DM24" s="68"/>
      <c r="DN24" s="68"/>
      <c r="DO24" s="68"/>
      <c r="DP24" s="68"/>
      <c r="DQ24" s="68"/>
      <c r="DR24" s="68"/>
      <c r="DS24" s="68"/>
      <c r="DT24" s="68"/>
      <c r="DU24" s="68"/>
      <c r="DV24" s="68"/>
      <c r="DW24" s="68"/>
      <c r="DX24" s="68"/>
      <c r="DY24" s="68"/>
      <c r="DZ24" s="68"/>
      <c r="EA24" s="68"/>
      <c r="EB24" s="68"/>
      <c r="EC24" s="68"/>
      <c r="ED24" s="68"/>
      <c r="EE24" s="68"/>
      <c r="EF24" s="68"/>
      <c r="EG24" s="68"/>
      <c r="EH24" s="68"/>
      <c r="EI24" s="68"/>
      <c r="EJ24" s="68"/>
    </row>
    <row r="25" spans="1:140" s="78" customFormat="1">
      <c r="A25" s="83">
        <v>8</v>
      </c>
      <c r="B25" s="87" t="s">
        <v>148</v>
      </c>
      <c r="C25" s="74" t="s">
        <v>5</v>
      </c>
      <c r="D25" s="124">
        <f>+'[6]Functional Rev Unadjusted'!$C$70</f>
        <v>792.43187978194953</v>
      </c>
      <c r="E25" s="124">
        <f>+'[6]Functional Rev Unadjusted'!$D$70</f>
        <v>13678.344569787201</v>
      </c>
      <c r="F25" s="124">
        <f>+'[6]Functional Rev Unadjusted'!$E$70</f>
        <v>58063.963550430926</v>
      </c>
      <c r="G25" s="124"/>
      <c r="H25" s="124">
        <f>+'Prm Sb Rev Rider'!GP75</f>
        <v>10636.059999999998</v>
      </c>
      <c r="I25" s="124">
        <f>+'Primary Sub'!O14</f>
        <v>57797.47</v>
      </c>
      <c r="J25" s="90">
        <f t="shared" si="3"/>
        <v>140968.27000000008</v>
      </c>
      <c r="K25" s="124"/>
      <c r="L25" s="124">
        <f>VLOOKUP(_xlfn.CONCAT(L$13,$B25),Riders!$A$11:$Q$328,17,FALSE)</f>
        <v>814.53</v>
      </c>
      <c r="M25" s="124">
        <f>VLOOKUP(_xlfn.CONCAT(M$13,$B25),Riders!$A$11:$Q$328,17,FALSE)</f>
        <v>2231.71</v>
      </c>
      <c r="N25" s="124">
        <f>VLOOKUP(_xlfn.CONCAT(N$13,$B25),Riders!$A$11:$Q$328,17,FALSE)</f>
        <v>6733.65</v>
      </c>
      <c r="O25" s="124">
        <f>VLOOKUP(_xlfn.CONCAT(O$13,$B25),Riders!$A$11:$Q$328,17,FALSE)</f>
        <v>182.56</v>
      </c>
      <c r="P25" s="124">
        <f>VLOOKUP(_xlfn.CONCAT(P$13,$B25),Riders!$A$11:$Q$328,17,FALSE)</f>
        <v>1933.9899999999998</v>
      </c>
      <c r="Q25" s="124">
        <f>SUMIF(Riders!$A:$A,_xlfn.CONCAT('II-H-4.1 Functions'!Q$13,'II-H-4.1 Functions'!$B25),Riders!$Q:$Q)</f>
        <v>0</v>
      </c>
      <c r="R25" s="124">
        <f>L25+M25+N25+O25+P25+Q25</f>
        <v>11896.439999999999</v>
      </c>
      <c r="S25" s="124"/>
      <c r="T25" s="124">
        <f>R25+J25</f>
        <v>152864.71000000008</v>
      </c>
      <c r="V25" s="190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8"/>
      <c r="BU25" s="68"/>
      <c r="BV25" s="68"/>
      <c r="BW25" s="68"/>
      <c r="BX25" s="68"/>
      <c r="BY25" s="68"/>
      <c r="BZ25" s="68"/>
      <c r="CA25" s="68"/>
      <c r="CB25" s="68"/>
      <c r="CC25" s="68"/>
      <c r="CD25" s="68"/>
      <c r="CE25" s="68"/>
      <c r="CF25" s="68"/>
      <c r="CG25" s="68"/>
      <c r="CH25" s="68"/>
      <c r="CI25" s="68"/>
      <c r="CJ25" s="68"/>
      <c r="CK25" s="68"/>
      <c r="CL25" s="68"/>
      <c r="CM25" s="68"/>
      <c r="CN25" s="68"/>
      <c r="CO25" s="68"/>
      <c r="CP25" s="68"/>
      <c r="CQ25" s="68"/>
      <c r="CR25" s="68"/>
      <c r="CS25" s="68"/>
      <c r="CT25" s="68"/>
      <c r="CU25" s="68"/>
      <c r="CV25" s="68"/>
      <c r="CW25" s="68"/>
      <c r="CX25" s="68"/>
      <c r="CY25" s="68"/>
      <c r="CZ25" s="68"/>
      <c r="DA25" s="68"/>
      <c r="DB25" s="68"/>
      <c r="DC25" s="68"/>
      <c r="DD25" s="68"/>
      <c r="DE25" s="68"/>
      <c r="DF25" s="68"/>
      <c r="DG25" s="68"/>
      <c r="DH25" s="68"/>
      <c r="DI25" s="68"/>
      <c r="DJ25" s="68"/>
      <c r="DK25" s="68"/>
      <c r="DL25" s="68"/>
      <c r="DM25" s="68"/>
      <c r="DN25" s="68"/>
      <c r="DO25" s="68"/>
      <c r="DP25" s="68"/>
      <c r="DQ25" s="68"/>
      <c r="DR25" s="68"/>
      <c r="DS25" s="68"/>
      <c r="DT25" s="68"/>
      <c r="DU25" s="68"/>
      <c r="DV25" s="68"/>
      <c r="DW25" s="68"/>
      <c r="DX25" s="68"/>
      <c r="DY25" s="68"/>
      <c r="DZ25" s="68"/>
      <c r="EA25" s="68"/>
      <c r="EB25" s="68"/>
      <c r="EC25" s="68"/>
      <c r="ED25" s="68"/>
      <c r="EE25" s="68"/>
      <c r="EF25" s="68"/>
      <c r="EG25" s="68"/>
      <c r="EH25" s="68"/>
      <c r="EI25" s="68"/>
      <c r="EJ25" s="68"/>
    </row>
    <row r="26" spans="1:140" s="78" customFormat="1">
      <c r="A26" s="83">
        <v>9</v>
      </c>
      <c r="B26" s="87" t="s">
        <v>149</v>
      </c>
      <c r="C26" s="74" t="s">
        <v>5</v>
      </c>
      <c r="D26" s="124">
        <f>+'[6]Functional Rev Unadjusted'!$C$69</f>
        <v>5088.5361879984439</v>
      </c>
      <c r="E26" s="124">
        <f>+'[6]Functional Rev Unadjusted'!$D$69</f>
        <v>87834.365465491515</v>
      </c>
      <c r="F26" s="124">
        <f>+'[6]Functional Rev Unadjusted'!$E$69</f>
        <v>6556304.3483465342</v>
      </c>
      <c r="G26" s="124"/>
      <c r="H26" s="124">
        <f>+'Prm Sb Rev Rider'!GP79</f>
        <v>1195301.3399999999</v>
      </c>
      <c r="I26" s="124">
        <f>+'Primary Sub'!O15</f>
        <v>8181172.6900000013</v>
      </c>
      <c r="J26" s="90">
        <f t="shared" si="3"/>
        <v>16025701.280000025</v>
      </c>
      <c r="K26" s="124"/>
      <c r="L26" s="124">
        <f>VLOOKUP(_xlfn.CONCAT(L$13,$B26),Riders!$A$11:$Q$328,17,FALSE)</f>
        <v>92077.739999999991</v>
      </c>
      <c r="M26" s="124">
        <f>VLOOKUP(_xlfn.CONCAT(M$13,$B26),Riders!$A$11:$Q$328,17,FALSE)</f>
        <v>288623.28999999998</v>
      </c>
      <c r="N26" s="124">
        <f>VLOOKUP(_xlfn.CONCAT(N$13,$B26),Riders!$A$11:$Q$328,17,FALSE)</f>
        <v>694304.52</v>
      </c>
      <c r="O26" s="124">
        <f>VLOOKUP(_xlfn.CONCAT(O$13,$B26),Riders!$A$11:$Q$328,17,FALSE)</f>
        <v>16763.850000000006</v>
      </c>
      <c r="P26" s="124">
        <f>VLOOKUP(_xlfn.CONCAT(P$13,$B26),Riders!$A$11:$Q$328,17,FALSE)</f>
        <v>197165.24</v>
      </c>
      <c r="Q26" s="124">
        <f>SUMIF(Riders!$A:$A,_xlfn.CONCAT('II-H-4.1 Functions'!Q$13,'II-H-4.1 Functions'!$B26),Riders!$Q:$Q)</f>
        <v>0</v>
      </c>
      <c r="R26" s="124">
        <f>L26+M26+N26+O26+P26+Q26</f>
        <v>1288934.6400000001</v>
      </c>
      <c r="S26" s="124"/>
      <c r="T26" s="124">
        <f>R26+J26</f>
        <v>17314635.920000024</v>
      </c>
      <c r="V26" s="190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68"/>
      <c r="BV26" s="68"/>
      <c r="BW26" s="68"/>
      <c r="BX26" s="68"/>
      <c r="BY26" s="68"/>
      <c r="BZ26" s="68"/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68"/>
      <c r="CM26" s="68"/>
      <c r="CN26" s="68"/>
      <c r="CO26" s="68"/>
      <c r="CP26" s="68"/>
      <c r="CQ26" s="68"/>
      <c r="CR26" s="68"/>
      <c r="CS26" s="68"/>
      <c r="CT26" s="68"/>
      <c r="CU26" s="68"/>
      <c r="CV26" s="68"/>
      <c r="CW26" s="68"/>
      <c r="CX26" s="68"/>
      <c r="CY26" s="68"/>
      <c r="CZ26" s="68"/>
      <c r="DA26" s="68"/>
      <c r="DB26" s="68"/>
      <c r="DC26" s="68"/>
      <c r="DD26" s="68"/>
      <c r="DE26" s="68"/>
      <c r="DF26" s="68"/>
      <c r="DG26" s="68"/>
      <c r="DH26" s="68"/>
      <c r="DI26" s="68"/>
      <c r="DJ26" s="68"/>
      <c r="DK26" s="68"/>
      <c r="DL26" s="68"/>
      <c r="DM26" s="68"/>
      <c r="DN26" s="68"/>
      <c r="DO26" s="68"/>
      <c r="DP26" s="68"/>
      <c r="DQ26" s="68"/>
      <c r="DR26" s="68"/>
      <c r="DS26" s="68"/>
      <c r="DT26" s="68"/>
      <c r="DU26" s="68"/>
      <c r="DV26" s="68"/>
      <c r="DW26" s="68"/>
      <c r="DX26" s="68"/>
      <c r="DY26" s="68"/>
      <c r="DZ26" s="68"/>
      <c r="EA26" s="68"/>
      <c r="EB26" s="68"/>
      <c r="EC26" s="68"/>
      <c r="ED26" s="68"/>
      <c r="EE26" s="68"/>
      <c r="EF26" s="68"/>
      <c r="EG26" s="68"/>
      <c r="EH26" s="68"/>
      <c r="EI26" s="68"/>
      <c r="EJ26" s="68"/>
    </row>
    <row r="27" spans="1:140" s="78" customFormat="1">
      <c r="A27" s="83">
        <v>10</v>
      </c>
      <c r="B27" s="78" t="s">
        <v>19</v>
      </c>
      <c r="C27" s="74"/>
      <c r="D27" s="233">
        <f>SUM(D23:D26)</f>
        <v>95902.272843569837</v>
      </c>
      <c r="E27" s="233">
        <f t="shared" ref="E27:J27" si="4">SUM(E23:E26)</f>
        <v>1655390.6606345179</v>
      </c>
      <c r="F27" s="233">
        <f t="shared" si="4"/>
        <v>34709861.566521898</v>
      </c>
      <c r="G27" s="233">
        <f t="shared" si="4"/>
        <v>0</v>
      </c>
      <c r="H27" s="233">
        <f t="shared" si="4"/>
        <v>6303373.3399999999</v>
      </c>
      <c r="I27" s="233">
        <f t="shared" si="4"/>
        <v>44440660.159999996</v>
      </c>
      <c r="J27" s="233">
        <f t="shared" si="4"/>
        <v>87205187.999999985</v>
      </c>
      <c r="K27" s="124"/>
      <c r="L27" s="233">
        <f t="shared" ref="L27:Q27" si="5">SUM(L23:L26)</f>
        <v>484462.00000000006</v>
      </c>
      <c r="M27" s="233">
        <f t="shared" si="5"/>
        <v>1583104.49</v>
      </c>
      <c r="N27" s="233">
        <f t="shared" si="5"/>
        <v>6055191.0099999998</v>
      </c>
      <c r="O27" s="233">
        <f t="shared" si="5"/>
        <v>96151.74</v>
      </c>
      <c r="P27" s="233">
        <f t="shared" si="5"/>
        <v>1497618.7000000002</v>
      </c>
      <c r="Q27" s="233">
        <f t="shared" si="5"/>
        <v>0</v>
      </c>
      <c r="R27" s="233">
        <f>SUM(R23:R26)</f>
        <v>9716527.9400000013</v>
      </c>
      <c r="S27" s="124"/>
      <c r="T27" s="233">
        <f>SUM(T23:T26)</f>
        <v>96921715.939999998</v>
      </c>
      <c r="V27" s="190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  <c r="DO27" s="68"/>
      <c r="DP27" s="68"/>
      <c r="DQ27" s="68"/>
      <c r="DR27" s="68"/>
      <c r="DS27" s="68"/>
      <c r="DT27" s="68"/>
      <c r="DU27" s="68"/>
      <c r="DV27" s="68"/>
      <c r="DW27" s="68"/>
      <c r="DX27" s="68"/>
      <c r="DY27" s="68"/>
      <c r="DZ27" s="68"/>
      <c r="EA27" s="68"/>
      <c r="EB27" s="68"/>
      <c r="EC27" s="68"/>
      <c r="ED27" s="68"/>
      <c r="EE27" s="68"/>
      <c r="EF27" s="68"/>
      <c r="EG27" s="68"/>
      <c r="EH27" s="68"/>
      <c r="EI27" s="68"/>
      <c r="EJ27" s="68"/>
    </row>
    <row r="28" spans="1:140" s="78" customFormat="1">
      <c r="A28" s="83"/>
      <c r="C28" s="74"/>
      <c r="D28" s="90"/>
      <c r="E28" s="90"/>
      <c r="F28" s="90"/>
      <c r="G28" s="90"/>
      <c r="H28" s="90"/>
      <c r="I28" s="90"/>
      <c r="J28" s="90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V28" s="190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8"/>
      <c r="CF28" s="68"/>
      <c r="CG28" s="68"/>
      <c r="CH28" s="68"/>
      <c r="CI28" s="68"/>
      <c r="CJ28" s="68"/>
      <c r="CK28" s="68"/>
      <c r="CL28" s="68"/>
      <c r="CM28" s="68"/>
      <c r="CN28" s="68"/>
      <c r="CO28" s="68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68"/>
      <c r="DA28" s="68"/>
      <c r="DB28" s="68"/>
      <c r="DC28" s="68"/>
      <c r="DD28" s="68"/>
      <c r="DE28" s="68"/>
      <c r="DF28" s="68"/>
      <c r="DG28" s="68"/>
      <c r="DH28" s="68"/>
      <c r="DI28" s="68"/>
      <c r="DJ28" s="68"/>
      <c r="DK28" s="68"/>
      <c r="DL28" s="68"/>
      <c r="DM28" s="68"/>
      <c r="DN28" s="68"/>
      <c r="DO28" s="68"/>
      <c r="DP28" s="68"/>
      <c r="DQ28" s="68"/>
      <c r="DR28" s="68"/>
      <c r="DS28" s="68"/>
      <c r="DT28" s="68"/>
      <c r="DU28" s="68"/>
      <c r="DV28" s="68"/>
      <c r="DW28" s="68"/>
      <c r="DX28" s="68"/>
      <c r="DY28" s="68"/>
      <c r="DZ28" s="68"/>
      <c r="EA28" s="68"/>
      <c r="EB28" s="68"/>
      <c r="EC28" s="68"/>
      <c r="ED28" s="68"/>
      <c r="EE28" s="68"/>
      <c r="EF28" s="68"/>
      <c r="EG28" s="68"/>
      <c r="EH28" s="68"/>
      <c r="EI28" s="68"/>
      <c r="EJ28" s="68"/>
    </row>
    <row r="29" spans="1:140" s="78" customFormat="1">
      <c r="A29" s="83">
        <v>11</v>
      </c>
      <c r="B29" s="96" t="s">
        <v>86</v>
      </c>
      <c r="C29" s="74" t="s">
        <v>6</v>
      </c>
      <c r="D29" s="90">
        <f>+'[6]Functional Rev Unadjusted'!$C$73</f>
        <v>11562.115054401524</v>
      </c>
      <c r="E29" s="90">
        <f>+'[6]Functional Rev Unadjusted'!$D$73</f>
        <v>1177078.9590811178</v>
      </c>
      <c r="F29" s="90">
        <f>+'[6]Functional Rev Unadjusted'!$E$73</f>
        <v>8391200.7058644891</v>
      </c>
      <c r="G29" s="90"/>
      <c r="H29" s="90">
        <f>+'TCRF and DCRF Rider Revenues'!P23</f>
        <v>80713.959999999992</v>
      </c>
      <c r="I29" s="90">
        <f>+'TCRF and DCRF Rider Revenues'!P11</f>
        <v>52489197.030000001</v>
      </c>
      <c r="J29" s="90">
        <f t="shared" ref="J29:J31" si="6">SUM(D29:I29)</f>
        <v>62149752.770000011</v>
      </c>
      <c r="K29" s="124"/>
      <c r="L29" s="124">
        <f>VLOOKUP(_xlfn.CONCAT(L$13,$B29),Riders!$A$11:$Q$328,17,FALSE)</f>
        <v>0</v>
      </c>
      <c r="M29" s="124">
        <f>VLOOKUP(_xlfn.CONCAT(M$13,$B29),Riders!$A$11:$Q$328,17,FALSE)</f>
        <v>4303.2700000000004</v>
      </c>
      <c r="N29" s="124">
        <f>VLOOKUP(_xlfn.CONCAT(N$13,$B29),Riders!$A$11:$Q$328,17,FALSE)</f>
        <v>4110819.16</v>
      </c>
      <c r="O29" s="124">
        <f>VLOOKUP(_xlfn.CONCAT(O$13,$B29),Riders!$A$11:$Q$328,17,FALSE)</f>
        <v>0</v>
      </c>
      <c r="P29" s="124">
        <f>VLOOKUP(_xlfn.CONCAT(P$13,$B29),Riders!$A$11:$Q$328,17,FALSE)</f>
        <v>0</v>
      </c>
      <c r="Q29" s="124">
        <f>SUMIF(Riders!$A:$A,_xlfn.CONCAT('II-H-4.1 Functions'!Q$13,'II-H-4.1 Functions'!$B29),Riders!$Q:$Q)</f>
        <v>-5266</v>
      </c>
      <c r="R29" s="124">
        <f>L29+M29+N29+O29+P29+Q29</f>
        <v>4109856.43</v>
      </c>
      <c r="S29" s="124"/>
      <c r="T29" s="124">
        <f>R29+J29</f>
        <v>66259609.20000001</v>
      </c>
      <c r="V29" s="190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68"/>
      <c r="BV29" s="68"/>
      <c r="BW29" s="68"/>
      <c r="BX29" s="68"/>
      <c r="BY29" s="68"/>
      <c r="BZ29" s="68"/>
      <c r="CA29" s="68"/>
      <c r="CB29" s="68"/>
      <c r="CC29" s="68"/>
      <c r="CD29" s="68"/>
      <c r="CE29" s="68"/>
      <c r="CF29" s="68"/>
      <c r="CG29" s="68"/>
      <c r="CH29" s="68"/>
      <c r="CI29" s="68"/>
      <c r="CJ29" s="68"/>
      <c r="CK29" s="68"/>
      <c r="CL29" s="68"/>
      <c r="CM29" s="68"/>
      <c r="CN29" s="68"/>
      <c r="CO29" s="68"/>
      <c r="CP29" s="68"/>
      <c r="CQ29" s="68"/>
      <c r="CR29" s="68"/>
      <c r="CS29" s="68"/>
      <c r="CT29" s="68"/>
      <c r="CU29" s="68"/>
      <c r="CV29" s="68"/>
      <c r="CW29" s="68"/>
      <c r="CX29" s="68"/>
      <c r="CY29" s="68"/>
      <c r="CZ29" s="68"/>
      <c r="DA29" s="68"/>
      <c r="DB29" s="68"/>
      <c r="DC29" s="68"/>
      <c r="DD29" s="68"/>
      <c r="DE29" s="68"/>
      <c r="DF29" s="68"/>
      <c r="DG29" s="68"/>
      <c r="DH29" s="68"/>
      <c r="DI29" s="68"/>
      <c r="DJ29" s="68"/>
      <c r="DK29" s="68"/>
      <c r="DL29" s="68"/>
      <c r="DM29" s="68"/>
      <c r="DN29" s="68"/>
      <c r="DO29" s="68"/>
      <c r="DP29" s="68"/>
      <c r="DQ29" s="68"/>
      <c r="DR29" s="68"/>
      <c r="DS29" s="68"/>
      <c r="DT29" s="68"/>
      <c r="DU29" s="68"/>
      <c r="DV29" s="68"/>
      <c r="DW29" s="68"/>
      <c r="DX29" s="68"/>
      <c r="DY29" s="68"/>
      <c r="DZ29" s="68"/>
      <c r="EA29" s="68"/>
      <c r="EB29" s="68"/>
      <c r="EC29" s="68"/>
      <c r="ED29" s="68"/>
      <c r="EE29" s="68"/>
      <c r="EF29" s="68"/>
      <c r="EG29" s="68"/>
      <c r="EH29" s="68"/>
      <c r="EI29" s="68"/>
      <c r="EJ29" s="68"/>
    </row>
    <row r="30" spans="1:140" s="78" customFormat="1">
      <c r="C30" s="85"/>
      <c r="D30" s="231"/>
      <c r="E30" s="231"/>
      <c r="F30" s="231"/>
      <c r="G30" s="231"/>
      <c r="H30" s="231"/>
      <c r="I30" s="231"/>
      <c r="J30" s="90">
        <f t="shared" si="6"/>
        <v>0</v>
      </c>
      <c r="K30" s="113"/>
      <c r="L30" s="124"/>
      <c r="M30" s="124"/>
      <c r="N30" s="124"/>
      <c r="O30" s="124"/>
      <c r="P30" s="124"/>
      <c r="Q30" s="124"/>
      <c r="R30" s="124"/>
      <c r="S30" s="124"/>
      <c r="T30" s="124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8"/>
      <c r="CF30" s="68"/>
      <c r="CG30" s="68"/>
      <c r="CH30" s="68"/>
      <c r="CI30" s="68"/>
      <c r="CJ30" s="68"/>
      <c r="CK30" s="68"/>
      <c r="CL30" s="68"/>
      <c r="CM30" s="68"/>
      <c r="CN30" s="68"/>
      <c r="CO30" s="68"/>
      <c r="CP30" s="68"/>
      <c r="CQ30" s="68"/>
      <c r="CR30" s="68"/>
      <c r="CS30" s="68"/>
      <c r="CT30" s="68"/>
      <c r="CU30" s="68"/>
      <c r="CV30" s="68"/>
      <c r="CW30" s="68"/>
      <c r="CX30" s="68"/>
      <c r="CY30" s="68"/>
      <c r="CZ30" s="68"/>
      <c r="DA30" s="68"/>
      <c r="DB30" s="68"/>
      <c r="DC30" s="68"/>
      <c r="DD30" s="68"/>
      <c r="DE30" s="68"/>
      <c r="DF30" s="68"/>
      <c r="DG30" s="68"/>
      <c r="DH30" s="68"/>
      <c r="DI30" s="68"/>
      <c r="DJ30" s="68"/>
      <c r="DK30" s="68"/>
      <c r="DL30" s="68"/>
      <c r="DM30" s="68"/>
      <c r="DN30" s="68"/>
      <c r="DO30" s="68"/>
      <c r="DP30" s="68"/>
      <c r="DQ30" s="68"/>
      <c r="DR30" s="68"/>
      <c r="DS30" s="68"/>
      <c r="DT30" s="68"/>
      <c r="DU30" s="68"/>
      <c r="DV30" s="68"/>
      <c r="DW30" s="68"/>
      <c r="DX30" s="68"/>
      <c r="DY30" s="68"/>
      <c r="DZ30" s="68"/>
      <c r="EA30" s="68"/>
      <c r="EB30" s="68"/>
      <c r="EC30" s="68"/>
      <c r="ED30" s="68"/>
      <c r="EE30" s="68"/>
      <c r="EF30" s="68"/>
      <c r="EG30" s="68"/>
      <c r="EH30" s="68"/>
      <c r="EI30" s="68"/>
      <c r="EJ30" s="68"/>
    </row>
    <row r="31" spans="1:140" s="78" customFormat="1">
      <c r="A31" s="83">
        <v>12</v>
      </c>
      <c r="B31" s="68" t="s">
        <v>21</v>
      </c>
      <c r="C31" s="74" t="s">
        <v>4</v>
      </c>
      <c r="D31" s="90">
        <f>+'[6]Functional Rev Unadjusted'!$C$74</f>
        <v>44131.710352257905</v>
      </c>
      <c r="E31" s="90">
        <f>+'[6]Functional Rev Unadjusted'!$D$74</f>
        <v>0</v>
      </c>
      <c r="F31" s="90">
        <f>+'[6]Functional Rev Unadjusted'!$E$74+'[6]Functional Rev Unadjusted'!$F$74</f>
        <v>21637685.669647746</v>
      </c>
      <c r="G31" s="90">
        <v>0</v>
      </c>
      <c r="H31" s="90">
        <f>+'TCRF and DCRF Rider Revenues'!P24</f>
        <v>2033143.4700000002</v>
      </c>
      <c r="I31" s="90">
        <f>+'TCRF and DCRF Rider Revenues'!P12</f>
        <v>2311936.9899999998</v>
      </c>
      <c r="J31" s="90">
        <f t="shared" si="6"/>
        <v>26026897.84</v>
      </c>
      <c r="K31" s="124"/>
      <c r="L31" s="124">
        <f>VLOOKUP(_xlfn.CONCAT(L$13,$B31),Riders!$A$11:$Q$328,17,FALSE)</f>
        <v>64983.180000000029</v>
      </c>
      <c r="M31" s="124">
        <f>VLOOKUP(_xlfn.CONCAT(M$13,$B31),Riders!$A$11:$Q$328,17,FALSE)</f>
        <v>0.31</v>
      </c>
      <c r="N31" s="124">
        <f>VLOOKUP(_xlfn.CONCAT(N$13,$B31),Riders!$A$11:$Q$328,17,FALSE)</f>
        <v>1252617.1199999999</v>
      </c>
      <c r="O31" s="124">
        <f>VLOOKUP(_xlfn.CONCAT(O$13,$B31),Riders!$A$11:$Q$328,17,FALSE)</f>
        <v>27853.230000000003</v>
      </c>
      <c r="P31" s="124">
        <f>VLOOKUP(_xlfn.CONCAT(P$13,$B31),Riders!$A$11:$Q$328,17,FALSE)</f>
        <v>1677521.2999999998</v>
      </c>
      <c r="Q31" s="124">
        <f>SUMIF(Riders!$A:$A,_xlfn.CONCAT('II-H-4.1 Functions'!Q$13,'II-H-4.1 Functions'!$B31),Riders!$Q:$Q)</f>
        <v>185.45999999999998</v>
      </c>
      <c r="R31" s="124">
        <f>L31+M31+N31+O31+P31+Q31</f>
        <v>3023160.5999999996</v>
      </c>
      <c r="S31" s="124"/>
      <c r="T31" s="124">
        <f>R31+J31</f>
        <v>29050058.439999998</v>
      </c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68"/>
      <c r="EC31" s="68"/>
      <c r="ED31" s="68"/>
      <c r="EE31" s="68"/>
      <c r="EF31" s="68"/>
      <c r="EG31" s="68"/>
      <c r="EH31" s="68"/>
      <c r="EI31" s="68"/>
      <c r="EJ31" s="68"/>
    </row>
    <row r="32" spans="1:140" s="78" customFormat="1">
      <c r="A32" s="83"/>
      <c r="C32" s="85"/>
      <c r="D32" s="231"/>
      <c r="E32" s="231"/>
      <c r="F32" s="231"/>
      <c r="G32" s="231"/>
      <c r="H32" s="231"/>
      <c r="I32" s="231"/>
      <c r="J32" s="231"/>
      <c r="K32" s="113"/>
      <c r="L32" s="124"/>
      <c r="M32" s="124"/>
      <c r="N32" s="124"/>
      <c r="O32" s="124"/>
      <c r="P32" s="124"/>
      <c r="Q32" s="124"/>
      <c r="R32" s="124"/>
      <c r="S32" s="124"/>
      <c r="T32" s="124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8"/>
      <c r="BM32" s="68"/>
      <c r="BN32" s="68"/>
      <c r="BO32" s="68"/>
      <c r="BP32" s="68"/>
      <c r="BQ32" s="68"/>
      <c r="BR32" s="68"/>
      <c r="BS32" s="68"/>
      <c r="BT32" s="68"/>
      <c r="BU32" s="68"/>
      <c r="BV32" s="68"/>
      <c r="BW32" s="68"/>
      <c r="BX32" s="68"/>
      <c r="BY32" s="68"/>
      <c r="BZ32" s="68"/>
      <c r="CA32" s="68"/>
      <c r="CB32" s="68"/>
      <c r="CC32" s="68"/>
      <c r="CD32" s="68"/>
      <c r="CE32" s="68"/>
      <c r="CF32" s="68"/>
      <c r="CG32" s="68"/>
      <c r="CH32" s="68"/>
      <c r="CI32" s="68"/>
      <c r="CJ32" s="68"/>
      <c r="CK32" s="68"/>
      <c r="CL32" s="68"/>
      <c r="CM32" s="68"/>
      <c r="CN32" s="68"/>
      <c r="CO32" s="68"/>
      <c r="CP32" s="68"/>
      <c r="CQ32" s="68"/>
      <c r="CR32" s="68"/>
      <c r="CS32" s="68"/>
      <c r="CT32" s="68"/>
      <c r="CU32" s="68"/>
      <c r="CV32" s="68"/>
      <c r="CW32" s="68"/>
      <c r="CX32" s="68"/>
      <c r="CY32" s="68"/>
      <c r="CZ32" s="68"/>
      <c r="DA32" s="68"/>
      <c r="DB32" s="68"/>
      <c r="DC32" s="68"/>
      <c r="DD32" s="68"/>
      <c r="DE32" s="68"/>
      <c r="DF32" s="68"/>
      <c r="DG32" s="68"/>
      <c r="DH32" s="68"/>
      <c r="DI32" s="68"/>
      <c r="DJ32" s="68"/>
      <c r="DK32" s="68"/>
      <c r="DL32" s="68"/>
      <c r="DM32" s="68"/>
      <c r="DN32" s="68"/>
      <c r="DO32" s="68"/>
      <c r="DP32" s="68"/>
      <c r="DQ32" s="68"/>
      <c r="DR32" s="68"/>
      <c r="DS32" s="68"/>
      <c r="DT32" s="68"/>
      <c r="DU32" s="68"/>
      <c r="DV32" s="68"/>
      <c r="DW32" s="68"/>
      <c r="DX32" s="68"/>
      <c r="DY32" s="68"/>
      <c r="DZ32" s="68"/>
      <c r="EA32" s="68"/>
      <c r="EB32" s="68"/>
      <c r="EC32" s="68"/>
      <c r="ED32" s="68"/>
      <c r="EE32" s="68"/>
      <c r="EF32" s="68"/>
      <c r="EG32" s="68"/>
      <c r="EH32" s="68"/>
      <c r="EI32" s="68"/>
      <c r="EJ32" s="68"/>
    </row>
    <row r="33" spans="1:140" s="78" customFormat="1">
      <c r="A33" s="83">
        <v>13</v>
      </c>
      <c r="B33" s="114" t="s">
        <v>22</v>
      </c>
      <c r="C33" s="360"/>
      <c r="D33" s="234">
        <f>D31+D29+D27+D21+D17+D15</f>
        <v>19104111.343559213</v>
      </c>
      <c r="E33" s="234">
        <f t="shared" ref="E33:Q33" si="7">E31+E29+E27+E21+E17+E15</f>
        <v>56476088.552795909</v>
      </c>
      <c r="F33" s="234">
        <f t="shared" si="7"/>
        <v>511823959.00364476</v>
      </c>
      <c r="G33" s="234">
        <f t="shared" si="7"/>
        <v>4260.12</v>
      </c>
      <c r="H33" s="234">
        <f t="shared" si="7"/>
        <v>104867863.88999999</v>
      </c>
      <c r="I33" s="234">
        <f t="shared" si="7"/>
        <v>421817283.29999995</v>
      </c>
      <c r="J33" s="234">
        <f t="shared" si="7"/>
        <v>1114093566.2099998</v>
      </c>
      <c r="K33" s="113"/>
      <c r="L33" s="234">
        <f t="shared" si="7"/>
        <v>5308009.0999999996</v>
      </c>
      <c r="M33" s="234">
        <f t="shared" si="7"/>
        <v>25957338.510000002</v>
      </c>
      <c r="N33" s="234">
        <f>N31+N29+N27+N21+N17+N15</f>
        <v>73475236.200000018</v>
      </c>
      <c r="O33" s="234">
        <f t="shared" si="7"/>
        <v>1960407.78</v>
      </c>
      <c r="P33" s="234">
        <f t="shared" si="7"/>
        <v>26545183.279999997</v>
      </c>
      <c r="Q33" s="234">
        <f t="shared" si="7"/>
        <v>-4939.6099999999997</v>
      </c>
      <c r="R33" s="234">
        <f>R31+R29+R27+R21+R17+R15</f>
        <v>133241235.26000001</v>
      </c>
      <c r="S33" s="124"/>
      <c r="T33" s="282">
        <f>R33+J33</f>
        <v>1247334801.4699998</v>
      </c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8"/>
      <c r="DA33" s="68"/>
      <c r="DB33" s="68"/>
      <c r="DC33" s="68"/>
      <c r="DD33" s="68"/>
      <c r="DE33" s="68"/>
      <c r="DF33" s="68"/>
      <c r="DG33" s="68"/>
      <c r="DH33" s="68"/>
      <c r="DI33" s="68"/>
      <c r="DJ33" s="68"/>
      <c r="DK33" s="68"/>
      <c r="DL33" s="68"/>
      <c r="DM33" s="68"/>
      <c r="DN33" s="68"/>
      <c r="DO33" s="68"/>
      <c r="DP33" s="68"/>
      <c r="DQ33" s="68"/>
      <c r="DR33" s="68"/>
      <c r="DS33" s="68"/>
      <c r="DT33" s="68"/>
      <c r="DU33" s="68"/>
      <c r="DV33" s="68"/>
      <c r="DW33" s="68"/>
      <c r="DX33" s="68"/>
      <c r="DY33" s="68"/>
      <c r="DZ33" s="68"/>
      <c r="EA33" s="68"/>
      <c r="EB33" s="68"/>
      <c r="EC33" s="68"/>
      <c r="ED33" s="68"/>
      <c r="EE33" s="68"/>
      <c r="EF33" s="68"/>
      <c r="EG33" s="68"/>
      <c r="EH33" s="68"/>
      <c r="EI33" s="68"/>
      <c r="EJ33" s="68"/>
    </row>
    <row r="34" spans="1:140" s="78" customFormat="1">
      <c r="B34" s="360"/>
      <c r="C34" s="360"/>
      <c r="D34" s="231"/>
      <c r="E34" s="231"/>
      <c r="F34" s="231"/>
      <c r="G34" s="231"/>
      <c r="H34" s="231"/>
      <c r="I34" s="231"/>
      <c r="J34" s="231"/>
      <c r="K34" s="113"/>
      <c r="L34" s="124"/>
      <c r="M34" s="124"/>
      <c r="N34" s="124"/>
      <c r="O34" s="124"/>
      <c r="P34" s="124"/>
      <c r="Q34" s="124"/>
      <c r="R34" s="124"/>
      <c r="S34" s="124"/>
      <c r="T34" s="124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BV34" s="68"/>
      <c r="BW34" s="68"/>
      <c r="BX34" s="68"/>
      <c r="BY34" s="68"/>
      <c r="BZ34" s="68"/>
      <c r="CA34" s="68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68"/>
      <c r="CM34" s="68"/>
      <c r="CN34" s="68"/>
      <c r="CO34" s="68"/>
      <c r="CP34" s="68"/>
      <c r="CQ34" s="68"/>
      <c r="CR34" s="68"/>
      <c r="CS34" s="68"/>
      <c r="CT34" s="68"/>
      <c r="CU34" s="68"/>
      <c r="CV34" s="68"/>
      <c r="CW34" s="68"/>
      <c r="CX34" s="68"/>
      <c r="CY34" s="68"/>
      <c r="CZ34" s="68"/>
      <c r="DA34" s="68"/>
      <c r="DB34" s="68"/>
      <c r="DC34" s="68"/>
      <c r="DD34" s="68"/>
      <c r="DE34" s="68"/>
      <c r="DF34" s="68"/>
      <c r="DG34" s="68"/>
      <c r="DH34" s="68"/>
      <c r="DI34" s="68"/>
      <c r="DJ34" s="68"/>
      <c r="DK34" s="68"/>
      <c r="DL34" s="68"/>
      <c r="DM34" s="68"/>
      <c r="DN34" s="68"/>
      <c r="DO34" s="68"/>
      <c r="DP34" s="68"/>
      <c r="DQ34" s="68"/>
      <c r="DR34" s="68"/>
      <c r="DS34" s="68"/>
      <c r="DT34" s="68"/>
      <c r="DU34" s="68"/>
      <c r="DV34" s="68"/>
      <c r="DW34" s="68"/>
      <c r="DX34" s="68"/>
      <c r="DY34" s="68"/>
      <c r="DZ34" s="68"/>
      <c r="EA34" s="68"/>
      <c r="EB34" s="68"/>
      <c r="EC34" s="68"/>
      <c r="ED34" s="68"/>
      <c r="EE34" s="68"/>
      <c r="EF34" s="68"/>
      <c r="EG34" s="68"/>
      <c r="EH34" s="68"/>
      <c r="EI34" s="68"/>
      <c r="EJ34" s="68"/>
    </row>
    <row r="35" spans="1:140" s="78" customFormat="1">
      <c r="A35" s="83">
        <v>14</v>
      </c>
      <c r="B35" s="89" t="s">
        <v>69</v>
      </c>
      <c r="C35" s="74" t="s">
        <v>5</v>
      </c>
      <c r="D35" s="90"/>
      <c r="E35" s="90"/>
      <c r="F35" s="90"/>
      <c r="G35" s="90"/>
      <c r="H35" s="90"/>
      <c r="I35" s="90"/>
      <c r="J35" s="90">
        <f>SUM(D35:I35)</f>
        <v>0</v>
      </c>
      <c r="K35" s="124"/>
      <c r="L35" s="124"/>
      <c r="M35" s="124"/>
      <c r="N35" s="124"/>
      <c r="O35" s="124"/>
      <c r="P35" s="124"/>
      <c r="Q35" s="124"/>
      <c r="R35" s="124">
        <f>SUM(L35:Q35)</f>
        <v>0</v>
      </c>
      <c r="S35" s="124"/>
      <c r="T35" s="124">
        <f>R35+J35</f>
        <v>0</v>
      </c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68"/>
      <c r="DD35" s="68"/>
      <c r="DE35" s="68"/>
      <c r="DF35" s="68"/>
      <c r="DG35" s="68"/>
      <c r="DH35" s="68"/>
      <c r="DI35" s="68"/>
      <c r="DJ35" s="68"/>
      <c r="DK35" s="68"/>
      <c r="DL35" s="68"/>
      <c r="DM35" s="68"/>
      <c r="DN35" s="68"/>
      <c r="DO35" s="68"/>
      <c r="DP35" s="68"/>
      <c r="DQ35" s="68"/>
      <c r="DR35" s="68"/>
      <c r="DS35" s="68"/>
      <c r="DT35" s="68"/>
      <c r="DU35" s="68"/>
      <c r="DV35" s="68"/>
      <c r="DW35" s="68"/>
      <c r="DX35" s="68"/>
      <c r="DY35" s="68"/>
      <c r="DZ35" s="68"/>
      <c r="EA35" s="68"/>
      <c r="EB35" s="68"/>
      <c r="EC35" s="68"/>
      <c r="ED35" s="68"/>
      <c r="EE35" s="68"/>
      <c r="EF35" s="68"/>
      <c r="EG35" s="68"/>
      <c r="EH35" s="68"/>
      <c r="EI35" s="68"/>
      <c r="EJ35" s="68"/>
    </row>
    <row r="36" spans="1:140" s="78" customFormat="1">
      <c r="A36" s="83">
        <v>15</v>
      </c>
      <c r="B36" s="89" t="s">
        <v>70</v>
      </c>
      <c r="C36" s="74" t="s">
        <v>6</v>
      </c>
      <c r="D36" s="149"/>
      <c r="E36" s="149"/>
      <c r="F36" s="149"/>
      <c r="G36" s="149"/>
      <c r="H36" s="149"/>
      <c r="I36" s="149"/>
      <c r="J36" s="149"/>
      <c r="K36" s="124"/>
      <c r="L36" s="149"/>
      <c r="M36" s="149"/>
      <c r="N36" s="149"/>
      <c r="O36" s="149"/>
      <c r="P36" s="149"/>
      <c r="Q36" s="149"/>
      <c r="R36" s="149"/>
      <c r="S36" s="124"/>
      <c r="T36" s="149">
        <f>R36+J36</f>
        <v>0</v>
      </c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  <c r="BW36" s="68"/>
      <c r="BX36" s="68"/>
      <c r="BY36" s="68"/>
      <c r="BZ36" s="68"/>
      <c r="CA36" s="68"/>
      <c r="CB36" s="68"/>
      <c r="CC36" s="68"/>
      <c r="CD36" s="68"/>
      <c r="CE36" s="68"/>
      <c r="CF36" s="68"/>
      <c r="CG36" s="68"/>
      <c r="CH36" s="68"/>
      <c r="CI36" s="68"/>
      <c r="CJ36" s="68"/>
      <c r="CK36" s="68"/>
      <c r="CL36" s="68"/>
      <c r="CM36" s="68"/>
      <c r="CN36" s="68"/>
      <c r="CO36" s="68"/>
      <c r="CP36" s="68"/>
      <c r="CQ36" s="68"/>
      <c r="CR36" s="68"/>
      <c r="CS36" s="68"/>
      <c r="CT36" s="68"/>
      <c r="CU36" s="68"/>
      <c r="CV36" s="68"/>
      <c r="CW36" s="68"/>
      <c r="CX36" s="68"/>
      <c r="CY36" s="68"/>
      <c r="CZ36" s="68"/>
      <c r="DA36" s="68"/>
      <c r="DB36" s="68"/>
      <c r="DC36" s="68"/>
      <c r="DD36" s="68"/>
      <c r="DE36" s="68"/>
      <c r="DF36" s="68"/>
      <c r="DG36" s="68"/>
      <c r="DH36" s="68"/>
      <c r="DI36" s="68"/>
      <c r="DJ36" s="68"/>
      <c r="DK36" s="68"/>
      <c r="DL36" s="68"/>
      <c r="DM36" s="68"/>
      <c r="DN36" s="68"/>
      <c r="DO36" s="68"/>
      <c r="DP36" s="68"/>
      <c r="DQ36" s="68"/>
      <c r="DR36" s="68"/>
      <c r="DS36" s="68"/>
      <c r="DT36" s="68"/>
      <c r="DU36" s="68"/>
      <c r="DV36" s="68"/>
      <c r="DW36" s="68"/>
      <c r="DX36" s="68"/>
      <c r="DY36" s="68"/>
      <c r="DZ36" s="68"/>
      <c r="EA36" s="68"/>
      <c r="EB36" s="68"/>
      <c r="EC36" s="68"/>
      <c r="ED36" s="68"/>
      <c r="EE36" s="68"/>
      <c r="EF36" s="68"/>
      <c r="EG36" s="68"/>
      <c r="EH36" s="68"/>
      <c r="EI36" s="68"/>
      <c r="EJ36" s="68"/>
    </row>
    <row r="37" spans="1:140" s="78" customFormat="1">
      <c r="A37" s="83">
        <v>16</v>
      </c>
      <c r="B37" s="114" t="s">
        <v>23</v>
      </c>
      <c r="C37" s="358"/>
      <c r="D37" s="231">
        <f t="shared" ref="D37:R37" si="8">SUM(D35:D36)</f>
        <v>0</v>
      </c>
      <c r="E37" s="231">
        <f t="shared" si="8"/>
        <v>0</v>
      </c>
      <c r="F37" s="231">
        <f t="shared" si="8"/>
        <v>0</v>
      </c>
      <c r="G37" s="231">
        <f t="shared" si="8"/>
        <v>0</v>
      </c>
      <c r="H37" s="231"/>
      <c r="I37" s="231">
        <f t="shared" si="8"/>
        <v>0</v>
      </c>
      <c r="J37" s="231">
        <f t="shared" si="8"/>
        <v>0</v>
      </c>
      <c r="K37" s="113"/>
      <c r="L37" s="231">
        <f t="shared" si="8"/>
        <v>0</v>
      </c>
      <c r="M37" s="231">
        <f t="shared" si="8"/>
        <v>0</v>
      </c>
      <c r="N37" s="231">
        <v>0</v>
      </c>
      <c r="O37" s="231">
        <f t="shared" si="8"/>
        <v>0</v>
      </c>
      <c r="P37" s="231">
        <f t="shared" si="8"/>
        <v>0</v>
      </c>
      <c r="Q37" s="231">
        <f t="shared" si="8"/>
        <v>0</v>
      </c>
      <c r="R37" s="231">
        <f t="shared" si="8"/>
        <v>0</v>
      </c>
      <c r="S37" s="124"/>
      <c r="T37" s="124">
        <f>R37+J37</f>
        <v>0</v>
      </c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U37" s="68"/>
      <c r="BV37" s="68"/>
      <c r="BW37" s="68"/>
      <c r="BX37" s="68"/>
      <c r="BY37" s="68"/>
      <c r="BZ37" s="68"/>
      <c r="CA37" s="68"/>
      <c r="CB37" s="68"/>
      <c r="CC37" s="68"/>
      <c r="CD37" s="68"/>
      <c r="CE37" s="68"/>
      <c r="CF37" s="68"/>
      <c r="CG37" s="68"/>
      <c r="CH37" s="68"/>
      <c r="CI37" s="68"/>
      <c r="CJ37" s="68"/>
      <c r="CK37" s="68"/>
      <c r="CL37" s="68"/>
      <c r="CM37" s="68"/>
      <c r="CN37" s="68"/>
      <c r="CO37" s="68"/>
      <c r="CP37" s="68"/>
      <c r="CQ37" s="68"/>
      <c r="CR37" s="68"/>
      <c r="CS37" s="68"/>
      <c r="CT37" s="68"/>
      <c r="CU37" s="68"/>
      <c r="CV37" s="68"/>
      <c r="CW37" s="68"/>
      <c r="CX37" s="68"/>
      <c r="CY37" s="68"/>
      <c r="CZ37" s="68"/>
      <c r="DA37" s="68"/>
      <c r="DB37" s="68"/>
      <c r="DC37" s="68"/>
      <c r="DD37" s="68"/>
      <c r="DE37" s="68"/>
      <c r="DF37" s="68"/>
      <c r="DG37" s="68"/>
      <c r="DH37" s="68"/>
      <c r="DI37" s="68"/>
      <c r="DJ37" s="68"/>
      <c r="DK37" s="68"/>
      <c r="DL37" s="68"/>
      <c r="DM37" s="68"/>
      <c r="DN37" s="68"/>
      <c r="DO37" s="68"/>
      <c r="DP37" s="68"/>
      <c r="DQ37" s="68"/>
      <c r="DR37" s="68"/>
      <c r="DS37" s="68"/>
      <c r="DT37" s="68"/>
      <c r="DU37" s="68"/>
      <c r="DV37" s="68"/>
      <c r="DW37" s="68"/>
      <c r="DX37" s="68"/>
      <c r="DY37" s="68"/>
      <c r="DZ37" s="68"/>
      <c r="EA37" s="68"/>
      <c r="EB37" s="68"/>
      <c r="EC37" s="68"/>
      <c r="ED37" s="68"/>
      <c r="EE37" s="68"/>
      <c r="EF37" s="68"/>
      <c r="EG37" s="68"/>
      <c r="EH37" s="68"/>
      <c r="EI37" s="68"/>
      <c r="EJ37" s="68"/>
    </row>
    <row r="38" spans="1:140" s="78" customFormat="1">
      <c r="A38" s="83"/>
      <c r="C38" s="116"/>
      <c r="D38" s="231"/>
      <c r="E38" s="231"/>
      <c r="F38" s="231"/>
      <c r="G38" s="231"/>
      <c r="H38" s="231"/>
      <c r="I38" s="231"/>
      <c r="J38" s="231"/>
      <c r="K38" s="113"/>
      <c r="L38" s="124"/>
      <c r="M38" s="124"/>
      <c r="N38" s="124"/>
      <c r="O38" s="124"/>
      <c r="P38" s="124"/>
      <c r="Q38" s="124"/>
      <c r="R38" s="124"/>
      <c r="S38" s="124"/>
      <c r="T38" s="124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68"/>
      <c r="BN38" s="68"/>
      <c r="BO38" s="68"/>
      <c r="BP38" s="68"/>
      <c r="BQ38" s="68"/>
      <c r="BR38" s="68"/>
      <c r="BS38" s="68"/>
      <c r="BT38" s="68"/>
      <c r="BU38" s="68"/>
      <c r="BV38" s="68"/>
      <c r="BW38" s="68"/>
      <c r="BX38" s="68"/>
      <c r="BY38" s="68"/>
      <c r="BZ38" s="68"/>
      <c r="CA38" s="68"/>
      <c r="CB38" s="68"/>
      <c r="CC38" s="68"/>
      <c r="CD38" s="68"/>
      <c r="CE38" s="68"/>
      <c r="CF38" s="68"/>
      <c r="CG38" s="68"/>
      <c r="CH38" s="68"/>
      <c r="CI38" s="68"/>
      <c r="CJ38" s="68"/>
      <c r="CK38" s="68"/>
      <c r="CL38" s="68"/>
      <c r="CM38" s="68"/>
      <c r="CN38" s="68"/>
      <c r="CO38" s="68"/>
      <c r="CP38" s="68"/>
      <c r="CQ38" s="68"/>
      <c r="CR38" s="68"/>
      <c r="CS38" s="68"/>
      <c r="CT38" s="68"/>
      <c r="CU38" s="68"/>
      <c r="CV38" s="68"/>
      <c r="CW38" s="68"/>
      <c r="CX38" s="68"/>
      <c r="CY38" s="68"/>
      <c r="CZ38" s="68"/>
      <c r="DA38" s="68"/>
      <c r="DB38" s="68"/>
      <c r="DC38" s="68"/>
      <c r="DD38" s="68"/>
      <c r="DE38" s="68"/>
      <c r="DF38" s="68"/>
      <c r="DG38" s="68"/>
      <c r="DH38" s="68"/>
      <c r="DI38" s="68"/>
      <c r="DJ38" s="68"/>
      <c r="DK38" s="68"/>
      <c r="DL38" s="68"/>
      <c r="DM38" s="68"/>
      <c r="DN38" s="68"/>
      <c r="DO38" s="68"/>
      <c r="DP38" s="68"/>
      <c r="DQ38" s="68"/>
      <c r="DR38" s="68"/>
      <c r="DS38" s="68"/>
      <c r="DT38" s="68"/>
      <c r="DU38" s="68"/>
      <c r="DV38" s="68"/>
      <c r="DW38" s="68"/>
      <c r="DX38" s="68"/>
      <c r="DY38" s="68"/>
      <c r="DZ38" s="68"/>
      <c r="EA38" s="68"/>
      <c r="EB38" s="68"/>
      <c r="EC38" s="68"/>
      <c r="ED38" s="68"/>
      <c r="EE38" s="68"/>
      <c r="EF38" s="68"/>
      <c r="EG38" s="68"/>
      <c r="EH38" s="68"/>
      <c r="EI38" s="68"/>
      <c r="EJ38" s="68"/>
    </row>
    <row r="39" spans="1:140" s="78" customFormat="1" ht="12" thickBot="1">
      <c r="A39" s="83">
        <v>17</v>
      </c>
      <c r="B39" s="147" t="s">
        <v>92</v>
      </c>
      <c r="C39" s="358"/>
      <c r="D39" s="117">
        <f t="shared" ref="D39:R39" si="9">+D37+D33</f>
        <v>19104111.343559213</v>
      </c>
      <c r="E39" s="117">
        <f t="shared" si="9"/>
        <v>56476088.552795909</v>
      </c>
      <c r="F39" s="117">
        <f t="shared" si="9"/>
        <v>511823959.00364476</v>
      </c>
      <c r="G39" s="117">
        <f t="shared" si="9"/>
        <v>4260.12</v>
      </c>
      <c r="H39" s="117">
        <f t="shared" si="9"/>
        <v>104867863.88999999</v>
      </c>
      <c r="I39" s="117">
        <f t="shared" si="9"/>
        <v>421817283.29999995</v>
      </c>
      <c r="J39" s="117">
        <f t="shared" si="9"/>
        <v>1114093566.2099998</v>
      </c>
      <c r="K39" s="113"/>
      <c r="L39" s="117">
        <f t="shared" si="9"/>
        <v>5308009.0999999996</v>
      </c>
      <c r="M39" s="117">
        <f t="shared" si="9"/>
        <v>25957338.510000002</v>
      </c>
      <c r="N39" s="117">
        <f t="shared" si="9"/>
        <v>73475236.200000018</v>
      </c>
      <c r="O39" s="117">
        <f t="shared" si="9"/>
        <v>1960407.78</v>
      </c>
      <c r="P39" s="117">
        <f t="shared" si="9"/>
        <v>26545183.279999997</v>
      </c>
      <c r="Q39" s="117">
        <f t="shared" si="9"/>
        <v>-4939.6099999999997</v>
      </c>
      <c r="R39" s="117">
        <f t="shared" si="9"/>
        <v>133241235.26000001</v>
      </c>
      <c r="S39" s="124"/>
      <c r="T39" s="130">
        <f>R39+J39</f>
        <v>1247334801.4699998</v>
      </c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8"/>
      <c r="DA39" s="68"/>
      <c r="DB39" s="68"/>
      <c r="DC39" s="68"/>
      <c r="DD39" s="68"/>
      <c r="DE39" s="68"/>
      <c r="DF39" s="68"/>
      <c r="DG39" s="68"/>
      <c r="DH39" s="68"/>
      <c r="DI39" s="68"/>
      <c r="DJ39" s="68"/>
      <c r="DK39" s="68"/>
      <c r="DL39" s="68"/>
      <c r="DM39" s="68"/>
      <c r="DN39" s="68"/>
      <c r="DO39" s="68"/>
      <c r="DP39" s="68"/>
      <c r="DQ39" s="68"/>
      <c r="DR39" s="68"/>
      <c r="DS39" s="68"/>
      <c r="DT39" s="68"/>
      <c r="DU39" s="68"/>
      <c r="DV39" s="68"/>
      <c r="DW39" s="68"/>
      <c r="DX39" s="68"/>
      <c r="DY39" s="68"/>
      <c r="DZ39" s="68"/>
      <c r="EA39" s="68"/>
      <c r="EB39" s="68"/>
      <c r="EC39" s="68"/>
      <c r="ED39" s="68"/>
      <c r="EE39" s="68"/>
      <c r="EF39" s="68"/>
      <c r="EG39" s="68"/>
      <c r="EH39" s="68"/>
      <c r="EI39" s="68"/>
      <c r="EJ39" s="68"/>
    </row>
    <row r="40" spans="1:140" s="78" customFormat="1" ht="12" thickTop="1">
      <c r="A40" s="83"/>
      <c r="B40" s="92"/>
      <c r="C40" s="358"/>
      <c r="D40" s="76"/>
      <c r="E40" s="76"/>
      <c r="F40" s="76"/>
      <c r="G40" s="76"/>
      <c r="H40" s="76"/>
      <c r="I40" s="76"/>
      <c r="J40" s="76"/>
      <c r="K40" s="76"/>
      <c r="L40" s="84"/>
      <c r="M40" s="84"/>
      <c r="N40" s="84"/>
      <c r="O40" s="68"/>
      <c r="P40" s="84"/>
      <c r="Q40" s="84"/>
      <c r="R40" s="84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8"/>
      <c r="BW40" s="68"/>
      <c r="BX40" s="68"/>
      <c r="BY40" s="68"/>
      <c r="BZ40" s="68"/>
      <c r="CA40" s="68"/>
      <c r="CB40" s="68"/>
      <c r="CC40" s="68"/>
      <c r="CD40" s="68"/>
      <c r="CE40" s="68"/>
      <c r="CF40" s="68"/>
      <c r="CG40" s="68"/>
      <c r="CH40" s="68"/>
      <c r="CI40" s="68"/>
      <c r="CJ40" s="68"/>
      <c r="CK40" s="68"/>
      <c r="CL40" s="68"/>
      <c r="CM40" s="68"/>
      <c r="CN40" s="68"/>
      <c r="CO40" s="68"/>
      <c r="CP40" s="68"/>
      <c r="CQ40" s="68"/>
      <c r="CR40" s="68"/>
      <c r="CS40" s="68"/>
      <c r="CT40" s="68"/>
      <c r="CU40" s="68"/>
      <c r="CV40" s="68"/>
      <c r="CW40" s="68"/>
      <c r="CX40" s="68"/>
      <c r="CY40" s="68"/>
      <c r="CZ40" s="68"/>
      <c r="DA40" s="68"/>
      <c r="DB40" s="68"/>
      <c r="DC40" s="68"/>
      <c r="DD40" s="68"/>
      <c r="DE40" s="68"/>
      <c r="DF40" s="68"/>
      <c r="DG40" s="68"/>
      <c r="DH40" s="68"/>
      <c r="DI40" s="68"/>
      <c r="DJ40" s="68"/>
      <c r="DK40" s="68"/>
      <c r="DL40" s="68"/>
      <c r="DM40" s="68"/>
      <c r="DN40" s="68"/>
      <c r="DO40" s="68"/>
      <c r="DP40" s="68"/>
      <c r="DQ40" s="68"/>
      <c r="DR40" s="68"/>
      <c r="DS40" s="68"/>
      <c r="DT40" s="68"/>
      <c r="DU40" s="68"/>
      <c r="DV40" s="68"/>
      <c r="DW40" s="68"/>
      <c r="DX40" s="68"/>
      <c r="DY40" s="68"/>
      <c r="DZ40" s="68"/>
      <c r="EA40" s="68"/>
      <c r="EB40" s="68"/>
      <c r="EC40" s="68"/>
      <c r="ED40" s="68"/>
      <c r="EE40" s="68"/>
      <c r="EF40" s="68"/>
      <c r="EG40" s="68"/>
      <c r="EH40" s="68"/>
      <c r="EI40" s="68"/>
      <c r="EJ40" s="68"/>
    </row>
    <row r="41" spans="1:140" s="78" customFormat="1">
      <c r="A41" s="83"/>
      <c r="B41" s="131"/>
      <c r="C41" s="358"/>
      <c r="D41" s="76"/>
      <c r="E41" s="76"/>
      <c r="F41" s="76"/>
      <c r="G41" s="76"/>
      <c r="H41" s="76"/>
      <c r="I41" s="76"/>
      <c r="J41" s="76">
        <f>+'II-H-4.1 Monthly'!P39</f>
        <v>1247330541.3499999</v>
      </c>
      <c r="K41" s="76"/>
      <c r="L41" s="68"/>
      <c r="M41" s="68"/>
      <c r="N41" s="68"/>
      <c r="P41" s="68"/>
      <c r="Q41" s="68"/>
      <c r="R41" s="68"/>
      <c r="S41" s="68"/>
      <c r="T41" s="128">
        <f>+J41-T39</f>
        <v>-4260.1199998855591</v>
      </c>
      <c r="U41" s="89" t="s">
        <v>360</v>
      </c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8"/>
      <c r="BS41" s="68"/>
      <c r="BT41" s="68"/>
      <c r="BU41" s="68"/>
      <c r="BV41" s="68"/>
      <c r="BW41" s="68"/>
      <c r="BX41" s="68"/>
      <c r="BY41" s="68"/>
      <c r="BZ41" s="68"/>
      <c r="CA41" s="68"/>
      <c r="CB41" s="68"/>
      <c r="CC41" s="68"/>
      <c r="CD41" s="68"/>
      <c r="CE41" s="68"/>
      <c r="CF41" s="68"/>
      <c r="CG41" s="68"/>
      <c r="CH41" s="68"/>
      <c r="CI41" s="68"/>
      <c r="CJ41" s="68"/>
      <c r="CK41" s="68"/>
      <c r="CL41" s="68"/>
      <c r="CM41" s="68"/>
      <c r="CN41" s="68"/>
      <c r="CO41" s="68"/>
      <c r="CP41" s="68"/>
      <c r="CQ41" s="68"/>
      <c r="CR41" s="68"/>
      <c r="CS41" s="68"/>
      <c r="CT41" s="68"/>
      <c r="CU41" s="68"/>
      <c r="CV41" s="68"/>
      <c r="CW41" s="68"/>
      <c r="CX41" s="68"/>
      <c r="CY41" s="68"/>
      <c r="CZ41" s="68"/>
      <c r="DA41" s="68"/>
      <c r="DB41" s="68"/>
      <c r="DC41" s="68"/>
      <c r="DD41" s="68"/>
      <c r="DE41" s="68"/>
      <c r="DF41" s="68"/>
      <c r="DG41" s="68"/>
      <c r="DH41" s="68"/>
      <c r="DI41" s="68"/>
      <c r="DJ41" s="68"/>
      <c r="DK41" s="68"/>
      <c r="DL41" s="68"/>
      <c r="DM41" s="68"/>
      <c r="DN41" s="68"/>
      <c r="DO41" s="68"/>
      <c r="DP41" s="68"/>
      <c r="DQ41" s="68"/>
      <c r="DR41" s="68"/>
      <c r="DS41" s="68"/>
      <c r="DT41" s="68"/>
      <c r="DU41" s="68"/>
      <c r="DV41" s="68"/>
      <c r="DW41" s="68"/>
      <c r="DX41" s="68"/>
      <c r="DY41" s="68"/>
      <c r="DZ41" s="68"/>
      <c r="EA41" s="68"/>
      <c r="EB41" s="68"/>
      <c r="EC41" s="68"/>
      <c r="ED41" s="68"/>
      <c r="EE41" s="68"/>
      <c r="EF41" s="68"/>
      <c r="EG41" s="68"/>
      <c r="EH41" s="68"/>
      <c r="EI41" s="68"/>
      <c r="EJ41" s="68"/>
    </row>
    <row r="42" spans="1:140" s="78" customFormat="1">
      <c r="A42" s="83"/>
      <c r="B42" s="131"/>
      <c r="C42" s="358"/>
      <c r="D42" s="76"/>
      <c r="E42" s="76"/>
      <c r="F42" s="76"/>
      <c r="G42" s="76"/>
      <c r="H42" s="76"/>
      <c r="I42" s="76"/>
      <c r="J42" s="76"/>
      <c r="K42" s="76"/>
      <c r="L42" s="68"/>
      <c r="M42" s="68"/>
      <c r="N42" s="68"/>
      <c r="O42" s="68"/>
      <c r="P42" s="68"/>
      <c r="Q42" s="68"/>
      <c r="R42" s="68"/>
      <c r="S42" s="68"/>
      <c r="T42" s="12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68"/>
      <c r="BK42" s="68"/>
      <c r="BL42" s="68"/>
      <c r="BM42" s="68"/>
      <c r="BN42" s="68"/>
      <c r="BO42" s="68"/>
      <c r="BP42" s="68"/>
      <c r="BQ42" s="68"/>
      <c r="BR42" s="68"/>
      <c r="BS42" s="68"/>
      <c r="BT42" s="68"/>
      <c r="BU42" s="68"/>
      <c r="BV42" s="68"/>
      <c r="BW42" s="68"/>
      <c r="BX42" s="68"/>
      <c r="BY42" s="68"/>
      <c r="BZ42" s="68"/>
      <c r="CA42" s="68"/>
      <c r="CB42" s="68"/>
      <c r="CC42" s="68"/>
      <c r="CD42" s="68"/>
      <c r="CE42" s="68"/>
      <c r="CF42" s="68"/>
      <c r="CG42" s="68"/>
      <c r="CH42" s="68"/>
      <c r="CI42" s="68"/>
      <c r="CJ42" s="68"/>
      <c r="CK42" s="68"/>
      <c r="CL42" s="68"/>
      <c r="CM42" s="68"/>
      <c r="CN42" s="68"/>
      <c r="CO42" s="68"/>
      <c r="CP42" s="68"/>
      <c r="CQ42" s="68"/>
      <c r="CR42" s="68"/>
      <c r="CS42" s="68"/>
      <c r="CT42" s="68"/>
      <c r="CU42" s="68"/>
      <c r="CV42" s="68"/>
      <c r="CW42" s="68"/>
      <c r="CX42" s="68"/>
      <c r="CY42" s="68"/>
      <c r="CZ42" s="68"/>
      <c r="DA42" s="68"/>
      <c r="DB42" s="68"/>
      <c r="DC42" s="68"/>
      <c r="DD42" s="68"/>
      <c r="DE42" s="68"/>
      <c r="DF42" s="68"/>
      <c r="DG42" s="68"/>
      <c r="DH42" s="68"/>
      <c r="DI42" s="68"/>
      <c r="DJ42" s="68"/>
      <c r="DK42" s="68"/>
      <c r="DL42" s="68"/>
      <c r="DM42" s="68"/>
      <c r="DN42" s="68"/>
      <c r="DO42" s="68"/>
      <c r="DP42" s="68"/>
      <c r="DQ42" s="68"/>
      <c r="DR42" s="68"/>
      <c r="DS42" s="68"/>
      <c r="DT42" s="68"/>
      <c r="DU42" s="68"/>
      <c r="DV42" s="68"/>
      <c r="DW42" s="68"/>
      <c r="DX42" s="68"/>
      <c r="DY42" s="68"/>
      <c r="DZ42" s="68"/>
      <c r="EA42" s="68"/>
      <c r="EB42" s="68"/>
      <c r="EC42" s="68"/>
      <c r="ED42" s="68"/>
      <c r="EE42" s="68"/>
      <c r="EF42" s="68"/>
      <c r="EG42" s="68"/>
      <c r="EH42" s="68"/>
      <c r="EI42" s="68"/>
      <c r="EJ42" s="68"/>
    </row>
    <row r="43" spans="1:140" s="78" customFormat="1">
      <c r="A43" s="83"/>
      <c r="B43" s="92"/>
      <c r="C43" s="358"/>
      <c r="D43" s="76"/>
      <c r="E43" s="191"/>
      <c r="F43" s="76"/>
      <c r="G43" s="76"/>
      <c r="H43" s="76"/>
      <c r="I43" s="76"/>
      <c r="J43" s="76"/>
      <c r="K43" s="76"/>
      <c r="L43" s="68"/>
      <c r="M43" s="68"/>
      <c r="N43" s="68"/>
      <c r="O43" s="68"/>
      <c r="P43" s="68"/>
      <c r="Q43" s="68"/>
      <c r="R43" s="68"/>
      <c r="S43" s="68"/>
      <c r="T43" s="12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8"/>
      <c r="EC43" s="68"/>
      <c r="ED43" s="68"/>
      <c r="EE43" s="68"/>
      <c r="EF43" s="68"/>
      <c r="EG43" s="68"/>
      <c r="EH43" s="68"/>
      <c r="EI43" s="68"/>
      <c r="EJ43" s="68"/>
    </row>
    <row r="44" spans="1:140" ht="11.25" customHeight="1">
      <c r="A44" s="366" t="str">
        <f>+A8</f>
        <v xml:space="preserve">AEP TEXAS </v>
      </c>
      <c r="B44" s="366"/>
      <c r="C44" s="366"/>
      <c r="D44" s="366"/>
      <c r="E44" s="366"/>
      <c r="F44" s="366"/>
      <c r="G44" s="366"/>
      <c r="H44" s="366"/>
      <c r="I44" s="366"/>
      <c r="J44" s="366"/>
      <c r="K44" s="366"/>
      <c r="L44" s="366"/>
      <c r="M44" s="366"/>
      <c r="N44" s="366"/>
      <c r="O44" s="366"/>
      <c r="P44" s="366"/>
      <c r="Q44" s="366"/>
      <c r="R44" s="366"/>
      <c r="S44" s="366"/>
      <c r="T44" s="366"/>
      <c r="U44" s="138"/>
    </row>
    <row r="45" spans="1:140" ht="12.75" customHeight="1">
      <c r="A45" s="371" t="s">
        <v>79</v>
      </c>
      <c r="B45" s="371"/>
      <c r="C45" s="371"/>
      <c r="D45" s="371"/>
      <c r="E45" s="371"/>
      <c r="F45" s="371"/>
      <c r="G45" s="371"/>
      <c r="H45" s="371"/>
      <c r="I45" s="371"/>
      <c r="J45" s="371"/>
      <c r="K45" s="371"/>
      <c r="L45" s="371"/>
      <c r="M45" s="371"/>
      <c r="N45" s="371"/>
      <c r="O45" s="371"/>
      <c r="P45" s="371"/>
      <c r="Q45" s="371"/>
      <c r="R45" s="371"/>
      <c r="S45" s="371"/>
      <c r="T45" s="371"/>
    </row>
    <row r="46" spans="1:140" ht="12.75" customHeight="1">
      <c r="A46" s="371" t="str">
        <f>+A10</f>
        <v>FOR TEST YEAR ENDED SEPTEMBER 30, 2023</v>
      </c>
      <c r="B46" s="371"/>
      <c r="C46" s="371"/>
      <c r="D46" s="371"/>
      <c r="E46" s="371"/>
      <c r="F46" s="371"/>
      <c r="G46" s="371"/>
      <c r="H46" s="371"/>
      <c r="I46" s="371"/>
      <c r="J46" s="371"/>
      <c r="K46" s="371"/>
      <c r="L46" s="371"/>
      <c r="M46" s="371"/>
      <c r="N46" s="371"/>
      <c r="O46" s="371"/>
      <c r="P46" s="371"/>
      <c r="Q46" s="371"/>
      <c r="R46" s="371"/>
      <c r="S46" s="371"/>
      <c r="T46" s="371"/>
    </row>
    <row r="47" spans="1:140">
      <c r="B47" s="73"/>
      <c r="C47" s="358"/>
      <c r="D47" s="358"/>
      <c r="E47" s="358"/>
      <c r="F47" s="140"/>
      <c r="G47" s="140"/>
      <c r="H47" s="140"/>
      <c r="I47" s="358"/>
      <c r="J47" s="358"/>
      <c r="K47" s="360"/>
    </row>
    <row r="48" spans="1:140">
      <c r="B48" s="73"/>
      <c r="D48" s="186"/>
      <c r="E48" s="108"/>
      <c r="F48" s="108"/>
      <c r="G48" s="108"/>
      <c r="H48" s="108"/>
    </row>
    <row r="49" spans="1:140" ht="45">
      <c r="A49" s="358" t="s">
        <v>8</v>
      </c>
      <c r="B49" s="361" t="s">
        <v>0</v>
      </c>
      <c r="C49" s="361" t="s">
        <v>7</v>
      </c>
      <c r="D49" s="192" t="str">
        <f>$D$13</f>
        <v>Customer Revenue - Base Tariff</v>
      </c>
      <c r="E49" s="192" t="str">
        <f>$E$13</f>
        <v xml:space="preserve">Meter Revenue - Base Tariff </v>
      </c>
      <c r="F49" s="141" t="s">
        <v>80</v>
      </c>
      <c r="G49" s="192" t="str">
        <f>$G$13</f>
        <v>Facilities Charge</v>
      </c>
      <c r="H49" s="192" t="str">
        <f>+H13</f>
        <v>DCRF Revenue</v>
      </c>
      <c r="I49" s="192" t="str">
        <f>$I$13</f>
        <v>TCRF Revenue</v>
      </c>
      <c r="J49" s="192" t="str">
        <f>$J$13</f>
        <v>Total Base Tariff Revenue</v>
      </c>
      <c r="K49" s="193"/>
      <c r="L49" s="192" t="str">
        <f>+L13</f>
        <v>TTRAR</v>
      </c>
      <c r="M49" s="192" t="str">
        <f t="shared" ref="M49:Q49" si="10">+M13</f>
        <v>EECR</v>
      </c>
      <c r="N49" s="192" t="str">
        <f t="shared" si="10"/>
        <v>TC3</v>
      </c>
      <c r="O49" s="192" t="str">
        <f t="shared" si="10"/>
        <v>MTEEE</v>
      </c>
      <c r="P49" s="192" t="str">
        <f t="shared" si="10"/>
        <v>SRC</v>
      </c>
      <c r="Q49" s="192" t="str">
        <f t="shared" si="10"/>
        <v>Miscellaneous Riders</v>
      </c>
      <c r="R49" s="192" t="str">
        <f>$R$13</f>
        <v>Total Riders</v>
      </c>
      <c r="S49" s="189"/>
      <c r="T49" s="192" t="str">
        <f>$T$13</f>
        <v>Total Revenue</v>
      </c>
    </row>
    <row r="50" spans="1:140">
      <c r="B50" s="361"/>
      <c r="C50" s="361"/>
      <c r="D50" s="97"/>
      <c r="E50" s="97"/>
      <c r="F50" s="97"/>
      <c r="G50" s="97"/>
      <c r="H50" s="97"/>
      <c r="I50" s="97"/>
      <c r="J50" s="97"/>
      <c r="K50" s="123"/>
    </row>
    <row r="51" spans="1:140" s="78" customFormat="1">
      <c r="A51" s="83" t="s">
        <v>9</v>
      </c>
      <c r="B51" s="78" t="s">
        <v>17</v>
      </c>
      <c r="C51" s="85" t="s">
        <v>4</v>
      </c>
      <c r="D51" s="90"/>
      <c r="E51" s="90"/>
      <c r="F51" s="90"/>
      <c r="G51" s="90"/>
      <c r="H51" s="90">
        <f>+-H15</f>
        <v>-60613641.559999987</v>
      </c>
      <c r="I51" s="90">
        <f>-I15</f>
        <v>-195216362.53999996</v>
      </c>
      <c r="J51" s="71">
        <f>SUM(D51:I51)</f>
        <v>-255830004.09999996</v>
      </c>
      <c r="K51" s="124"/>
      <c r="L51" s="124">
        <f t="shared" ref="L51:P51" si="11">-L15</f>
        <v>-2981645.4299999997</v>
      </c>
      <c r="M51" s="124">
        <f t="shared" si="11"/>
        <v>-14232786.710000001</v>
      </c>
      <c r="N51" s="124">
        <f t="shared" si="11"/>
        <v>-27997172.240000002</v>
      </c>
      <c r="O51" s="124">
        <f t="shared" si="11"/>
        <v>-1232462.07</v>
      </c>
      <c r="P51" s="124">
        <f t="shared" si="11"/>
        <v>-14176856.449999999</v>
      </c>
      <c r="Q51" s="124">
        <f>-Q15</f>
        <v>-96.33</v>
      </c>
      <c r="R51" s="124">
        <f>SUM(L51:Q51)</f>
        <v>-60621019.230000004</v>
      </c>
      <c r="S51" s="124"/>
      <c r="T51" s="124">
        <f>R51+J51</f>
        <v>-316451023.32999998</v>
      </c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  <c r="BM51" s="68"/>
      <c r="BN51" s="68"/>
      <c r="BO51" s="68"/>
      <c r="BP51" s="68"/>
      <c r="BQ51" s="68"/>
      <c r="BR51" s="68"/>
      <c r="BS51" s="68"/>
      <c r="BT51" s="68"/>
      <c r="BU51" s="68"/>
      <c r="BV51" s="68"/>
      <c r="BW51" s="68"/>
      <c r="BX51" s="68"/>
      <c r="BY51" s="68"/>
      <c r="BZ51" s="68"/>
      <c r="CA51" s="68"/>
      <c r="CB51" s="68"/>
      <c r="CC51" s="68"/>
      <c r="CD51" s="68"/>
      <c r="CE51" s="68"/>
      <c r="CF51" s="68"/>
      <c r="CG51" s="68"/>
      <c r="CH51" s="68"/>
      <c r="CI51" s="68"/>
      <c r="CJ51" s="68"/>
      <c r="CK51" s="68"/>
      <c r="CL51" s="68"/>
      <c r="CM51" s="68"/>
      <c r="CN51" s="68"/>
      <c r="CO51" s="68"/>
      <c r="CP51" s="68"/>
      <c r="CQ51" s="68"/>
      <c r="CR51" s="68"/>
      <c r="CS51" s="68"/>
      <c r="CT51" s="68"/>
      <c r="CU51" s="68"/>
      <c r="CV51" s="68"/>
      <c r="CW51" s="68"/>
      <c r="CX51" s="68"/>
      <c r="CY51" s="68"/>
      <c r="CZ51" s="68"/>
      <c r="DA51" s="68"/>
      <c r="DB51" s="68"/>
      <c r="DC51" s="68"/>
      <c r="DD51" s="68"/>
      <c r="DE51" s="68"/>
      <c r="DF51" s="68"/>
      <c r="DG51" s="68"/>
      <c r="DH51" s="68"/>
      <c r="DI51" s="68"/>
      <c r="DJ51" s="68"/>
      <c r="DK51" s="68"/>
      <c r="DL51" s="68"/>
      <c r="DM51" s="68"/>
      <c r="DN51" s="68"/>
      <c r="DO51" s="68"/>
      <c r="DP51" s="68"/>
      <c r="DQ51" s="68"/>
      <c r="DR51" s="68"/>
      <c r="DS51" s="68"/>
      <c r="DT51" s="68"/>
      <c r="DU51" s="68"/>
      <c r="DV51" s="68"/>
      <c r="DW51" s="68"/>
      <c r="DX51" s="68"/>
      <c r="DY51" s="68"/>
      <c r="DZ51" s="68"/>
      <c r="EA51" s="68"/>
      <c r="EB51" s="68"/>
      <c r="EC51" s="68"/>
      <c r="ED51" s="68"/>
      <c r="EE51" s="68"/>
      <c r="EF51" s="68"/>
      <c r="EG51" s="68"/>
      <c r="EH51" s="68"/>
      <c r="EI51" s="68"/>
      <c r="EJ51" s="68"/>
    </row>
    <row r="52" spans="1:140" s="78" customFormat="1">
      <c r="C52" s="85"/>
      <c r="E52" s="90"/>
      <c r="F52" s="90"/>
      <c r="G52" s="90"/>
      <c r="H52" s="90"/>
      <c r="I52" s="90"/>
      <c r="J52" s="102"/>
      <c r="K52" s="127"/>
      <c r="L52" s="68"/>
      <c r="M52" s="68"/>
      <c r="N52" s="68"/>
      <c r="O52" s="125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  <c r="BM52" s="68"/>
      <c r="BN52" s="68"/>
      <c r="BO52" s="68"/>
      <c r="BP52" s="68"/>
      <c r="BQ52" s="68"/>
      <c r="BR52" s="68"/>
      <c r="BS52" s="68"/>
      <c r="BT52" s="68"/>
      <c r="BU52" s="68"/>
      <c r="BV52" s="68"/>
      <c r="BW52" s="68"/>
      <c r="BX52" s="68"/>
      <c r="BY52" s="68"/>
      <c r="BZ52" s="68"/>
      <c r="CA52" s="68"/>
      <c r="CB52" s="68"/>
      <c r="CC52" s="68"/>
      <c r="CD52" s="68"/>
      <c r="CE52" s="68"/>
      <c r="CF52" s="68"/>
      <c r="CG52" s="68"/>
      <c r="CH52" s="68"/>
      <c r="CI52" s="68"/>
      <c r="CJ52" s="68"/>
      <c r="CK52" s="68"/>
      <c r="CL52" s="68"/>
      <c r="CM52" s="68"/>
      <c r="CN52" s="68"/>
      <c r="CO52" s="68"/>
      <c r="CP52" s="68"/>
      <c r="CQ52" s="68"/>
      <c r="CR52" s="68"/>
      <c r="CS52" s="68"/>
      <c r="CT52" s="68"/>
      <c r="CU52" s="68"/>
      <c r="CV52" s="68"/>
      <c r="CW52" s="68"/>
      <c r="CX52" s="68"/>
      <c r="CY52" s="68"/>
      <c r="CZ52" s="68"/>
      <c r="DA52" s="68"/>
      <c r="DB52" s="68"/>
      <c r="DC52" s="68"/>
      <c r="DD52" s="68"/>
      <c r="DE52" s="68"/>
      <c r="DF52" s="68"/>
      <c r="DG52" s="68"/>
      <c r="DH52" s="68"/>
      <c r="DI52" s="68"/>
      <c r="DJ52" s="68"/>
      <c r="DK52" s="68"/>
      <c r="DL52" s="68"/>
      <c r="DM52" s="68"/>
      <c r="DN52" s="68"/>
      <c r="DO52" s="68"/>
      <c r="DP52" s="68"/>
      <c r="DQ52" s="68"/>
      <c r="DR52" s="68"/>
      <c r="DS52" s="68"/>
      <c r="DT52" s="68"/>
      <c r="DU52" s="68"/>
      <c r="DV52" s="68"/>
      <c r="DW52" s="68"/>
      <c r="DX52" s="68"/>
      <c r="DY52" s="68"/>
      <c r="DZ52" s="68"/>
      <c r="EA52" s="68"/>
      <c r="EB52" s="68"/>
      <c r="EC52" s="68"/>
      <c r="ED52" s="68"/>
      <c r="EE52" s="68"/>
      <c r="EF52" s="68"/>
      <c r="EG52" s="68"/>
      <c r="EH52" s="68"/>
      <c r="EI52" s="68"/>
      <c r="EJ52" s="68"/>
    </row>
    <row r="53" spans="1:140" s="78" customFormat="1">
      <c r="A53" s="83">
        <v>2</v>
      </c>
      <c r="B53" s="78" t="s">
        <v>20</v>
      </c>
      <c r="C53" s="85" t="s">
        <v>4</v>
      </c>
      <c r="D53" s="71"/>
      <c r="E53" s="71"/>
      <c r="F53" s="71"/>
      <c r="G53" s="71"/>
      <c r="H53" s="90">
        <f>+-H17</f>
        <v>-5782103.6000000015</v>
      </c>
      <c r="I53" s="90">
        <f>-I17</f>
        <v>-6531262.9400000004</v>
      </c>
      <c r="J53" s="71">
        <f>SUM(D53:I53)</f>
        <v>-12313366.540000003</v>
      </c>
      <c r="K53" s="84"/>
      <c r="L53" s="124">
        <f t="shared" ref="L53:Q53" si="12">-L17</f>
        <v>-115912.84000000001</v>
      </c>
      <c r="M53" s="124">
        <f t="shared" si="12"/>
        <v>-627738</v>
      </c>
      <c r="N53" s="124">
        <f t="shared" si="12"/>
        <v>-4512469.45</v>
      </c>
      <c r="O53" s="124">
        <f t="shared" si="12"/>
        <v>-107094.36000000002</v>
      </c>
      <c r="P53" s="124">
        <f t="shared" si="12"/>
        <v>-706508.42999999993</v>
      </c>
      <c r="Q53" s="124">
        <f t="shared" si="12"/>
        <v>-54.79</v>
      </c>
      <c r="R53" s="124">
        <f>SUM(L53:Q53)</f>
        <v>-6069777.8700000001</v>
      </c>
      <c r="S53" s="124"/>
      <c r="T53" s="124">
        <f>R53+J53</f>
        <v>-18383144.410000004</v>
      </c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  <c r="BW53" s="68"/>
      <c r="BX53" s="68"/>
      <c r="BY53" s="68"/>
      <c r="BZ53" s="68"/>
      <c r="CA53" s="68"/>
      <c r="CB53" s="68"/>
      <c r="CC53" s="68"/>
      <c r="CD53" s="68"/>
      <c r="CE53" s="68"/>
      <c r="CF53" s="68"/>
      <c r="CG53" s="68"/>
      <c r="CH53" s="68"/>
      <c r="CI53" s="68"/>
      <c r="CJ53" s="68"/>
      <c r="CK53" s="68"/>
      <c r="CL53" s="68"/>
      <c r="CM53" s="68"/>
      <c r="CN53" s="68"/>
      <c r="CO53" s="68"/>
      <c r="CP53" s="68"/>
      <c r="CQ53" s="68"/>
      <c r="CR53" s="68"/>
      <c r="CS53" s="68"/>
      <c r="CT53" s="68"/>
      <c r="CU53" s="68"/>
      <c r="CV53" s="68"/>
      <c r="CW53" s="68"/>
      <c r="CX53" s="68"/>
      <c r="CY53" s="68"/>
      <c r="CZ53" s="68"/>
      <c r="DA53" s="68"/>
      <c r="DB53" s="68"/>
      <c r="DC53" s="68"/>
      <c r="DD53" s="68"/>
      <c r="DE53" s="68"/>
      <c r="DF53" s="68"/>
      <c r="DG53" s="68"/>
      <c r="DH53" s="68"/>
      <c r="DI53" s="68"/>
      <c r="DJ53" s="68"/>
      <c r="DK53" s="68"/>
      <c r="DL53" s="68"/>
      <c r="DM53" s="68"/>
      <c r="DN53" s="68"/>
      <c r="DO53" s="68"/>
      <c r="DP53" s="68"/>
      <c r="DQ53" s="68"/>
      <c r="DR53" s="68"/>
      <c r="DS53" s="68"/>
      <c r="DT53" s="68"/>
      <c r="DU53" s="68"/>
      <c r="DV53" s="68"/>
      <c r="DW53" s="68"/>
      <c r="DX53" s="68"/>
      <c r="DY53" s="68"/>
      <c r="DZ53" s="68"/>
      <c r="EA53" s="68"/>
      <c r="EB53" s="68"/>
      <c r="EC53" s="68"/>
      <c r="ED53" s="68"/>
      <c r="EE53" s="68"/>
      <c r="EF53" s="68"/>
      <c r="EG53" s="68"/>
      <c r="EH53" s="68"/>
      <c r="EI53" s="68"/>
      <c r="EJ53" s="68"/>
    </row>
    <row r="54" spans="1:140" s="78" customFormat="1">
      <c r="A54" s="83"/>
      <c r="C54" s="85"/>
      <c r="D54" s="71"/>
      <c r="E54" s="71"/>
      <c r="F54" s="71"/>
      <c r="G54" s="71"/>
      <c r="H54" s="71"/>
      <c r="I54" s="71"/>
      <c r="J54" s="71"/>
      <c r="K54" s="84"/>
      <c r="L54" s="68"/>
      <c r="M54" s="124"/>
      <c r="N54" s="124"/>
      <c r="O54" s="124"/>
      <c r="P54" s="124"/>
      <c r="Q54" s="124"/>
      <c r="R54" s="124"/>
      <c r="S54" s="124"/>
      <c r="T54" s="124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8"/>
      <c r="BK54" s="68"/>
      <c r="BL54" s="68"/>
      <c r="BM54" s="68"/>
      <c r="BN54" s="68"/>
      <c r="BO54" s="68"/>
      <c r="BP54" s="68"/>
      <c r="BQ54" s="68"/>
      <c r="BR54" s="68"/>
      <c r="BS54" s="68"/>
      <c r="BT54" s="68"/>
      <c r="BU54" s="68"/>
      <c r="BV54" s="68"/>
      <c r="BW54" s="68"/>
      <c r="BX54" s="68"/>
      <c r="BY54" s="68"/>
      <c r="BZ54" s="68"/>
      <c r="CA54" s="68"/>
      <c r="CB54" s="68"/>
      <c r="CC54" s="68"/>
      <c r="CD54" s="68"/>
      <c r="CE54" s="68"/>
      <c r="CF54" s="68"/>
      <c r="CG54" s="68"/>
      <c r="CH54" s="68"/>
      <c r="CI54" s="68"/>
      <c r="CJ54" s="68"/>
      <c r="CK54" s="68"/>
      <c r="CL54" s="68"/>
      <c r="CM54" s="68"/>
      <c r="CN54" s="68"/>
      <c r="CO54" s="68"/>
      <c r="CP54" s="68"/>
      <c r="CQ54" s="68"/>
      <c r="CR54" s="68"/>
      <c r="CS54" s="68"/>
      <c r="CT54" s="68"/>
      <c r="CU54" s="68"/>
      <c r="CV54" s="68"/>
      <c r="CW54" s="68"/>
      <c r="CX54" s="68"/>
      <c r="CY54" s="68"/>
      <c r="CZ54" s="68"/>
      <c r="DA54" s="68"/>
      <c r="DB54" s="68"/>
      <c r="DC54" s="68"/>
      <c r="DD54" s="68"/>
      <c r="DE54" s="68"/>
      <c r="DF54" s="68"/>
      <c r="DG54" s="68"/>
      <c r="DH54" s="68"/>
      <c r="DI54" s="68"/>
      <c r="DJ54" s="68"/>
      <c r="DK54" s="68"/>
      <c r="DL54" s="68"/>
      <c r="DM54" s="68"/>
      <c r="DN54" s="68"/>
      <c r="DO54" s="68"/>
      <c r="DP54" s="68"/>
      <c r="DQ54" s="68"/>
      <c r="DR54" s="68"/>
      <c r="DS54" s="68"/>
      <c r="DT54" s="68"/>
      <c r="DU54" s="68"/>
      <c r="DV54" s="68"/>
      <c r="DW54" s="68"/>
      <c r="DX54" s="68"/>
      <c r="DY54" s="68"/>
      <c r="DZ54" s="68"/>
      <c r="EA54" s="68"/>
      <c r="EB54" s="68"/>
      <c r="EC54" s="68"/>
      <c r="ED54" s="68"/>
      <c r="EE54" s="68"/>
      <c r="EF54" s="68"/>
      <c r="EG54" s="68"/>
      <c r="EH54" s="68"/>
      <c r="EI54" s="68"/>
      <c r="EJ54" s="68"/>
    </row>
    <row r="55" spans="1:140" s="78" customFormat="1">
      <c r="A55" s="83">
        <v>3</v>
      </c>
      <c r="B55" s="87" t="s">
        <v>84</v>
      </c>
      <c r="C55" s="74" t="s">
        <v>4</v>
      </c>
      <c r="D55" s="84"/>
      <c r="E55" s="84"/>
      <c r="F55" s="71"/>
      <c r="G55" s="84"/>
      <c r="H55" s="90">
        <f t="shared" ref="H55:H56" si="13">+-H19</f>
        <v>-26612208.369999997</v>
      </c>
      <c r="I55" s="90">
        <f t="shared" ref="I55:I56" si="14">-I19</f>
        <v>-107501111.58</v>
      </c>
      <c r="J55" s="71">
        <f t="shared" ref="J55:J56" si="15">SUM(D55:I55)</f>
        <v>-134113319.94999999</v>
      </c>
      <c r="K55" s="84"/>
      <c r="L55" s="124">
        <f t="shared" ref="L55:Q56" si="16">-L19</f>
        <v>-1471094.95</v>
      </c>
      <c r="M55" s="124">
        <f t="shared" si="16"/>
        <v>-8162304.1600000001</v>
      </c>
      <c r="N55" s="124">
        <f t="shared" si="16"/>
        <v>-27005442.690000001</v>
      </c>
      <c r="O55" s="124">
        <f t="shared" si="16"/>
        <v>-438124.11</v>
      </c>
      <c r="P55" s="124">
        <f t="shared" si="16"/>
        <v>-7674626.1499999994</v>
      </c>
      <c r="Q55" s="124">
        <f t="shared" si="16"/>
        <v>10.190000000000001</v>
      </c>
      <c r="R55" s="124">
        <f>SUM(L55:Q55)</f>
        <v>-44751581.869999997</v>
      </c>
      <c r="S55" s="124"/>
      <c r="T55" s="124">
        <f>R55+J55</f>
        <v>-178864901.81999999</v>
      </c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/>
      <c r="BU55" s="68"/>
      <c r="BV55" s="68"/>
      <c r="BW55" s="68"/>
      <c r="BX55" s="68"/>
      <c r="BY55" s="68"/>
      <c r="BZ55" s="68"/>
      <c r="CA55" s="68"/>
      <c r="CB55" s="68"/>
      <c r="CC55" s="68"/>
      <c r="CD55" s="68"/>
      <c r="CE55" s="68"/>
      <c r="CF55" s="68"/>
      <c r="CG55" s="68"/>
      <c r="CH55" s="68"/>
      <c r="CI55" s="68"/>
      <c r="CJ55" s="68"/>
      <c r="CK55" s="68"/>
      <c r="CL55" s="68"/>
      <c r="CM55" s="68"/>
      <c r="CN55" s="68"/>
      <c r="CO55" s="68"/>
      <c r="CP55" s="68"/>
      <c r="CQ55" s="68"/>
      <c r="CR55" s="68"/>
      <c r="CS55" s="68"/>
      <c r="CT55" s="68"/>
      <c r="CU55" s="68"/>
      <c r="CV55" s="68"/>
      <c r="CW55" s="68"/>
      <c r="CX55" s="68"/>
      <c r="CY55" s="68"/>
      <c r="CZ55" s="68"/>
      <c r="DA55" s="68"/>
      <c r="DB55" s="68"/>
      <c r="DC55" s="68"/>
      <c r="DD55" s="68"/>
      <c r="DE55" s="68"/>
      <c r="DF55" s="68"/>
      <c r="DG55" s="68"/>
      <c r="DH55" s="68"/>
      <c r="DI55" s="68"/>
      <c r="DJ55" s="68"/>
      <c r="DK55" s="68"/>
      <c r="DL55" s="68"/>
      <c r="DM55" s="68"/>
      <c r="DN55" s="68"/>
      <c r="DO55" s="68"/>
      <c r="DP55" s="68"/>
      <c r="DQ55" s="68"/>
      <c r="DR55" s="68"/>
      <c r="DS55" s="68"/>
      <c r="DT55" s="68"/>
      <c r="DU55" s="68"/>
      <c r="DV55" s="68"/>
      <c r="DW55" s="68"/>
      <c r="DX55" s="68"/>
      <c r="DY55" s="68"/>
      <c r="DZ55" s="68"/>
      <c r="EA55" s="68"/>
      <c r="EB55" s="68"/>
      <c r="EC55" s="68"/>
      <c r="ED55" s="68"/>
      <c r="EE55" s="68"/>
      <c r="EF55" s="68"/>
      <c r="EG55" s="68"/>
      <c r="EH55" s="68"/>
      <c r="EI55" s="68"/>
      <c r="EJ55" s="68"/>
    </row>
    <row r="56" spans="1:140" s="78" customFormat="1">
      <c r="A56" s="83">
        <v>4</v>
      </c>
      <c r="B56" s="87" t="s">
        <v>85</v>
      </c>
      <c r="C56" s="74" t="s">
        <v>4</v>
      </c>
      <c r="D56" s="72"/>
      <c r="E56" s="72"/>
      <c r="F56" s="72"/>
      <c r="G56" s="72"/>
      <c r="H56" s="149">
        <f t="shared" si="13"/>
        <v>-3442679.5900000003</v>
      </c>
      <c r="I56" s="149">
        <f t="shared" si="14"/>
        <v>-13326752.060000002</v>
      </c>
      <c r="J56" s="72">
        <f t="shared" si="15"/>
        <v>-16769431.650000002</v>
      </c>
      <c r="K56" s="84"/>
      <c r="L56" s="149">
        <f t="shared" si="16"/>
        <v>-189910.7</v>
      </c>
      <c r="M56" s="149">
        <f t="shared" si="16"/>
        <v>-1347101.5699999998</v>
      </c>
      <c r="N56" s="149">
        <f t="shared" si="16"/>
        <v>-2541524.5300000003</v>
      </c>
      <c r="O56" s="149">
        <f t="shared" si="16"/>
        <v>-58722.27</v>
      </c>
      <c r="P56" s="149">
        <f t="shared" si="16"/>
        <v>-812052.25</v>
      </c>
      <c r="Q56" s="149">
        <f t="shared" si="16"/>
        <v>0</v>
      </c>
      <c r="R56" s="149">
        <f>SUM(L56:Q56)</f>
        <v>-4949311.32</v>
      </c>
      <c r="S56" s="149"/>
      <c r="T56" s="149">
        <f>R56+J56</f>
        <v>-21718742.970000003</v>
      </c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8"/>
      <c r="BU56" s="68"/>
      <c r="BV56" s="68"/>
      <c r="BW56" s="68"/>
      <c r="BX56" s="68"/>
      <c r="BY56" s="68"/>
      <c r="BZ56" s="68"/>
      <c r="CA56" s="68"/>
      <c r="CB56" s="68"/>
      <c r="CC56" s="68"/>
      <c r="CD56" s="68"/>
      <c r="CE56" s="68"/>
      <c r="CF56" s="68"/>
      <c r="CG56" s="68"/>
      <c r="CH56" s="68"/>
      <c r="CI56" s="68"/>
      <c r="CJ56" s="68"/>
      <c r="CK56" s="68"/>
      <c r="CL56" s="68"/>
      <c r="CM56" s="68"/>
      <c r="CN56" s="68"/>
      <c r="CO56" s="68"/>
      <c r="CP56" s="68"/>
      <c r="CQ56" s="68"/>
      <c r="CR56" s="68"/>
      <c r="CS56" s="68"/>
      <c r="CT56" s="68"/>
      <c r="CU56" s="68"/>
      <c r="CV56" s="68"/>
      <c r="CW56" s="68"/>
      <c r="CX56" s="68"/>
      <c r="CY56" s="68"/>
      <c r="CZ56" s="68"/>
      <c r="DA56" s="68"/>
      <c r="DB56" s="68"/>
      <c r="DC56" s="68"/>
      <c r="DD56" s="68"/>
      <c r="DE56" s="68"/>
      <c r="DF56" s="68"/>
      <c r="DG56" s="68"/>
      <c r="DH56" s="68"/>
      <c r="DI56" s="68"/>
      <c r="DJ56" s="68"/>
      <c r="DK56" s="68"/>
      <c r="DL56" s="68"/>
      <c r="DM56" s="68"/>
      <c r="DN56" s="68"/>
      <c r="DO56" s="68"/>
      <c r="DP56" s="68"/>
      <c r="DQ56" s="68"/>
      <c r="DR56" s="68"/>
      <c r="DS56" s="68"/>
      <c r="DT56" s="68"/>
      <c r="DU56" s="68"/>
      <c r="DV56" s="68"/>
      <c r="DW56" s="68"/>
      <c r="DX56" s="68"/>
      <c r="DY56" s="68"/>
      <c r="DZ56" s="68"/>
      <c r="EA56" s="68"/>
      <c r="EB56" s="68"/>
      <c r="EC56" s="68"/>
      <c r="ED56" s="68"/>
      <c r="EE56" s="68"/>
      <c r="EF56" s="68"/>
      <c r="EG56" s="68"/>
      <c r="EH56" s="68"/>
      <c r="EI56" s="68"/>
      <c r="EJ56" s="68"/>
    </row>
    <row r="57" spans="1:140" s="78" customFormat="1">
      <c r="A57" s="83">
        <v>5</v>
      </c>
      <c r="B57" s="96" t="s">
        <v>18</v>
      </c>
      <c r="C57" s="85"/>
      <c r="D57" s="94">
        <f t="shared" ref="D57:J57" si="17">SUM(D55:D56)</f>
        <v>0</v>
      </c>
      <c r="E57" s="94">
        <f t="shared" si="17"/>
        <v>0</v>
      </c>
      <c r="F57" s="94">
        <f t="shared" si="17"/>
        <v>0</v>
      </c>
      <c r="G57" s="94">
        <f t="shared" si="17"/>
        <v>0</v>
      </c>
      <c r="H57" s="94">
        <f t="shared" si="17"/>
        <v>-30054887.959999997</v>
      </c>
      <c r="I57" s="94">
        <f t="shared" si="17"/>
        <v>-120827863.64</v>
      </c>
      <c r="J57" s="94">
        <f t="shared" si="17"/>
        <v>-150882751.59999999</v>
      </c>
      <c r="K57" s="77"/>
      <c r="L57" s="124">
        <f>-L21</f>
        <v>-1661005.65</v>
      </c>
      <c r="M57" s="124">
        <f>-M21</f>
        <v>-9509405.7300000004</v>
      </c>
      <c r="N57" s="124">
        <f>-N21</f>
        <v>-29546967.220000003</v>
      </c>
      <c r="O57" s="124">
        <f>-O21</f>
        <v>-496846.38</v>
      </c>
      <c r="P57" s="124">
        <f>SUM(P55:P56)</f>
        <v>-8486678.3999999985</v>
      </c>
      <c r="Q57" s="124">
        <f>-Q21</f>
        <v>10.190000000000001</v>
      </c>
      <c r="R57" s="124">
        <f>SUM(L57:Q57)</f>
        <v>-49700893.190000005</v>
      </c>
      <c r="S57" s="124"/>
      <c r="T57" s="124">
        <f>R57+J57</f>
        <v>-200583644.78999999</v>
      </c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  <c r="BW57" s="68"/>
      <c r="BX57" s="68"/>
      <c r="BY57" s="68"/>
      <c r="BZ57" s="68"/>
      <c r="CA57" s="68"/>
      <c r="CB57" s="68"/>
      <c r="CC57" s="68"/>
      <c r="CD57" s="68"/>
      <c r="CE57" s="68"/>
      <c r="CF57" s="68"/>
      <c r="CG57" s="68"/>
      <c r="CH57" s="68"/>
      <c r="CI57" s="68"/>
      <c r="CJ57" s="68"/>
      <c r="CK57" s="68"/>
      <c r="CL57" s="68"/>
      <c r="CM57" s="68"/>
      <c r="CN57" s="68"/>
      <c r="CO57" s="68"/>
      <c r="CP57" s="68"/>
      <c r="CQ57" s="68"/>
      <c r="CR57" s="68"/>
      <c r="CS57" s="68"/>
      <c r="CT57" s="68"/>
      <c r="CU57" s="68"/>
      <c r="CV57" s="68"/>
      <c r="CW57" s="68"/>
      <c r="CX57" s="68"/>
      <c r="CY57" s="68"/>
      <c r="CZ57" s="68"/>
      <c r="DA57" s="68"/>
      <c r="DB57" s="68"/>
      <c r="DC57" s="68"/>
      <c r="DD57" s="68"/>
      <c r="DE57" s="68"/>
      <c r="DF57" s="68"/>
      <c r="DG57" s="68"/>
      <c r="DH57" s="68"/>
      <c r="DI57" s="68"/>
      <c r="DJ57" s="68"/>
      <c r="DK57" s="68"/>
      <c r="DL57" s="68"/>
      <c r="DM57" s="68"/>
      <c r="DN57" s="68"/>
      <c r="DO57" s="68"/>
      <c r="DP57" s="68"/>
      <c r="DQ57" s="68"/>
      <c r="DR57" s="68"/>
      <c r="DS57" s="68"/>
      <c r="DT57" s="68"/>
      <c r="DU57" s="68"/>
      <c r="DV57" s="68"/>
      <c r="DW57" s="68"/>
      <c r="DX57" s="68"/>
      <c r="DY57" s="68"/>
      <c r="DZ57" s="68"/>
      <c r="EA57" s="68"/>
      <c r="EB57" s="68"/>
      <c r="EC57" s="68"/>
      <c r="ED57" s="68"/>
      <c r="EE57" s="68"/>
      <c r="EF57" s="68"/>
      <c r="EG57" s="68"/>
      <c r="EH57" s="68"/>
      <c r="EI57" s="68"/>
      <c r="EJ57" s="68"/>
    </row>
    <row r="58" spans="1:140" s="78" customFormat="1">
      <c r="B58" s="146"/>
      <c r="C58" s="85"/>
      <c r="D58" s="94"/>
      <c r="E58" s="94"/>
      <c r="F58" s="94"/>
      <c r="G58" s="94"/>
      <c r="H58" s="94"/>
      <c r="I58" s="94"/>
      <c r="J58" s="94"/>
      <c r="K58" s="77"/>
      <c r="L58" s="68"/>
      <c r="M58" s="68"/>
      <c r="N58" s="68"/>
      <c r="O58" s="68"/>
      <c r="P58" s="68"/>
      <c r="Q58" s="68"/>
      <c r="R58" s="68"/>
      <c r="S58" s="68"/>
      <c r="T58" s="84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68"/>
      <c r="BU58" s="68"/>
      <c r="BV58" s="68"/>
      <c r="BW58" s="68"/>
      <c r="BX58" s="68"/>
      <c r="BY58" s="68"/>
      <c r="BZ58" s="68"/>
      <c r="CA58" s="68"/>
      <c r="CB58" s="68"/>
      <c r="CC58" s="68"/>
      <c r="CD58" s="68"/>
      <c r="CE58" s="68"/>
      <c r="CF58" s="68"/>
      <c r="CG58" s="68"/>
      <c r="CH58" s="68"/>
      <c r="CI58" s="68"/>
      <c r="CJ58" s="68"/>
      <c r="CK58" s="68"/>
      <c r="CL58" s="68"/>
      <c r="CM58" s="68"/>
      <c r="CN58" s="68"/>
      <c r="CO58" s="68"/>
      <c r="CP58" s="68"/>
      <c r="CQ58" s="68"/>
      <c r="CR58" s="68"/>
      <c r="CS58" s="68"/>
      <c r="CT58" s="68"/>
      <c r="CU58" s="68"/>
      <c r="CV58" s="68"/>
      <c r="CW58" s="68"/>
      <c r="CX58" s="68"/>
      <c r="CY58" s="68"/>
      <c r="CZ58" s="68"/>
      <c r="DA58" s="68"/>
      <c r="DB58" s="68"/>
      <c r="DC58" s="68"/>
      <c r="DD58" s="68"/>
      <c r="DE58" s="68"/>
      <c r="DF58" s="68"/>
      <c r="DG58" s="68"/>
      <c r="DH58" s="68"/>
      <c r="DI58" s="68"/>
      <c r="DJ58" s="68"/>
      <c r="DK58" s="68"/>
      <c r="DL58" s="68"/>
      <c r="DM58" s="68"/>
      <c r="DN58" s="68"/>
      <c r="DO58" s="68"/>
      <c r="DP58" s="68"/>
      <c r="DQ58" s="68"/>
      <c r="DR58" s="68"/>
      <c r="DS58" s="68"/>
      <c r="DT58" s="68"/>
      <c r="DU58" s="68"/>
      <c r="DV58" s="68"/>
      <c r="DW58" s="68"/>
      <c r="DX58" s="68"/>
      <c r="DY58" s="68"/>
      <c r="DZ58" s="68"/>
      <c r="EA58" s="68"/>
      <c r="EB58" s="68"/>
      <c r="EC58" s="68"/>
      <c r="ED58" s="68"/>
      <c r="EE58" s="68"/>
      <c r="EF58" s="68"/>
      <c r="EG58" s="68"/>
      <c r="EH58" s="68"/>
      <c r="EI58" s="68"/>
      <c r="EJ58" s="68"/>
    </row>
    <row r="59" spans="1:140" s="78" customFormat="1">
      <c r="A59" s="83">
        <v>6</v>
      </c>
      <c r="B59" s="87" t="s">
        <v>82</v>
      </c>
      <c r="C59" s="74" t="s">
        <v>5</v>
      </c>
      <c r="D59" s="71"/>
      <c r="E59" s="71"/>
      <c r="F59" s="71"/>
      <c r="G59" s="71"/>
      <c r="H59" s="90">
        <f t="shared" ref="H59:H62" si="18">+-H23</f>
        <v>-421784.89</v>
      </c>
      <c r="I59" s="90">
        <f t="shared" ref="I59:I62" si="19">-I23</f>
        <v>-2618516.4500000002</v>
      </c>
      <c r="J59" s="71">
        <f t="shared" ref="J59:J62" si="20">SUM(D59:I59)</f>
        <v>-3040301.3400000003</v>
      </c>
      <c r="K59" s="84"/>
      <c r="L59" s="124">
        <f>-L23</f>
        <v>-32510.42</v>
      </c>
      <c r="M59" s="124">
        <f>-M23</f>
        <v>-98002.21</v>
      </c>
      <c r="N59" s="124">
        <f t="shared" ref="N59" si="21">-N23</f>
        <v>-452588.2</v>
      </c>
      <c r="O59" s="124">
        <f t="shared" ref="O59:Q60" si="22">-O23</f>
        <v>-5785.0499999999993</v>
      </c>
      <c r="P59" s="124">
        <f t="shared" si="22"/>
        <v>-97823.41</v>
      </c>
      <c r="Q59" s="124">
        <f t="shared" si="22"/>
        <v>0</v>
      </c>
      <c r="R59" s="124">
        <f>SUM(L59:Q59)</f>
        <v>-686709.29000000015</v>
      </c>
      <c r="S59" s="124"/>
      <c r="T59" s="124">
        <f>R59+J59</f>
        <v>-3727010.6300000004</v>
      </c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  <c r="BM59" s="68"/>
      <c r="BN59" s="68"/>
      <c r="BO59" s="68"/>
      <c r="BP59" s="68"/>
      <c r="BQ59" s="68"/>
      <c r="BR59" s="68"/>
      <c r="BS59" s="68"/>
      <c r="BT59" s="68"/>
      <c r="BU59" s="68"/>
      <c r="BV59" s="68"/>
      <c r="BW59" s="68"/>
      <c r="BX59" s="68"/>
      <c r="BY59" s="68"/>
      <c r="BZ59" s="68"/>
      <c r="CA59" s="68"/>
      <c r="CB59" s="68"/>
      <c r="CC59" s="68"/>
      <c r="CD59" s="68"/>
      <c r="CE59" s="68"/>
      <c r="CF59" s="68"/>
      <c r="CG59" s="68"/>
      <c r="CH59" s="68"/>
      <c r="CI59" s="68"/>
      <c r="CJ59" s="68"/>
      <c r="CK59" s="68"/>
      <c r="CL59" s="68"/>
      <c r="CM59" s="68"/>
      <c r="CN59" s="68"/>
      <c r="CO59" s="68"/>
      <c r="CP59" s="68"/>
      <c r="CQ59" s="68"/>
      <c r="CR59" s="68"/>
      <c r="CS59" s="68"/>
      <c r="CT59" s="68"/>
      <c r="CU59" s="68"/>
      <c r="CV59" s="68"/>
      <c r="CW59" s="68"/>
      <c r="CX59" s="68"/>
      <c r="CY59" s="68"/>
      <c r="CZ59" s="68"/>
      <c r="DA59" s="68"/>
      <c r="DB59" s="68"/>
      <c r="DC59" s="68"/>
      <c r="DD59" s="68"/>
      <c r="DE59" s="68"/>
      <c r="DF59" s="68"/>
      <c r="DG59" s="68"/>
      <c r="DH59" s="68"/>
      <c r="DI59" s="68"/>
      <c r="DJ59" s="68"/>
      <c r="DK59" s="68"/>
      <c r="DL59" s="68"/>
      <c r="DM59" s="68"/>
      <c r="DN59" s="68"/>
      <c r="DO59" s="68"/>
      <c r="DP59" s="68"/>
      <c r="DQ59" s="68"/>
      <c r="DR59" s="68"/>
      <c r="DS59" s="68"/>
      <c r="DT59" s="68"/>
      <c r="DU59" s="68"/>
      <c r="DV59" s="68"/>
      <c r="DW59" s="68"/>
      <c r="DX59" s="68"/>
      <c r="DY59" s="68"/>
      <c r="DZ59" s="68"/>
      <c r="EA59" s="68"/>
      <c r="EB59" s="68"/>
      <c r="EC59" s="68"/>
      <c r="ED59" s="68"/>
      <c r="EE59" s="68"/>
      <c r="EF59" s="68"/>
      <c r="EG59" s="68"/>
      <c r="EH59" s="68"/>
      <c r="EI59" s="68"/>
      <c r="EJ59" s="68"/>
    </row>
    <row r="60" spans="1:140" s="78" customFormat="1">
      <c r="A60" s="83">
        <v>7</v>
      </c>
      <c r="B60" s="87" t="s">
        <v>83</v>
      </c>
      <c r="C60" s="74" t="s">
        <v>5</v>
      </c>
      <c r="D60" s="84"/>
      <c r="E60" s="84"/>
      <c r="F60" s="84"/>
      <c r="G60" s="84"/>
      <c r="H60" s="90">
        <f t="shared" si="18"/>
        <v>-4675651.0500000007</v>
      </c>
      <c r="I60" s="90">
        <f t="shared" si="19"/>
        <v>-33583173.549999997</v>
      </c>
      <c r="J60" s="71">
        <f t="shared" si="20"/>
        <v>-38258824.599999994</v>
      </c>
      <c r="K60" s="84"/>
      <c r="L60" s="124">
        <f>-L24</f>
        <v>-359059.31000000006</v>
      </c>
      <c r="M60" s="124">
        <f>-M24</f>
        <v>-1194247.28</v>
      </c>
      <c r="N60" s="124">
        <f t="shared" ref="N60:Q62" si="23">-N24</f>
        <v>-4901564.6399999997</v>
      </c>
      <c r="O60" s="124">
        <f t="shared" si="22"/>
        <v>-73420.28</v>
      </c>
      <c r="P60" s="124">
        <f t="shared" si="22"/>
        <v>-1200696.0600000003</v>
      </c>
      <c r="Q60" s="124">
        <f t="shared" si="22"/>
        <v>0</v>
      </c>
      <c r="R60" s="124">
        <f>SUM(L60:Q60)</f>
        <v>-7728987.5700000003</v>
      </c>
      <c r="S60" s="124"/>
      <c r="T60" s="124">
        <f>R60+J60</f>
        <v>-45987812.169999994</v>
      </c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68"/>
      <c r="BP60" s="68"/>
      <c r="BQ60" s="68"/>
      <c r="BR60" s="68"/>
      <c r="BS60" s="68"/>
      <c r="BT60" s="68"/>
      <c r="BU60" s="68"/>
      <c r="BV60" s="68"/>
      <c r="BW60" s="68"/>
      <c r="BX60" s="68"/>
      <c r="BY60" s="68"/>
      <c r="BZ60" s="68"/>
      <c r="CA60" s="68"/>
      <c r="CB60" s="68"/>
      <c r="CC60" s="68"/>
      <c r="CD60" s="68"/>
      <c r="CE60" s="68"/>
      <c r="CF60" s="68"/>
      <c r="CG60" s="68"/>
      <c r="CH60" s="68"/>
      <c r="CI60" s="68"/>
      <c r="CJ60" s="68"/>
      <c r="CK60" s="68"/>
      <c r="CL60" s="68"/>
      <c r="CM60" s="68"/>
      <c r="CN60" s="68"/>
      <c r="CO60" s="68"/>
      <c r="CP60" s="68"/>
      <c r="CQ60" s="68"/>
      <c r="CR60" s="68"/>
      <c r="CS60" s="68"/>
      <c r="CT60" s="68"/>
      <c r="CU60" s="68"/>
      <c r="CV60" s="68"/>
      <c r="CW60" s="68"/>
      <c r="CX60" s="68"/>
      <c r="CY60" s="68"/>
      <c r="CZ60" s="68"/>
      <c r="DA60" s="68"/>
      <c r="DB60" s="68"/>
      <c r="DC60" s="68"/>
      <c r="DD60" s="68"/>
      <c r="DE60" s="68"/>
      <c r="DF60" s="68"/>
      <c r="DG60" s="68"/>
      <c r="DH60" s="68"/>
      <c r="DI60" s="68"/>
      <c r="DJ60" s="68"/>
      <c r="DK60" s="68"/>
      <c r="DL60" s="68"/>
      <c r="DM60" s="68"/>
      <c r="DN60" s="68"/>
      <c r="DO60" s="68"/>
      <c r="DP60" s="68"/>
      <c r="DQ60" s="68"/>
      <c r="DR60" s="68"/>
      <c r="DS60" s="68"/>
      <c r="DT60" s="68"/>
      <c r="DU60" s="68"/>
      <c r="DV60" s="68"/>
      <c r="DW60" s="68"/>
      <c r="DX60" s="68"/>
      <c r="DY60" s="68"/>
      <c r="DZ60" s="68"/>
      <c r="EA60" s="68"/>
      <c r="EB60" s="68"/>
      <c r="EC60" s="68"/>
      <c r="ED60" s="68"/>
      <c r="EE60" s="68"/>
      <c r="EF60" s="68"/>
      <c r="EG60" s="68"/>
      <c r="EH60" s="68"/>
      <c r="EI60" s="68"/>
      <c r="EJ60" s="68"/>
    </row>
    <row r="61" spans="1:140" s="78" customFormat="1">
      <c r="A61" s="83">
        <v>8</v>
      </c>
      <c r="B61" s="87" t="s">
        <v>148</v>
      </c>
      <c r="C61" s="74" t="s">
        <v>5</v>
      </c>
      <c r="D61" s="84"/>
      <c r="E61" s="84"/>
      <c r="F61" s="84"/>
      <c r="G61" s="84"/>
      <c r="H61" s="90">
        <f t="shared" si="18"/>
        <v>-10636.059999999998</v>
      </c>
      <c r="I61" s="90">
        <f t="shared" si="19"/>
        <v>-57797.47</v>
      </c>
      <c r="J61" s="71">
        <f t="shared" si="20"/>
        <v>-68433.53</v>
      </c>
      <c r="K61" s="84"/>
      <c r="L61" s="124">
        <f t="shared" ref="L61:M61" si="24">-L25</f>
        <v>-814.53</v>
      </c>
      <c r="M61" s="124">
        <f t="shared" si="24"/>
        <v>-2231.71</v>
      </c>
      <c r="N61" s="124">
        <f t="shared" si="23"/>
        <v>-6733.65</v>
      </c>
      <c r="O61" s="124">
        <f t="shared" si="23"/>
        <v>-182.56</v>
      </c>
      <c r="P61" s="124">
        <f t="shared" si="23"/>
        <v>-1933.9899999999998</v>
      </c>
      <c r="Q61" s="124">
        <f t="shared" si="23"/>
        <v>0</v>
      </c>
      <c r="R61" s="124">
        <f>SUM(L61:Q61)</f>
        <v>-11896.439999999999</v>
      </c>
      <c r="S61" s="124"/>
      <c r="T61" s="124">
        <f>R61+J61</f>
        <v>-80329.97</v>
      </c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  <c r="BM61" s="68"/>
      <c r="BN61" s="68"/>
      <c r="BO61" s="68"/>
      <c r="BP61" s="68"/>
      <c r="BQ61" s="68"/>
      <c r="BR61" s="68"/>
      <c r="BS61" s="68"/>
      <c r="BT61" s="68"/>
      <c r="BU61" s="68"/>
      <c r="BV61" s="68"/>
      <c r="BW61" s="68"/>
      <c r="BX61" s="68"/>
      <c r="BY61" s="68"/>
      <c r="BZ61" s="68"/>
      <c r="CA61" s="68"/>
      <c r="CB61" s="68"/>
      <c r="CC61" s="68"/>
      <c r="CD61" s="68"/>
      <c r="CE61" s="68"/>
      <c r="CF61" s="68"/>
      <c r="CG61" s="68"/>
      <c r="CH61" s="68"/>
      <c r="CI61" s="68"/>
      <c r="CJ61" s="68"/>
      <c r="CK61" s="68"/>
      <c r="CL61" s="68"/>
      <c r="CM61" s="68"/>
      <c r="CN61" s="68"/>
      <c r="CO61" s="68"/>
      <c r="CP61" s="68"/>
      <c r="CQ61" s="68"/>
      <c r="CR61" s="68"/>
      <c r="CS61" s="68"/>
      <c r="CT61" s="68"/>
      <c r="CU61" s="68"/>
      <c r="CV61" s="68"/>
      <c r="CW61" s="68"/>
      <c r="CX61" s="68"/>
      <c r="CY61" s="68"/>
      <c r="CZ61" s="68"/>
      <c r="DA61" s="68"/>
      <c r="DB61" s="68"/>
      <c r="DC61" s="68"/>
      <c r="DD61" s="68"/>
      <c r="DE61" s="68"/>
      <c r="DF61" s="68"/>
      <c r="DG61" s="68"/>
      <c r="DH61" s="68"/>
      <c r="DI61" s="68"/>
      <c r="DJ61" s="68"/>
      <c r="DK61" s="68"/>
      <c r="DL61" s="68"/>
      <c r="DM61" s="68"/>
      <c r="DN61" s="68"/>
      <c r="DO61" s="68"/>
      <c r="DP61" s="68"/>
      <c r="DQ61" s="68"/>
      <c r="DR61" s="68"/>
      <c r="DS61" s="68"/>
      <c r="DT61" s="68"/>
      <c r="DU61" s="68"/>
      <c r="DV61" s="68"/>
      <c r="DW61" s="68"/>
      <c r="DX61" s="68"/>
      <c r="DY61" s="68"/>
      <c r="DZ61" s="68"/>
      <c r="EA61" s="68"/>
      <c r="EB61" s="68"/>
      <c r="EC61" s="68"/>
      <c r="ED61" s="68"/>
      <c r="EE61" s="68"/>
      <c r="EF61" s="68"/>
      <c r="EG61" s="68"/>
      <c r="EH61" s="68"/>
      <c r="EI61" s="68"/>
      <c r="EJ61" s="68"/>
    </row>
    <row r="62" spans="1:140" s="78" customFormat="1">
      <c r="A62" s="83">
        <v>9</v>
      </c>
      <c r="B62" s="87" t="s">
        <v>149</v>
      </c>
      <c r="C62" s="74" t="s">
        <v>5</v>
      </c>
      <c r="D62" s="72"/>
      <c r="E62" s="72"/>
      <c r="F62" s="72"/>
      <c r="G62" s="72"/>
      <c r="H62" s="149">
        <f t="shared" si="18"/>
        <v>-1195301.3399999999</v>
      </c>
      <c r="I62" s="149">
        <f t="shared" si="19"/>
        <v>-8181172.6900000013</v>
      </c>
      <c r="J62" s="72">
        <f t="shared" si="20"/>
        <v>-9376474.0300000012</v>
      </c>
      <c r="K62" s="84"/>
      <c r="L62" s="149">
        <f t="shared" ref="L62:M62" si="25">-L26</f>
        <v>-92077.739999999991</v>
      </c>
      <c r="M62" s="149">
        <f t="shared" si="25"/>
        <v>-288623.28999999998</v>
      </c>
      <c r="N62" s="149">
        <f t="shared" si="23"/>
        <v>-694304.52</v>
      </c>
      <c r="O62" s="149">
        <f t="shared" si="23"/>
        <v>-16763.850000000006</v>
      </c>
      <c r="P62" s="149">
        <f t="shared" si="23"/>
        <v>-197165.24</v>
      </c>
      <c r="Q62" s="149">
        <f t="shared" si="23"/>
        <v>0</v>
      </c>
      <c r="R62" s="149">
        <f>SUM(L62:Q62)</f>
        <v>-1288934.6400000001</v>
      </c>
      <c r="S62" s="149"/>
      <c r="T62" s="149">
        <f>R62+J62</f>
        <v>-10665408.670000002</v>
      </c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  <c r="BL62" s="68"/>
      <c r="BM62" s="68"/>
      <c r="BN62" s="68"/>
      <c r="BO62" s="68"/>
      <c r="BP62" s="68"/>
      <c r="BQ62" s="68"/>
      <c r="BR62" s="68"/>
      <c r="BS62" s="68"/>
      <c r="BT62" s="68"/>
      <c r="BU62" s="68"/>
      <c r="BV62" s="68"/>
      <c r="BW62" s="68"/>
      <c r="BX62" s="68"/>
      <c r="BY62" s="68"/>
      <c r="BZ62" s="68"/>
      <c r="CA62" s="68"/>
      <c r="CB62" s="68"/>
      <c r="CC62" s="68"/>
      <c r="CD62" s="68"/>
      <c r="CE62" s="68"/>
      <c r="CF62" s="68"/>
      <c r="CG62" s="68"/>
      <c r="CH62" s="68"/>
      <c r="CI62" s="68"/>
      <c r="CJ62" s="68"/>
      <c r="CK62" s="68"/>
      <c r="CL62" s="68"/>
      <c r="CM62" s="68"/>
      <c r="CN62" s="68"/>
      <c r="CO62" s="68"/>
      <c r="CP62" s="68"/>
      <c r="CQ62" s="68"/>
      <c r="CR62" s="68"/>
      <c r="CS62" s="68"/>
      <c r="CT62" s="68"/>
      <c r="CU62" s="68"/>
      <c r="CV62" s="68"/>
      <c r="CW62" s="68"/>
      <c r="CX62" s="68"/>
      <c r="CY62" s="68"/>
      <c r="CZ62" s="68"/>
      <c r="DA62" s="68"/>
      <c r="DB62" s="68"/>
      <c r="DC62" s="68"/>
      <c r="DD62" s="68"/>
      <c r="DE62" s="68"/>
      <c r="DF62" s="68"/>
      <c r="DG62" s="68"/>
      <c r="DH62" s="68"/>
      <c r="DI62" s="68"/>
      <c r="DJ62" s="68"/>
      <c r="DK62" s="68"/>
      <c r="DL62" s="68"/>
      <c r="DM62" s="68"/>
      <c r="DN62" s="68"/>
      <c r="DO62" s="68"/>
      <c r="DP62" s="68"/>
      <c r="DQ62" s="68"/>
      <c r="DR62" s="68"/>
      <c r="DS62" s="68"/>
      <c r="DT62" s="68"/>
      <c r="DU62" s="68"/>
      <c r="DV62" s="68"/>
      <c r="DW62" s="68"/>
      <c r="DX62" s="68"/>
      <c r="DY62" s="68"/>
      <c r="DZ62" s="68"/>
      <c r="EA62" s="68"/>
      <c r="EB62" s="68"/>
      <c r="EC62" s="68"/>
      <c r="ED62" s="68"/>
      <c r="EE62" s="68"/>
      <c r="EF62" s="68"/>
      <c r="EG62" s="68"/>
      <c r="EH62" s="68"/>
      <c r="EI62" s="68"/>
      <c r="EJ62" s="68"/>
    </row>
    <row r="63" spans="1:140" s="78" customFormat="1">
      <c r="A63" s="83">
        <v>10</v>
      </c>
      <c r="B63" s="78" t="s">
        <v>19</v>
      </c>
      <c r="C63" s="74"/>
      <c r="D63" s="71">
        <f>SUM(D59:D62)</f>
        <v>0</v>
      </c>
      <c r="E63" s="71">
        <f t="shared" ref="E63:J63" si="26">SUM(E59:E62)</f>
        <v>0</v>
      </c>
      <c r="F63" s="71">
        <f t="shared" si="26"/>
        <v>0</v>
      </c>
      <c r="G63" s="71">
        <f t="shared" si="26"/>
        <v>0</v>
      </c>
      <c r="H63" s="71">
        <f t="shared" si="26"/>
        <v>-6303373.3399999999</v>
      </c>
      <c r="I63" s="71">
        <f t="shared" si="26"/>
        <v>-44440660.159999996</v>
      </c>
      <c r="J63" s="71">
        <f t="shared" si="26"/>
        <v>-50744033.5</v>
      </c>
      <c r="K63" s="84"/>
      <c r="L63" s="124">
        <f>SUM(L59:L62)</f>
        <v>-484462.00000000006</v>
      </c>
      <c r="M63" s="124">
        <f t="shared" ref="M63:R63" si="27">SUM(M59:M62)</f>
        <v>-1583104.49</v>
      </c>
      <c r="N63" s="124">
        <f t="shared" si="27"/>
        <v>-6055191.0099999998</v>
      </c>
      <c r="O63" s="124">
        <f t="shared" si="27"/>
        <v>-96151.74</v>
      </c>
      <c r="P63" s="124">
        <f t="shared" si="27"/>
        <v>-1497618.7000000002</v>
      </c>
      <c r="Q63" s="124">
        <f t="shared" si="27"/>
        <v>0</v>
      </c>
      <c r="R63" s="124">
        <f t="shared" si="27"/>
        <v>-9716527.9400000013</v>
      </c>
      <c r="S63" s="124"/>
      <c r="T63" s="124">
        <f>SUM(T59:T62)</f>
        <v>-60460561.439999998</v>
      </c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68"/>
      <c r="BK63" s="68"/>
      <c r="BL63" s="68"/>
      <c r="BM63" s="68"/>
      <c r="BN63" s="68"/>
      <c r="BO63" s="68"/>
      <c r="BP63" s="68"/>
      <c r="BQ63" s="68"/>
      <c r="BR63" s="68"/>
      <c r="BS63" s="68"/>
      <c r="BT63" s="68"/>
      <c r="BU63" s="68"/>
      <c r="BV63" s="68"/>
      <c r="BW63" s="68"/>
      <c r="BX63" s="68"/>
      <c r="BY63" s="68"/>
      <c r="BZ63" s="68"/>
      <c r="CA63" s="68"/>
      <c r="CB63" s="68"/>
      <c r="CC63" s="68"/>
      <c r="CD63" s="68"/>
      <c r="CE63" s="68"/>
      <c r="CF63" s="68"/>
      <c r="CG63" s="68"/>
      <c r="CH63" s="68"/>
      <c r="CI63" s="68"/>
      <c r="CJ63" s="68"/>
      <c r="CK63" s="68"/>
      <c r="CL63" s="68"/>
      <c r="CM63" s="68"/>
      <c r="CN63" s="68"/>
      <c r="CO63" s="68"/>
      <c r="CP63" s="68"/>
      <c r="CQ63" s="68"/>
      <c r="CR63" s="68"/>
      <c r="CS63" s="68"/>
      <c r="CT63" s="68"/>
      <c r="CU63" s="68"/>
      <c r="CV63" s="68"/>
      <c r="CW63" s="68"/>
      <c r="CX63" s="68"/>
      <c r="CY63" s="68"/>
      <c r="CZ63" s="68"/>
      <c r="DA63" s="68"/>
      <c r="DB63" s="68"/>
      <c r="DC63" s="68"/>
      <c r="DD63" s="68"/>
      <c r="DE63" s="68"/>
      <c r="DF63" s="68"/>
      <c r="DG63" s="68"/>
      <c r="DH63" s="68"/>
      <c r="DI63" s="68"/>
      <c r="DJ63" s="68"/>
      <c r="DK63" s="68"/>
      <c r="DL63" s="68"/>
      <c r="DM63" s="68"/>
      <c r="DN63" s="68"/>
      <c r="DO63" s="68"/>
      <c r="DP63" s="68"/>
      <c r="DQ63" s="68"/>
      <c r="DR63" s="68"/>
      <c r="DS63" s="68"/>
      <c r="DT63" s="68"/>
      <c r="DU63" s="68"/>
      <c r="DV63" s="68"/>
      <c r="DW63" s="68"/>
      <c r="DX63" s="68"/>
      <c r="DY63" s="68"/>
      <c r="DZ63" s="68"/>
      <c r="EA63" s="68"/>
      <c r="EB63" s="68"/>
      <c r="EC63" s="68"/>
      <c r="ED63" s="68"/>
      <c r="EE63" s="68"/>
      <c r="EF63" s="68"/>
      <c r="EG63" s="68"/>
      <c r="EH63" s="68"/>
      <c r="EI63" s="68"/>
      <c r="EJ63" s="68"/>
    </row>
    <row r="64" spans="1:140" s="78" customFormat="1">
      <c r="A64" s="83"/>
      <c r="C64" s="74"/>
      <c r="D64" s="71"/>
      <c r="E64" s="71"/>
      <c r="F64" s="71"/>
      <c r="G64" s="71"/>
      <c r="H64" s="71"/>
      <c r="I64" s="71"/>
      <c r="J64" s="71"/>
      <c r="K64" s="84"/>
      <c r="L64" s="68"/>
      <c r="M64" s="68"/>
      <c r="N64" s="68"/>
      <c r="O64" s="68"/>
      <c r="P64" s="68"/>
      <c r="Q64" s="68"/>
      <c r="R64" s="68"/>
      <c r="S64" s="68"/>
      <c r="T64" s="84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  <c r="BL64" s="68"/>
      <c r="BM64" s="68"/>
      <c r="BN64" s="68"/>
      <c r="BO64" s="68"/>
      <c r="BP64" s="68"/>
      <c r="BQ64" s="68"/>
      <c r="BR64" s="68"/>
      <c r="BS64" s="68"/>
      <c r="BT64" s="68"/>
      <c r="BU64" s="68"/>
      <c r="BV64" s="68"/>
      <c r="BW64" s="68"/>
      <c r="BX64" s="68"/>
      <c r="BY64" s="68"/>
      <c r="BZ64" s="68"/>
      <c r="CA64" s="68"/>
      <c r="CB64" s="68"/>
      <c r="CC64" s="68"/>
      <c r="CD64" s="68"/>
      <c r="CE64" s="68"/>
      <c r="CF64" s="68"/>
      <c r="CG64" s="68"/>
      <c r="CH64" s="68"/>
      <c r="CI64" s="68"/>
      <c r="CJ64" s="68"/>
      <c r="CK64" s="68"/>
      <c r="CL64" s="68"/>
      <c r="CM64" s="68"/>
      <c r="CN64" s="68"/>
      <c r="CO64" s="68"/>
      <c r="CP64" s="68"/>
      <c r="CQ64" s="68"/>
      <c r="CR64" s="68"/>
      <c r="CS64" s="68"/>
      <c r="CT64" s="68"/>
      <c r="CU64" s="68"/>
      <c r="CV64" s="68"/>
      <c r="CW64" s="68"/>
      <c r="CX64" s="68"/>
      <c r="CY64" s="68"/>
      <c r="CZ64" s="68"/>
      <c r="DA64" s="68"/>
      <c r="DB64" s="68"/>
      <c r="DC64" s="68"/>
      <c r="DD64" s="68"/>
      <c r="DE64" s="68"/>
      <c r="DF64" s="68"/>
      <c r="DG64" s="68"/>
      <c r="DH64" s="68"/>
      <c r="DI64" s="68"/>
      <c r="DJ64" s="68"/>
      <c r="DK64" s="68"/>
      <c r="DL64" s="68"/>
      <c r="DM64" s="68"/>
      <c r="DN64" s="68"/>
      <c r="DO64" s="68"/>
      <c r="DP64" s="68"/>
      <c r="DQ64" s="68"/>
      <c r="DR64" s="68"/>
      <c r="DS64" s="68"/>
      <c r="DT64" s="68"/>
      <c r="DU64" s="68"/>
      <c r="DV64" s="68"/>
      <c r="DW64" s="68"/>
      <c r="DX64" s="68"/>
      <c r="DY64" s="68"/>
      <c r="DZ64" s="68"/>
      <c r="EA64" s="68"/>
      <c r="EB64" s="68"/>
      <c r="EC64" s="68"/>
      <c r="ED64" s="68"/>
      <c r="EE64" s="68"/>
      <c r="EF64" s="68"/>
      <c r="EG64" s="68"/>
      <c r="EH64" s="68"/>
      <c r="EI64" s="68"/>
      <c r="EJ64" s="68"/>
    </row>
    <row r="65" spans="1:140" s="78" customFormat="1">
      <c r="A65" s="83">
        <v>11</v>
      </c>
      <c r="B65" s="96" t="s">
        <v>86</v>
      </c>
      <c r="C65" s="74" t="s">
        <v>6</v>
      </c>
      <c r="D65" s="71"/>
      <c r="E65" s="71"/>
      <c r="F65" s="71"/>
      <c r="G65" s="71"/>
      <c r="H65" s="90">
        <f>+-H29</f>
        <v>-80713.959999999992</v>
      </c>
      <c r="I65" s="90">
        <f>-I29</f>
        <v>-52489197.030000001</v>
      </c>
      <c r="J65" s="71">
        <f>SUM(D65:I65)</f>
        <v>-52569910.990000002</v>
      </c>
      <c r="K65" s="84"/>
      <c r="L65" s="124">
        <f>-L29</f>
        <v>0</v>
      </c>
      <c r="M65" s="124">
        <f>-M29</f>
        <v>-4303.2700000000004</v>
      </c>
      <c r="N65" s="124">
        <f t="shared" ref="N65" si="28">-N29</f>
        <v>-4110819.16</v>
      </c>
      <c r="O65" s="124">
        <f>-O29</f>
        <v>0</v>
      </c>
      <c r="P65" s="124">
        <f>-P29</f>
        <v>0</v>
      </c>
      <c r="Q65" s="124">
        <f t="shared" ref="Q65" si="29">-Q29</f>
        <v>5266</v>
      </c>
      <c r="R65" s="124">
        <f>SUM(L65:Q65)</f>
        <v>-4109856.43</v>
      </c>
      <c r="S65" s="124"/>
      <c r="T65" s="124">
        <f>R65+J65</f>
        <v>-56679767.420000002</v>
      </c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68"/>
      <c r="BR65" s="68"/>
      <c r="BS65" s="68"/>
      <c r="BT65" s="68"/>
      <c r="BU65" s="68"/>
      <c r="BV65" s="68"/>
      <c r="BW65" s="68"/>
      <c r="BX65" s="68"/>
      <c r="BY65" s="68"/>
      <c r="BZ65" s="68"/>
      <c r="CA65" s="68"/>
      <c r="CB65" s="68"/>
      <c r="CC65" s="68"/>
      <c r="CD65" s="68"/>
      <c r="CE65" s="68"/>
      <c r="CF65" s="68"/>
      <c r="CG65" s="68"/>
      <c r="CH65" s="68"/>
      <c r="CI65" s="68"/>
      <c r="CJ65" s="68"/>
      <c r="CK65" s="68"/>
      <c r="CL65" s="68"/>
      <c r="CM65" s="68"/>
      <c r="CN65" s="68"/>
      <c r="CO65" s="68"/>
      <c r="CP65" s="68"/>
      <c r="CQ65" s="68"/>
      <c r="CR65" s="68"/>
      <c r="CS65" s="68"/>
      <c r="CT65" s="68"/>
      <c r="CU65" s="68"/>
      <c r="CV65" s="68"/>
      <c r="CW65" s="68"/>
      <c r="CX65" s="68"/>
      <c r="CY65" s="68"/>
      <c r="CZ65" s="68"/>
      <c r="DA65" s="68"/>
      <c r="DB65" s="68"/>
      <c r="DC65" s="68"/>
      <c r="DD65" s="68"/>
      <c r="DE65" s="68"/>
      <c r="DF65" s="68"/>
      <c r="DG65" s="68"/>
      <c r="DH65" s="68"/>
      <c r="DI65" s="68"/>
      <c r="DJ65" s="68"/>
      <c r="DK65" s="68"/>
      <c r="DL65" s="68"/>
      <c r="DM65" s="68"/>
      <c r="DN65" s="68"/>
      <c r="DO65" s="68"/>
      <c r="DP65" s="68"/>
      <c r="DQ65" s="68"/>
      <c r="DR65" s="68"/>
      <c r="DS65" s="68"/>
      <c r="DT65" s="68"/>
      <c r="DU65" s="68"/>
      <c r="DV65" s="68"/>
      <c r="DW65" s="68"/>
      <c r="DX65" s="68"/>
      <c r="DY65" s="68"/>
      <c r="DZ65" s="68"/>
      <c r="EA65" s="68"/>
      <c r="EB65" s="68"/>
      <c r="EC65" s="68"/>
      <c r="ED65" s="68"/>
      <c r="EE65" s="68"/>
      <c r="EF65" s="68"/>
      <c r="EG65" s="68"/>
      <c r="EH65" s="68"/>
      <c r="EI65" s="68"/>
      <c r="EJ65" s="68"/>
    </row>
    <row r="66" spans="1:140" s="78" customFormat="1">
      <c r="A66" s="83"/>
      <c r="C66" s="85"/>
      <c r="D66" s="94"/>
      <c r="E66" s="94"/>
      <c r="F66" s="94"/>
      <c r="G66" s="94"/>
      <c r="H66" s="94"/>
      <c r="I66" s="94"/>
      <c r="J66" s="94"/>
      <c r="K66" s="77"/>
      <c r="L66" s="68"/>
      <c r="M66" s="124"/>
      <c r="N66" s="124"/>
      <c r="O66" s="124"/>
      <c r="P66" s="124"/>
      <c r="Q66" s="124"/>
      <c r="R66" s="124"/>
      <c r="S66" s="124"/>
      <c r="T66" s="124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68"/>
      <c r="BK66" s="68"/>
      <c r="BL66" s="68"/>
      <c r="BM66" s="68"/>
      <c r="BN66" s="68"/>
      <c r="BO66" s="68"/>
      <c r="BP66" s="68"/>
      <c r="BQ66" s="68"/>
      <c r="BR66" s="68"/>
      <c r="BS66" s="68"/>
      <c r="BT66" s="68"/>
      <c r="BU66" s="68"/>
      <c r="BV66" s="68"/>
      <c r="BW66" s="68"/>
      <c r="BX66" s="68"/>
      <c r="BY66" s="68"/>
      <c r="BZ66" s="68"/>
      <c r="CA66" s="68"/>
      <c r="CB66" s="68"/>
      <c r="CC66" s="68"/>
      <c r="CD66" s="68"/>
      <c r="CE66" s="68"/>
      <c r="CF66" s="68"/>
      <c r="CG66" s="68"/>
      <c r="CH66" s="68"/>
      <c r="CI66" s="68"/>
      <c r="CJ66" s="68"/>
      <c r="CK66" s="68"/>
      <c r="CL66" s="68"/>
      <c r="CM66" s="68"/>
      <c r="CN66" s="68"/>
      <c r="CO66" s="68"/>
      <c r="CP66" s="68"/>
      <c r="CQ66" s="68"/>
      <c r="CR66" s="68"/>
      <c r="CS66" s="68"/>
      <c r="CT66" s="68"/>
      <c r="CU66" s="68"/>
      <c r="CV66" s="68"/>
      <c r="CW66" s="68"/>
      <c r="CX66" s="68"/>
      <c r="CY66" s="68"/>
      <c r="CZ66" s="68"/>
      <c r="DA66" s="68"/>
      <c r="DB66" s="68"/>
      <c r="DC66" s="68"/>
      <c r="DD66" s="68"/>
      <c r="DE66" s="68"/>
      <c r="DF66" s="68"/>
      <c r="DG66" s="68"/>
      <c r="DH66" s="68"/>
      <c r="DI66" s="68"/>
      <c r="DJ66" s="68"/>
      <c r="DK66" s="68"/>
      <c r="DL66" s="68"/>
      <c r="DM66" s="68"/>
      <c r="DN66" s="68"/>
      <c r="DO66" s="68"/>
      <c r="DP66" s="68"/>
      <c r="DQ66" s="68"/>
      <c r="DR66" s="68"/>
      <c r="DS66" s="68"/>
      <c r="DT66" s="68"/>
      <c r="DU66" s="68"/>
      <c r="DV66" s="68"/>
      <c r="DW66" s="68"/>
      <c r="DX66" s="68"/>
      <c r="DY66" s="68"/>
      <c r="DZ66" s="68"/>
      <c r="EA66" s="68"/>
      <c r="EB66" s="68"/>
      <c r="EC66" s="68"/>
      <c r="ED66" s="68"/>
      <c r="EE66" s="68"/>
      <c r="EF66" s="68"/>
      <c r="EG66" s="68"/>
      <c r="EH66" s="68"/>
      <c r="EI66" s="68"/>
      <c r="EJ66" s="68"/>
    </row>
    <row r="67" spans="1:140" s="78" customFormat="1">
      <c r="A67" s="83">
        <v>12</v>
      </c>
      <c r="B67" s="68" t="s">
        <v>21</v>
      </c>
      <c r="C67" s="74" t="s">
        <v>4</v>
      </c>
      <c r="D67" s="71"/>
      <c r="E67" s="71"/>
      <c r="F67" s="71"/>
      <c r="G67" s="71"/>
      <c r="H67" s="90">
        <f>+-H31</f>
        <v>-2033143.4700000002</v>
      </c>
      <c r="I67" s="90">
        <f>-I31</f>
        <v>-2311936.9899999998</v>
      </c>
      <c r="J67" s="71">
        <f>SUM(D67:I67)</f>
        <v>-4345080.46</v>
      </c>
      <c r="K67" s="84"/>
      <c r="L67" s="124">
        <f>-L31</f>
        <v>-64983.180000000029</v>
      </c>
      <c r="M67" s="124">
        <f>-M31</f>
        <v>-0.31</v>
      </c>
      <c r="N67" s="124">
        <f t="shared" ref="N67" si="30">-N31</f>
        <v>-1252617.1199999999</v>
      </c>
      <c r="O67" s="124">
        <f>-O31</f>
        <v>-27853.230000000003</v>
      </c>
      <c r="P67" s="124">
        <f>-P31</f>
        <v>-1677521.2999999998</v>
      </c>
      <c r="Q67" s="124">
        <f t="shared" ref="Q67" si="31">-Q31</f>
        <v>-185.45999999999998</v>
      </c>
      <c r="R67" s="124">
        <f>SUM(L67:Q67)</f>
        <v>-3023160.5999999996</v>
      </c>
      <c r="S67" s="124"/>
      <c r="T67" s="124">
        <f>R67+J67</f>
        <v>-7368241.0599999996</v>
      </c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  <c r="BM67" s="68"/>
      <c r="BN67" s="68"/>
      <c r="BO67" s="68"/>
      <c r="BP67" s="68"/>
      <c r="BQ67" s="68"/>
      <c r="BR67" s="68"/>
      <c r="BS67" s="68"/>
      <c r="BT67" s="68"/>
      <c r="BU67" s="68"/>
      <c r="BV67" s="68"/>
      <c r="BW67" s="68"/>
      <c r="BX67" s="68"/>
      <c r="BY67" s="68"/>
      <c r="BZ67" s="68"/>
      <c r="CA67" s="68"/>
      <c r="CB67" s="68"/>
      <c r="CC67" s="68"/>
      <c r="CD67" s="68"/>
      <c r="CE67" s="68"/>
      <c r="CF67" s="68"/>
      <c r="CG67" s="68"/>
      <c r="CH67" s="68"/>
      <c r="CI67" s="68"/>
      <c r="CJ67" s="68"/>
      <c r="CK67" s="68"/>
      <c r="CL67" s="68"/>
      <c r="CM67" s="68"/>
      <c r="CN67" s="68"/>
      <c r="CO67" s="68"/>
      <c r="CP67" s="68"/>
      <c r="CQ67" s="68"/>
      <c r="CR67" s="68"/>
      <c r="CS67" s="68"/>
      <c r="CT67" s="68"/>
      <c r="CU67" s="68"/>
      <c r="CV67" s="68"/>
      <c r="CW67" s="68"/>
      <c r="CX67" s="68"/>
      <c r="CY67" s="68"/>
      <c r="CZ67" s="68"/>
      <c r="DA67" s="68"/>
      <c r="DB67" s="68"/>
      <c r="DC67" s="68"/>
      <c r="DD67" s="68"/>
      <c r="DE67" s="68"/>
      <c r="DF67" s="68"/>
      <c r="DG67" s="68"/>
      <c r="DH67" s="68"/>
      <c r="DI67" s="68"/>
      <c r="DJ67" s="68"/>
      <c r="DK67" s="68"/>
      <c r="DL67" s="68"/>
      <c r="DM67" s="68"/>
      <c r="DN67" s="68"/>
      <c r="DO67" s="68"/>
      <c r="DP67" s="68"/>
      <c r="DQ67" s="68"/>
      <c r="DR67" s="68"/>
      <c r="DS67" s="68"/>
      <c r="DT67" s="68"/>
      <c r="DU67" s="68"/>
      <c r="DV67" s="68"/>
      <c r="DW67" s="68"/>
      <c r="DX67" s="68"/>
      <c r="DY67" s="68"/>
      <c r="DZ67" s="68"/>
      <c r="EA67" s="68"/>
      <c r="EB67" s="68"/>
      <c r="EC67" s="68"/>
      <c r="ED67" s="68"/>
      <c r="EE67" s="68"/>
      <c r="EF67" s="68"/>
      <c r="EG67" s="68"/>
      <c r="EH67" s="68"/>
      <c r="EI67" s="68"/>
      <c r="EJ67" s="68"/>
    </row>
    <row r="68" spans="1:140" s="78" customFormat="1">
      <c r="A68" s="83"/>
      <c r="C68" s="85"/>
      <c r="D68" s="94"/>
      <c r="E68" s="94"/>
      <c r="F68" s="94"/>
      <c r="G68" s="94"/>
      <c r="H68" s="94"/>
      <c r="I68" s="94"/>
      <c r="J68" s="94"/>
      <c r="K68" s="77"/>
      <c r="L68" s="68"/>
      <c r="M68" s="68"/>
      <c r="N68" s="68"/>
      <c r="O68" s="68"/>
      <c r="P68" s="68"/>
      <c r="Q68" s="68"/>
      <c r="R68" s="68"/>
      <c r="S68" s="68"/>
      <c r="T68" s="84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68"/>
      <c r="BJ68" s="68"/>
      <c r="BK68" s="68"/>
      <c r="BL68" s="68"/>
      <c r="BM68" s="68"/>
      <c r="BN68" s="68"/>
      <c r="BO68" s="68"/>
      <c r="BP68" s="68"/>
      <c r="BQ68" s="68"/>
      <c r="BR68" s="68"/>
      <c r="BS68" s="68"/>
      <c r="BT68" s="68"/>
      <c r="BU68" s="68"/>
      <c r="BV68" s="68"/>
      <c r="BW68" s="68"/>
      <c r="BX68" s="68"/>
      <c r="BY68" s="68"/>
      <c r="BZ68" s="68"/>
      <c r="CA68" s="68"/>
      <c r="CB68" s="68"/>
      <c r="CC68" s="68"/>
      <c r="CD68" s="68"/>
      <c r="CE68" s="68"/>
      <c r="CF68" s="68"/>
      <c r="CG68" s="68"/>
      <c r="CH68" s="68"/>
      <c r="CI68" s="68"/>
      <c r="CJ68" s="68"/>
      <c r="CK68" s="68"/>
      <c r="CL68" s="68"/>
      <c r="CM68" s="68"/>
      <c r="CN68" s="68"/>
      <c r="CO68" s="68"/>
      <c r="CP68" s="68"/>
      <c r="CQ68" s="68"/>
      <c r="CR68" s="68"/>
      <c r="CS68" s="68"/>
      <c r="CT68" s="68"/>
      <c r="CU68" s="68"/>
      <c r="CV68" s="68"/>
      <c r="CW68" s="68"/>
      <c r="CX68" s="68"/>
      <c r="CY68" s="68"/>
      <c r="CZ68" s="68"/>
      <c r="DA68" s="68"/>
      <c r="DB68" s="68"/>
      <c r="DC68" s="68"/>
      <c r="DD68" s="68"/>
      <c r="DE68" s="68"/>
      <c r="DF68" s="68"/>
      <c r="DG68" s="68"/>
      <c r="DH68" s="68"/>
      <c r="DI68" s="68"/>
      <c r="DJ68" s="68"/>
      <c r="DK68" s="68"/>
      <c r="DL68" s="68"/>
      <c r="DM68" s="68"/>
      <c r="DN68" s="68"/>
      <c r="DO68" s="68"/>
      <c r="DP68" s="68"/>
      <c r="DQ68" s="68"/>
      <c r="DR68" s="68"/>
      <c r="DS68" s="68"/>
      <c r="DT68" s="68"/>
      <c r="DU68" s="68"/>
      <c r="DV68" s="68"/>
      <c r="DW68" s="68"/>
      <c r="DX68" s="68"/>
      <c r="DY68" s="68"/>
      <c r="DZ68" s="68"/>
      <c r="EA68" s="68"/>
      <c r="EB68" s="68"/>
      <c r="EC68" s="68"/>
      <c r="ED68" s="68"/>
      <c r="EE68" s="68"/>
      <c r="EF68" s="68"/>
      <c r="EG68" s="68"/>
      <c r="EH68" s="68"/>
      <c r="EI68" s="68"/>
      <c r="EJ68" s="68"/>
    </row>
    <row r="69" spans="1:140" s="78" customFormat="1">
      <c r="A69" s="83">
        <v>13</v>
      </c>
      <c r="B69" s="114" t="s">
        <v>22</v>
      </c>
      <c r="C69" s="360"/>
      <c r="D69" s="115">
        <f>D67+D65+D63+D57+D53+D51</f>
        <v>0</v>
      </c>
      <c r="E69" s="115">
        <f>E67+E65+E63+E57+E53+E52</f>
        <v>0</v>
      </c>
      <c r="F69" s="115">
        <f>F67+F65+F63+F57+F53+F52</f>
        <v>0</v>
      </c>
      <c r="G69" s="115">
        <f>G67+G65+G63+G57+G53+G52</f>
        <v>0</v>
      </c>
      <c r="H69" s="115">
        <f>H67+H65+H63+H57+H53+H51</f>
        <v>-104867863.88999999</v>
      </c>
      <c r="I69" s="115">
        <f>I67+I65+I63+I57+I53+I51</f>
        <v>-421817283.29999995</v>
      </c>
      <c r="J69" s="115">
        <f>SUM(D69:I69)</f>
        <v>-526685147.18999994</v>
      </c>
      <c r="K69" s="76"/>
      <c r="L69" s="234">
        <f>+L51+L53+L57+L63+L65+L67</f>
        <v>-5308009.0999999996</v>
      </c>
      <c r="M69" s="234">
        <f t="shared" ref="M69:R69" si="32">+M51+M53+M57+M63+M65+M67</f>
        <v>-25957338.509999998</v>
      </c>
      <c r="N69" s="234">
        <f t="shared" si="32"/>
        <v>-73475236.200000003</v>
      </c>
      <c r="O69" s="234">
        <f t="shared" si="32"/>
        <v>-1960407.78</v>
      </c>
      <c r="P69" s="234">
        <f t="shared" si="32"/>
        <v>-26545183.279999997</v>
      </c>
      <c r="Q69" s="234">
        <f t="shared" si="32"/>
        <v>4939.6099999999997</v>
      </c>
      <c r="R69" s="234">
        <f t="shared" si="32"/>
        <v>-133241235.26000001</v>
      </c>
      <c r="S69" s="234"/>
      <c r="T69" s="234">
        <f>R69+J69</f>
        <v>-659926382.44999993</v>
      </c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68"/>
      <c r="BK69" s="68"/>
      <c r="BL69" s="68"/>
      <c r="BM69" s="68"/>
      <c r="BN69" s="68"/>
      <c r="BO69" s="68"/>
      <c r="BP69" s="68"/>
      <c r="BQ69" s="68"/>
      <c r="BR69" s="68"/>
      <c r="BS69" s="68"/>
      <c r="BT69" s="68"/>
      <c r="BU69" s="68"/>
      <c r="BV69" s="68"/>
      <c r="BW69" s="68"/>
      <c r="BX69" s="68"/>
      <c r="BY69" s="68"/>
      <c r="BZ69" s="68"/>
      <c r="CA69" s="68"/>
      <c r="CB69" s="68"/>
      <c r="CC69" s="68"/>
      <c r="CD69" s="68"/>
      <c r="CE69" s="68"/>
      <c r="CF69" s="68"/>
      <c r="CG69" s="68"/>
      <c r="CH69" s="68"/>
      <c r="CI69" s="68"/>
      <c r="CJ69" s="68"/>
      <c r="CK69" s="68"/>
      <c r="CL69" s="68"/>
      <c r="CM69" s="68"/>
      <c r="CN69" s="68"/>
      <c r="CO69" s="68"/>
      <c r="CP69" s="68"/>
      <c r="CQ69" s="68"/>
      <c r="CR69" s="68"/>
      <c r="CS69" s="68"/>
      <c r="CT69" s="68"/>
      <c r="CU69" s="68"/>
      <c r="CV69" s="68"/>
      <c r="CW69" s="68"/>
      <c r="CX69" s="68"/>
      <c r="CY69" s="68"/>
      <c r="CZ69" s="68"/>
      <c r="DA69" s="68"/>
      <c r="DB69" s="68"/>
      <c r="DC69" s="68"/>
      <c r="DD69" s="68"/>
      <c r="DE69" s="68"/>
      <c r="DF69" s="68"/>
      <c r="DG69" s="68"/>
      <c r="DH69" s="68"/>
      <c r="DI69" s="68"/>
      <c r="DJ69" s="68"/>
      <c r="DK69" s="68"/>
      <c r="DL69" s="68"/>
      <c r="DM69" s="68"/>
      <c r="DN69" s="68"/>
      <c r="DO69" s="68"/>
      <c r="DP69" s="68"/>
      <c r="DQ69" s="68"/>
      <c r="DR69" s="68"/>
      <c r="DS69" s="68"/>
      <c r="DT69" s="68"/>
      <c r="DU69" s="68"/>
      <c r="DV69" s="68"/>
      <c r="DW69" s="68"/>
      <c r="DX69" s="68"/>
      <c r="DY69" s="68"/>
      <c r="DZ69" s="68"/>
      <c r="EA69" s="68"/>
      <c r="EB69" s="68"/>
      <c r="EC69" s="68"/>
      <c r="ED69" s="68"/>
      <c r="EE69" s="68"/>
      <c r="EF69" s="68"/>
      <c r="EG69" s="68"/>
      <c r="EH69" s="68"/>
      <c r="EI69" s="68"/>
      <c r="EJ69" s="68"/>
    </row>
    <row r="70" spans="1:140" s="78" customFormat="1">
      <c r="A70" s="83"/>
      <c r="B70" s="360"/>
      <c r="C70" s="360"/>
      <c r="D70" s="100"/>
      <c r="E70" s="100"/>
      <c r="F70" s="100"/>
      <c r="G70" s="100"/>
      <c r="H70" s="100"/>
      <c r="I70" s="100"/>
      <c r="J70" s="100"/>
      <c r="K70" s="76"/>
      <c r="L70" s="68"/>
      <c r="M70" s="68"/>
      <c r="N70" s="68"/>
      <c r="O70" s="68"/>
      <c r="P70" s="68"/>
      <c r="Q70" s="68"/>
      <c r="R70" s="86"/>
      <c r="S70" s="86"/>
      <c r="T70" s="84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68"/>
      <c r="BG70" s="68"/>
      <c r="BH70" s="68"/>
      <c r="BI70" s="68"/>
      <c r="BJ70" s="68"/>
      <c r="BK70" s="68"/>
      <c r="BL70" s="68"/>
      <c r="BM70" s="68"/>
      <c r="BN70" s="68"/>
      <c r="BO70" s="68"/>
      <c r="BP70" s="68"/>
      <c r="BQ70" s="68"/>
      <c r="BR70" s="68"/>
      <c r="BS70" s="68"/>
      <c r="BT70" s="68"/>
      <c r="BU70" s="68"/>
      <c r="BV70" s="68"/>
      <c r="BW70" s="68"/>
      <c r="BX70" s="68"/>
      <c r="BY70" s="68"/>
      <c r="BZ70" s="68"/>
      <c r="CA70" s="68"/>
      <c r="CB70" s="68"/>
      <c r="CC70" s="68"/>
      <c r="CD70" s="68"/>
      <c r="CE70" s="68"/>
      <c r="CF70" s="68"/>
      <c r="CG70" s="68"/>
      <c r="CH70" s="68"/>
      <c r="CI70" s="68"/>
      <c r="CJ70" s="68"/>
      <c r="CK70" s="68"/>
      <c r="CL70" s="68"/>
      <c r="CM70" s="68"/>
      <c r="CN70" s="68"/>
      <c r="CO70" s="68"/>
      <c r="CP70" s="68"/>
      <c r="CQ70" s="68"/>
      <c r="CR70" s="68"/>
      <c r="CS70" s="68"/>
      <c r="CT70" s="68"/>
      <c r="CU70" s="68"/>
      <c r="CV70" s="68"/>
      <c r="CW70" s="68"/>
      <c r="CX70" s="68"/>
      <c r="CY70" s="68"/>
      <c r="CZ70" s="68"/>
      <c r="DA70" s="68"/>
      <c r="DB70" s="68"/>
      <c r="DC70" s="68"/>
      <c r="DD70" s="68"/>
      <c r="DE70" s="68"/>
      <c r="DF70" s="68"/>
      <c r="DG70" s="68"/>
      <c r="DH70" s="68"/>
      <c r="DI70" s="68"/>
      <c r="DJ70" s="68"/>
      <c r="DK70" s="68"/>
      <c r="DL70" s="68"/>
      <c r="DM70" s="68"/>
      <c r="DN70" s="68"/>
      <c r="DO70" s="68"/>
      <c r="DP70" s="68"/>
      <c r="DQ70" s="68"/>
      <c r="DR70" s="68"/>
      <c r="DS70" s="68"/>
      <c r="DT70" s="68"/>
      <c r="DU70" s="68"/>
      <c r="DV70" s="68"/>
      <c r="DW70" s="68"/>
      <c r="DX70" s="68"/>
      <c r="DY70" s="68"/>
      <c r="DZ70" s="68"/>
      <c r="EA70" s="68"/>
      <c r="EB70" s="68"/>
      <c r="EC70" s="68"/>
      <c r="ED70" s="68"/>
      <c r="EE70" s="68"/>
      <c r="EF70" s="68"/>
      <c r="EG70" s="68"/>
      <c r="EH70" s="68"/>
      <c r="EI70" s="68"/>
      <c r="EJ70" s="68"/>
    </row>
    <row r="71" spans="1:140" s="78" customFormat="1">
      <c r="A71" s="83">
        <v>14</v>
      </c>
      <c r="B71" s="89" t="s">
        <v>69</v>
      </c>
      <c r="C71" s="74" t="s">
        <v>5</v>
      </c>
      <c r="D71" s="71"/>
      <c r="E71" s="71"/>
      <c r="F71" s="71"/>
      <c r="G71" s="71"/>
      <c r="H71" s="71"/>
      <c r="I71" s="71">
        <f>-I35</f>
        <v>0</v>
      </c>
      <c r="J71" s="71">
        <f>SUM(D71:I71)</f>
        <v>0</v>
      </c>
      <c r="K71" s="84"/>
      <c r="L71" s="124">
        <f t="shared" ref="L71:M73" si="33">-L35</f>
        <v>0</v>
      </c>
      <c r="M71" s="124">
        <f t="shared" si="33"/>
        <v>0</v>
      </c>
      <c r="N71" s="124">
        <f>+N35</f>
        <v>0</v>
      </c>
      <c r="O71" s="124">
        <f t="shared" ref="O71:P73" si="34">-O35</f>
        <v>0</v>
      </c>
      <c r="P71" s="124">
        <f t="shared" si="34"/>
        <v>0</v>
      </c>
      <c r="Q71" s="124">
        <f t="shared" ref="Q71" si="35">-Q35</f>
        <v>0</v>
      </c>
      <c r="R71" s="124">
        <f>SUM(L71:Q71)</f>
        <v>0</v>
      </c>
      <c r="S71" s="124"/>
      <c r="T71" s="124">
        <f>R71+J71</f>
        <v>0</v>
      </c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68"/>
      <c r="BB71" s="68"/>
      <c r="BC71" s="68"/>
      <c r="BD71" s="68"/>
      <c r="BE71" s="68"/>
      <c r="BF71" s="68"/>
      <c r="BG71" s="68"/>
      <c r="BH71" s="68"/>
      <c r="BI71" s="68"/>
      <c r="BJ71" s="68"/>
      <c r="BK71" s="68"/>
      <c r="BL71" s="68"/>
      <c r="BM71" s="68"/>
      <c r="BN71" s="68"/>
      <c r="BO71" s="68"/>
      <c r="BP71" s="68"/>
      <c r="BQ71" s="68"/>
      <c r="BR71" s="68"/>
      <c r="BS71" s="68"/>
      <c r="BT71" s="68"/>
      <c r="BU71" s="68"/>
      <c r="BV71" s="68"/>
      <c r="BW71" s="68"/>
      <c r="BX71" s="68"/>
      <c r="BY71" s="68"/>
      <c r="BZ71" s="68"/>
      <c r="CA71" s="68"/>
      <c r="CB71" s="68"/>
      <c r="CC71" s="68"/>
      <c r="CD71" s="68"/>
      <c r="CE71" s="68"/>
      <c r="CF71" s="68"/>
      <c r="CG71" s="68"/>
      <c r="CH71" s="68"/>
      <c r="CI71" s="68"/>
      <c r="CJ71" s="68"/>
      <c r="CK71" s="68"/>
      <c r="CL71" s="68"/>
      <c r="CM71" s="68"/>
      <c r="CN71" s="68"/>
      <c r="CO71" s="68"/>
      <c r="CP71" s="68"/>
      <c r="CQ71" s="68"/>
      <c r="CR71" s="68"/>
      <c r="CS71" s="68"/>
      <c r="CT71" s="68"/>
      <c r="CU71" s="68"/>
      <c r="CV71" s="68"/>
      <c r="CW71" s="68"/>
      <c r="CX71" s="68"/>
      <c r="CY71" s="68"/>
      <c r="CZ71" s="68"/>
      <c r="DA71" s="68"/>
      <c r="DB71" s="68"/>
      <c r="DC71" s="68"/>
      <c r="DD71" s="68"/>
      <c r="DE71" s="68"/>
      <c r="DF71" s="68"/>
      <c r="DG71" s="68"/>
      <c r="DH71" s="68"/>
      <c r="DI71" s="68"/>
      <c r="DJ71" s="68"/>
      <c r="DK71" s="68"/>
      <c r="DL71" s="68"/>
      <c r="DM71" s="68"/>
      <c r="DN71" s="68"/>
      <c r="DO71" s="68"/>
      <c r="DP71" s="68"/>
      <c r="DQ71" s="68"/>
      <c r="DR71" s="68"/>
      <c r="DS71" s="68"/>
      <c r="DT71" s="68"/>
      <c r="DU71" s="68"/>
      <c r="DV71" s="68"/>
      <c r="DW71" s="68"/>
      <c r="DX71" s="68"/>
      <c r="DY71" s="68"/>
      <c r="DZ71" s="68"/>
      <c r="EA71" s="68"/>
      <c r="EB71" s="68"/>
      <c r="EC71" s="68"/>
      <c r="ED71" s="68"/>
      <c r="EE71" s="68"/>
      <c r="EF71" s="68"/>
      <c r="EG71" s="68"/>
      <c r="EH71" s="68"/>
      <c r="EI71" s="68"/>
      <c r="EJ71" s="68"/>
    </row>
    <row r="72" spans="1:140" s="78" customFormat="1">
      <c r="A72" s="83">
        <v>15</v>
      </c>
      <c r="B72" s="89" t="s">
        <v>70</v>
      </c>
      <c r="C72" s="74" t="s">
        <v>6</v>
      </c>
      <c r="D72" s="72"/>
      <c r="E72" s="72"/>
      <c r="F72" s="72"/>
      <c r="G72" s="72"/>
      <c r="H72" s="72"/>
      <c r="I72" s="72"/>
      <c r="J72" s="72"/>
      <c r="K72" s="84"/>
      <c r="L72" s="149">
        <f t="shared" si="33"/>
        <v>0</v>
      </c>
      <c r="M72" s="149">
        <f t="shared" si="33"/>
        <v>0</v>
      </c>
      <c r="N72" s="149"/>
      <c r="O72" s="149">
        <f t="shared" si="34"/>
        <v>0</v>
      </c>
      <c r="P72" s="149">
        <f t="shared" si="34"/>
        <v>0</v>
      </c>
      <c r="Q72" s="149">
        <f t="shared" ref="Q72" si="36">-Q36</f>
        <v>0</v>
      </c>
      <c r="R72" s="149"/>
      <c r="S72" s="149"/>
      <c r="T72" s="149">
        <f>R72+J72</f>
        <v>0</v>
      </c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/>
      <c r="BF72" s="68"/>
      <c r="BG72" s="68"/>
      <c r="BH72" s="68"/>
      <c r="BI72" s="68"/>
      <c r="BJ72" s="68"/>
      <c r="BK72" s="68"/>
      <c r="BL72" s="68"/>
      <c r="BM72" s="68"/>
      <c r="BN72" s="68"/>
      <c r="BO72" s="68"/>
      <c r="BP72" s="68"/>
      <c r="BQ72" s="68"/>
      <c r="BR72" s="68"/>
      <c r="BS72" s="68"/>
      <c r="BT72" s="68"/>
      <c r="BU72" s="68"/>
      <c r="BV72" s="68"/>
      <c r="BW72" s="68"/>
      <c r="BX72" s="68"/>
      <c r="BY72" s="68"/>
      <c r="BZ72" s="68"/>
      <c r="CA72" s="68"/>
      <c r="CB72" s="68"/>
      <c r="CC72" s="68"/>
      <c r="CD72" s="68"/>
      <c r="CE72" s="68"/>
      <c r="CF72" s="68"/>
      <c r="CG72" s="68"/>
      <c r="CH72" s="68"/>
      <c r="CI72" s="68"/>
      <c r="CJ72" s="68"/>
      <c r="CK72" s="68"/>
      <c r="CL72" s="68"/>
      <c r="CM72" s="68"/>
      <c r="CN72" s="68"/>
      <c r="CO72" s="68"/>
      <c r="CP72" s="68"/>
      <c r="CQ72" s="68"/>
      <c r="CR72" s="68"/>
      <c r="CS72" s="68"/>
      <c r="CT72" s="68"/>
      <c r="CU72" s="68"/>
      <c r="CV72" s="68"/>
      <c r="CW72" s="68"/>
      <c r="CX72" s="68"/>
      <c r="CY72" s="68"/>
      <c r="CZ72" s="68"/>
      <c r="DA72" s="68"/>
      <c r="DB72" s="68"/>
      <c r="DC72" s="68"/>
      <c r="DD72" s="68"/>
      <c r="DE72" s="68"/>
      <c r="DF72" s="68"/>
      <c r="DG72" s="68"/>
      <c r="DH72" s="68"/>
      <c r="DI72" s="68"/>
      <c r="DJ72" s="68"/>
      <c r="DK72" s="68"/>
      <c r="DL72" s="68"/>
      <c r="DM72" s="68"/>
      <c r="DN72" s="68"/>
      <c r="DO72" s="68"/>
      <c r="DP72" s="68"/>
      <c r="DQ72" s="68"/>
      <c r="DR72" s="68"/>
      <c r="DS72" s="68"/>
      <c r="DT72" s="68"/>
      <c r="DU72" s="68"/>
      <c r="DV72" s="68"/>
      <c r="DW72" s="68"/>
      <c r="DX72" s="68"/>
      <c r="DY72" s="68"/>
      <c r="DZ72" s="68"/>
      <c r="EA72" s="68"/>
      <c r="EB72" s="68"/>
      <c r="EC72" s="68"/>
      <c r="ED72" s="68"/>
      <c r="EE72" s="68"/>
      <c r="EF72" s="68"/>
      <c r="EG72" s="68"/>
      <c r="EH72" s="68"/>
      <c r="EI72" s="68"/>
      <c r="EJ72" s="68"/>
    </row>
    <row r="73" spans="1:140" s="78" customFormat="1">
      <c r="A73" s="83">
        <v>16</v>
      </c>
      <c r="B73" s="114" t="s">
        <v>23</v>
      </c>
      <c r="C73" s="358"/>
      <c r="D73" s="100">
        <f t="shared" ref="D73:J73" si="37">SUM(D71:D72)</f>
        <v>0</v>
      </c>
      <c r="E73" s="100">
        <f t="shared" si="37"/>
        <v>0</v>
      </c>
      <c r="F73" s="100">
        <f t="shared" si="37"/>
        <v>0</v>
      </c>
      <c r="G73" s="100">
        <f t="shared" si="37"/>
        <v>0</v>
      </c>
      <c r="H73" s="100">
        <f t="shared" si="37"/>
        <v>0</v>
      </c>
      <c r="I73" s="100">
        <f t="shared" si="37"/>
        <v>0</v>
      </c>
      <c r="J73" s="100">
        <f t="shared" si="37"/>
        <v>0</v>
      </c>
      <c r="K73" s="76"/>
      <c r="L73" s="124">
        <f t="shared" si="33"/>
        <v>0</v>
      </c>
      <c r="M73" s="124">
        <f t="shared" si="33"/>
        <v>0</v>
      </c>
      <c r="N73" s="124">
        <f>-N37</f>
        <v>0</v>
      </c>
      <c r="O73" s="124">
        <f t="shared" si="34"/>
        <v>0</v>
      </c>
      <c r="P73" s="124">
        <f t="shared" si="34"/>
        <v>0</v>
      </c>
      <c r="Q73" s="124">
        <f t="shared" ref="Q73" si="38">-Q37</f>
        <v>0</v>
      </c>
      <c r="R73" s="124">
        <f>SUM(L73:Q73)</f>
        <v>0</v>
      </c>
      <c r="S73" s="124"/>
      <c r="T73" s="124">
        <f>R73+J73</f>
        <v>0</v>
      </c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Q73" s="68"/>
      <c r="BR73" s="68"/>
      <c r="BS73" s="68"/>
      <c r="BT73" s="68"/>
      <c r="BU73" s="68"/>
      <c r="BV73" s="68"/>
      <c r="BW73" s="68"/>
      <c r="BX73" s="68"/>
      <c r="BY73" s="68"/>
      <c r="BZ73" s="68"/>
      <c r="CA73" s="68"/>
      <c r="CB73" s="68"/>
      <c r="CC73" s="68"/>
      <c r="CD73" s="68"/>
      <c r="CE73" s="68"/>
      <c r="CF73" s="68"/>
      <c r="CG73" s="68"/>
      <c r="CH73" s="68"/>
      <c r="CI73" s="68"/>
      <c r="CJ73" s="68"/>
      <c r="CK73" s="68"/>
      <c r="CL73" s="68"/>
      <c r="CM73" s="68"/>
      <c r="CN73" s="68"/>
      <c r="CO73" s="68"/>
      <c r="CP73" s="68"/>
      <c r="CQ73" s="68"/>
      <c r="CR73" s="68"/>
      <c r="CS73" s="68"/>
      <c r="CT73" s="68"/>
      <c r="CU73" s="68"/>
      <c r="CV73" s="68"/>
      <c r="CW73" s="68"/>
      <c r="CX73" s="68"/>
      <c r="CY73" s="68"/>
      <c r="CZ73" s="68"/>
      <c r="DA73" s="68"/>
      <c r="DB73" s="68"/>
      <c r="DC73" s="68"/>
      <c r="DD73" s="68"/>
      <c r="DE73" s="68"/>
      <c r="DF73" s="68"/>
      <c r="DG73" s="68"/>
      <c r="DH73" s="68"/>
      <c r="DI73" s="68"/>
      <c r="DJ73" s="68"/>
      <c r="DK73" s="68"/>
      <c r="DL73" s="68"/>
      <c r="DM73" s="68"/>
      <c r="DN73" s="68"/>
      <c r="DO73" s="68"/>
      <c r="DP73" s="68"/>
      <c r="DQ73" s="68"/>
      <c r="DR73" s="68"/>
      <c r="DS73" s="68"/>
      <c r="DT73" s="68"/>
      <c r="DU73" s="68"/>
      <c r="DV73" s="68"/>
      <c r="DW73" s="68"/>
      <c r="DX73" s="68"/>
      <c r="DY73" s="68"/>
      <c r="DZ73" s="68"/>
      <c r="EA73" s="68"/>
      <c r="EB73" s="68"/>
      <c r="EC73" s="68"/>
      <c r="ED73" s="68"/>
      <c r="EE73" s="68"/>
      <c r="EF73" s="68"/>
      <c r="EG73" s="68"/>
      <c r="EH73" s="68"/>
      <c r="EI73" s="68"/>
      <c r="EJ73" s="68"/>
    </row>
    <row r="74" spans="1:140" s="78" customFormat="1">
      <c r="A74" s="83"/>
      <c r="C74" s="116"/>
      <c r="D74" s="94"/>
      <c r="E74" s="94"/>
      <c r="F74" s="94"/>
      <c r="G74" s="94"/>
      <c r="H74" s="94"/>
      <c r="I74" s="94"/>
      <c r="J74" s="94"/>
      <c r="K74" s="77"/>
      <c r="L74" s="68"/>
      <c r="M74" s="68"/>
      <c r="N74" s="68"/>
      <c r="O74" s="68"/>
      <c r="P74" s="68"/>
      <c r="Q74" s="68"/>
      <c r="R74" s="68"/>
      <c r="S74" s="68"/>
      <c r="T74" s="84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68"/>
      <c r="BF74" s="68"/>
      <c r="BG74" s="68"/>
      <c r="BH74" s="68"/>
      <c r="BI74" s="68"/>
      <c r="BJ74" s="68"/>
      <c r="BK74" s="68"/>
      <c r="BL74" s="68"/>
      <c r="BM74" s="68"/>
      <c r="BN74" s="68"/>
      <c r="BO74" s="68"/>
      <c r="BP74" s="68"/>
      <c r="BQ74" s="68"/>
      <c r="BR74" s="68"/>
      <c r="BS74" s="68"/>
      <c r="BT74" s="68"/>
      <c r="BU74" s="68"/>
      <c r="BV74" s="68"/>
      <c r="BW74" s="68"/>
      <c r="BX74" s="68"/>
      <c r="BY74" s="68"/>
      <c r="BZ74" s="68"/>
      <c r="CA74" s="68"/>
      <c r="CB74" s="68"/>
      <c r="CC74" s="68"/>
      <c r="CD74" s="68"/>
      <c r="CE74" s="68"/>
      <c r="CF74" s="68"/>
      <c r="CG74" s="68"/>
      <c r="CH74" s="68"/>
      <c r="CI74" s="68"/>
      <c r="CJ74" s="68"/>
      <c r="CK74" s="68"/>
      <c r="CL74" s="68"/>
      <c r="CM74" s="68"/>
      <c r="CN74" s="68"/>
      <c r="CO74" s="68"/>
      <c r="CP74" s="68"/>
      <c r="CQ74" s="68"/>
      <c r="CR74" s="68"/>
      <c r="CS74" s="68"/>
      <c r="CT74" s="68"/>
      <c r="CU74" s="68"/>
      <c r="CV74" s="68"/>
      <c r="CW74" s="68"/>
      <c r="CX74" s="68"/>
      <c r="CY74" s="68"/>
      <c r="CZ74" s="68"/>
      <c r="DA74" s="68"/>
      <c r="DB74" s="68"/>
      <c r="DC74" s="68"/>
      <c r="DD74" s="68"/>
      <c r="DE74" s="68"/>
      <c r="DF74" s="68"/>
      <c r="DG74" s="68"/>
      <c r="DH74" s="68"/>
      <c r="DI74" s="68"/>
      <c r="DJ74" s="68"/>
      <c r="DK74" s="68"/>
      <c r="DL74" s="68"/>
      <c r="DM74" s="68"/>
      <c r="DN74" s="68"/>
      <c r="DO74" s="68"/>
      <c r="DP74" s="68"/>
      <c r="DQ74" s="68"/>
      <c r="DR74" s="68"/>
      <c r="DS74" s="68"/>
      <c r="DT74" s="68"/>
      <c r="DU74" s="68"/>
      <c r="DV74" s="68"/>
      <c r="DW74" s="68"/>
      <c r="DX74" s="68"/>
      <c r="DY74" s="68"/>
      <c r="DZ74" s="68"/>
      <c r="EA74" s="68"/>
      <c r="EB74" s="68"/>
      <c r="EC74" s="68"/>
      <c r="ED74" s="68"/>
      <c r="EE74" s="68"/>
      <c r="EF74" s="68"/>
      <c r="EG74" s="68"/>
      <c r="EH74" s="68"/>
      <c r="EI74" s="68"/>
      <c r="EJ74" s="68"/>
    </row>
    <row r="75" spans="1:140" s="78" customFormat="1" ht="12" thickBot="1">
      <c r="A75" s="83">
        <v>17</v>
      </c>
      <c r="B75" s="147" t="s">
        <v>92</v>
      </c>
      <c r="C75" s="358"/>
      <c r="D75" s="117">
        <f t="shared" ref="D75:J75" si="39">+D73+D69</f>
        <v>0</v>
      </c>
      <c r="E75" s="117">
        <f t="shared" si="39"/>
        <v>0</v>
      </c>
      <c r="F75" s="117">
        <f t="shared" si="39"/>
        <v>0</v>
      </c>
      <c r="G75" s="117">
        <f t="shared" si="39"/>
        <v>0</v>
      </c>
      <c r="H75" s="117">
        <f t="shared" si="39"/>
        <v>-104867863.88999999</v>
      </c>
      <c r="I75" s="117">
        <f t="shared" si="39"/>
        <v>-421817283.29999995</v>
      </c>
      <c r="J75" s="117">
        <f t="shared" si="39"/>
        <v>-526685147.18999994</v>
      </c>
      <c r="K75" s="113"/>
      <c r="L75" s="130">
        <f t="shared" ref="L75:P75" si="40">-L39</f>
        <v>-5308009.0999999996</v>
      </c>
      <c r="M75" s="130">
        <f t="shared" si="40"/>
        <v>-25957338.510000002</v>
      </c>
      <c r="N75" s="130">
        <f t="shared" si="40"/>
        <v>-73475236.200000018</v>
      </c>
      <c r="O75" s="130">
        <f t="shared" si="40"/>
        <v>-1960407.78</v>
      </c>
      <c r="P75" s="130">
        <f t="shared" si="40"/>
        <v>-26545183.279999997</v>
      </c>
      <c r="Q75" s="130">
        <f t="shared" ref="Q75" si="41">-Q39</f>
        <v>4939.6099999999997</v>
      </c>
      <c r="R75" s="130">
        <f>SUM(L75:Q75)</f>
        <v>-133241235.26000002</v>
      </c>
      <c r="S75" s="124"/>
      <c r="T75" s="130">
        <f>R75+J75</f>
        <v>-659926382.44999993</v>
      </c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/>
      <c r="BJ75" s="68"/>
      <c r="BK75" s="68"/>
      <c r="BL75" s="68"/>
      <c r="BM75" s="68"/>
      <c r="BN75" s="68"/>
      <c r="BO75" s="68"/>
      <c r="BP75" s="68"/>
      <c r="BQ75" s="68"/>
      <c r="BR75" s="68"/>
      <c r="BS75" s="68"/>
      <c r="BT75" s="68"/>
      <c r="BU75" s="68"/>
      <c r="BV75" s="68"/>
      <c r="BW75" s="68"/>
      <c r="BX75" s="68"/>
      <c r="BY75" s="68"/>
      <c r="BZ75" s="68"/>
      <c r="CA75" s="68"/>
      <c r="CB75" s="68"/>
      <c r="CC75" s="68"/>
      <c r="CD75" s="68"/>
      <c r="CE75" s="68"/>
      <c r="CF75" s="68"/>
      <c r="CG75" s="68"/>
      <c r="CH75" s="68"/>
      <c r="CI75" s="68"/>
      <c r="CJ75" s="68"/>
      <c r="CK75" s="68"/>
      <c r="CL75" s="68"/>
      <c r="CM75" s="68"/>
      <c r="CN75" s="68"/>
      <c r="CO75" s="68"/>
      <c r="CP75" s="68"/>
      <c r="CQ75" s="68"/>
      <c r="CR75" s="68"/>
      <c r="CS75" s="68"/>
      <c r="CT75" s="68"/>
      <c r="CU75" s="68"/>
      <c r="CV75" s="68"/>
      <c r="CW75" s="68"/>
      <c r="CX75" s="68"/>
      <c r="CY75" s="68"/>
      <c r="CZ75" s="68"/>
      <c r="DA75" s="68"/>
      <c r="DB75" s="68"/>
      <c r="DC75" s="68"/>
      <c r="DD75" s="68"/>
      <c r="DE75" s="68"/>
      <c r="DF75" s="68"/>
      <c r="DG75" s="68"/>
      <c r="DH75" s="68"/>
      <c r="DI75" s="68"/>
      <c r="DJ75" s="68"/>
      <c r="DK75" s="68"/>
      <c r="DL75" s="68"/>
      <c r="DM75" s="68"/>
      <c r="DN75" s="68"/>
      <c r="DO75" s="68"/>
      <c r="DP75" s="68"/>
      <c r="DQ75" s="68"/>
      <c r="DR75" s="68"/>
      <c r="DS75" s="68"/>
      <c r="DT75" s="68"/>
      <c r="DU75" s="68"/>
      <c r="DV75" s="68"/>
      <c r="DW75" s="68"/>
      <c r="DX75" s="68"/>
      <c r="DY75" s="68"/>
      <c r="DZ75" s="68"/>
      <c r="EA75" s="68"/>
      <c r="EB75" s="68"/>
      <c r="EC75" s="68"/>
      <c r="ED75" s="68"/>
      <c r="EE75" s="68"/>
      <c r="EF75" s="68"/>
      <c r="EG75" s="68"/>
      <c r="EH75" s="68"/>
      <c r="EI75" s="68"/>
      <c r="EJ75" s="68"/>
    </row>
    <row r="76" spans="1:140" s="78" customFormat="1" ht="12" thickTop="1">
      <c r="A76" s="83"/>
      <c r="B76" s="92"/>
      <c r="C76" s="358"/>
      <c r="D76" s="76"/>
      <c r="E76" s="76"/>
      <c r="F76" s="76"/>
      <c r="G76" s="76"/>
      <c r="H76" s="76"/>
      <c r="I76" s="76"/>
      <c r="J76" s="76"/>
      <c r="K76" s="76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68"/>
      <c r="BC76" s="68"/>
      <c r="BD76" s="68"/>
      <c r="BE76" s="68"/>
      <c r="BF76" s="68"/>
      <c r="BG76" s="68"/>
      <c r="BH76" s="68"/>
      <c r="BI76" s="68"/>
      <c r="BJ76" s="68"/>
      <c r="BK76" s="68"/>
      <c r="BL76" s="68"/>
      <c r="BM76" s="68"/>
      <c r="BN76" s="68"/>
      <c r="BO76" s="68"/>
      <c r="BP76" s="68"/>
      <c r="BQ76" s="68"/>
      <c r="BR76" s="68"/>
      <c r="BS76" s="68"/>
      <c r="BT76" s="68"/>
      <c r="BU76" s="68"/>
      <c r="BV76" s="68"/>
      <c r="BW76" s="68"/>
      <c r="BX76" s="68"/>
      <c r="BY76" s="68"/>
      <c r="BZ76" s="68"/>
      <c r="CA76" s="68"/>
      <c r="CB76" s="68"/>
      <c r="CC76" s="68"/>
      <c r="CD76" s="68"/>
      <c r="CE76" s="68"/>
      <c r="CF76" s="68"/>
      <c r="CG76" s="68"/>
      <c r="CH76" s="68"/>
      <c r="CI76" s="68"/>
      <c r="CJ76" s="68"/>
      <c r="CK76" s="68"/>
      <c r="CL76" s="68"/>
      <c r="CM76" s="68"/>
      <c r="CN76" s="68"/>
      <c r="CO76" s="68"/>
      <c r="CP76" s="68"/>
      <c r="CQ76" s="68"/>
      <c r="CR76" s="68"/>
      <c r="CS76" s="68"/>
      <c r="CT76" s="68"/>
      <c r="CU76" s="68"/>
      <c r="CV76" s="68"/>
      <c r="CW76" s="68"/>
      <c r="CX76" s="68"/>
      <c r="CY76" s="68"/>
      <c r="CZ76" s="68"/>
      <c r="DA76" s="68"/>
      <c r="DB76" s="68"/>
      <c r="DC76" s="68"/>
      <c r="DD76" s="68"/>
      <c r="DE76" s="68"/>
      <c r="DF76" s="68"/>
      <c r="DG76" s="68"/>
      <c r="DH76" s="68"/>
      <c r="DI76" s="68"/>
      <c r="DJ76" s="68"/>
      <c r="DK76" s="68"/>
      <c r="DL76" s="68"/>
      <c r="DM76" s="68"/>
      <c r="DN76" s="68"/>
      <c r="DO76" s="68"/>
      <c r="DP76" s="68"/>
      <c r="DQ76" s="68"/>
      <c r="DR76" s="68"/>
      <c r="DS76" s="68"/>
      <c r="DT76" s="68"/>
      <c r="DU76" s="68"/>
      <c r="DV76" s="68"/>
      <c r="DW76" s="68"/>
      <c r="DX76" s="68"/>
      <c r="DY76" s="68"/>
      <c r="DZ76" s="68"/>
      <c r="EA76" s="68"/>
      <c r="EB76" s="68"/>
      <c r="EC76" s="68"/>
      <c r="ED76" s="68"/>
      <c r="EE76" s="68"/>
      <c r="EF76" s="68"/>
      <c r="EG76" s="68"/>
      <c r="EH76" s="68"/>
      <c r="EI76" s="68"/>
      <c r="EJ76" s="68"/>
    </row>
    <row r="77" spans="1:140" s="78" customFormat="1">
      <c r="A77" s="83"/>
      <c r="B77" s="131"/>
      <c r="C77" s="358"/>
      <c r="D77" s="76"/>
      <c r="E77" s="76"/>
      <c r="F77" s="191"/>
      <c r="G77" s="76"/>
      <c r="H77" s="76"/>
      <c r="I77" s="76"/>
      <c r="J77" s="76"/>
      <c r="K77" s="76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8"/>
      <c r="BK77" s="68"/>
      <c r="BL77" s="68"/>
      <c r="BM77" s="68"/>
      <c r="BN77" s="68"/>
      <c r="BO77" s="68"/>
      <c r="BP77" s="68"/>
      <c r="BQ77" s="68"/>
      <c r="BR77" s="68"/>
      <c r="BS77" s="68"/>
      <c r="BT77" s="68"/>
      <c r="BU77" s="68"/>
      <c r="BV77" s="68"/>
      <c r="BW77" s="68"/>
      <c r="BX77" s="68"/>
      <c r="BY77" s="68"/>
      <c r="BZ77" s="68"/>
      <c r="CA77" s="68"/>
      <c r="CB77" s="68"/>
      <c r="CC77" s="68"/>
      <c r="CD77" s="68"/>
      <c r="CE77" s="68"/>
      <c r="CF77" s="68"/>
      <c r="CG77" s="68"/>
      <c r="CH77" s="68"/>
      <c r="CI77" s="68"/>
      <c r="CJ77" s="68"/>
      <c r="CK77" s="68"/>
      <c r="CL77" s="68"/>
      <c r="CM77" s="68"/>
      <c r="CN77" s="68"/>
      <c r="CO77" s="68"/>
      <c r="CP77" s="68"/>
      <c r="CQ77" s="68"/>
      <c r="CR77" s="68"/>
      <c r="CS77" s="68"/>
      <c r="CT77" s="68"/>
      <c r="CU77" s="68"/>
      <c r="CV77" s="68"/>
      <c r="CW77" s="68"/>
      <c r="CX77" s="68"/>
      <c r="CY77" s="68"/>
      <c r="CZ77" s="68"/>
      <c r="DA77" s="68"/>
      <c r="DB77" s="68"/>
      <c r="DC77" s="68"/>
      <c r="DD77" s="68"/>
      <c r="DE77" s="68"/>
      <c r="DF77" s="68"/>
      <c r="DG77" s="68"/>
      <c r="DH77" s="68"/>
      <c r="DI77" s="68"/>
      <c r="DJ77" s="68"/>
      <c r="DK77" s="68"/>
      <c r="DL77" s="68"/>
      <c r="DM77" s="68"/>
      <c r="DN77" s="68"/>
      <c r="DO77" s="68"/>
      <c r="DP77" s="68"/>
      <c r="DQ77" s="68"/>
      <c r="DR77" s="68"/>
      <c r="DS77" s="68"/>
      <c r="DT77" s="68"/>
      <c r="DU77" s="68"/>
      <c r="DV77" s="68"/>
      <c r="DW77" s="68"/>
      <c r="DX77" s="68"/>
      <c r="DY77" s="68"/>
      <c r="DZ77" s="68"/>
      <c r="EA77" s="68"/>
      <c r="EB77" s="68"/>
      <c r="EC77" s="68"/>
      <c r="ED77" s="68"/>
      <c r="EE77" s="68"/>
      <c r="EF77" s="68"/>
      <c r="EG77" s="68"/>
      <c r="EH77" s="68"/>
      <c r="EI77" s="68"/>
      <c r="EJ77" s="68"/>
    </row>
    <row r="78" spans="1:140" s="78" customFormat="1">
      <c r="A78" s="83"/>
      <c r="B78" s="92"/>
      <c r="C78" s="358"/>
      <c r="D78" s="76"/>
      <c r="E78" s="76"/>
      <c r="F78" s="191"/>
      <c r="G78" s="76"/>
      <c r="H78" s="76"/>
      <c r="I78" s="76"/>
      <c r="J78" s="76"/>
      <c r="K78" s="76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  <c r="BD78" s="68"/>
      <c r="BE78" s="68"/>
      <c r="BF78" s="68"/>
      <c r="BG78" s="68"/>
      <c r="BH78" s="68"/>
      <c r="BI78" s="68"/>
      <c r="BJ78" s="68"/>
      <c r="BK78" s="68"/>
      <c r="BL78" s="68"/>
      <c r="BM78" s="68"/>
      <c r="BN78" s="68"/>
      <c r="BO78" s="68"/>
      <c r="BP78" s="68"/>
      <c r="BQ78" s="68"/>
      <c r="BR78" s="68"/>
      <c r="BS78" s="68"/>
      <c r="BT78" s="68"/>
      <c r="BU78" s="68"/>
      <c r="BV78" s="68"/>
      <c r="BW78" s="68"/>
      <c r="BX78" s="68"/>
      <c r="BY78" s="68"/>
      <c r="BZ78" s="68"/>
      <c r="CA78" s="68"/>
      <c r="CB78" s="68"/>
      <c r="CC78" s="68"/>
      <c r="CD78" s="68"/>
      <c r="CE78" s="68"/>
      <c r="CF78" s="68"/>
      <c r="CG78" s="68"/>
      <c r="CH78" s="68"/>
      <c r="CI78" s="68"/>
      <c r="CJ78" s="68"/>
      <c r="CK78" s="68"/>
      <c r="CL78" s="68"/>
      <c r="CM78" s="68"/>
      <c r="CN78" s="68"/>
      <c r="CO78" s="68"/>
      <c r="CP78" s="68"/>
      <c r="CQ78" s="68"/>
      <c r="CR78" s="68"/>
      <c r="CS78" s="68"/>
      <c r="CT78" s="68"/>
      <c r="CU78" s="68"/>
      <c r="CV78" s="68"/>
      <c r="CW78" s="68"/>
      <c r="CX78" s="68"/>
      <c r="CY78" s="68"/>
      <c r="CZ78" s="68"/>
      <c r="DA78" s="68"/>
      <c r="DB78" s="68"/>
      <c r="DC78" s="68"/>
      <c r="DD78" s="68"/>
      <c r="DE78" s="68"/>
      <c r="DF78" s="68"/>
      <c r="DG78" s="68"/>
      <c r="DH78" s="68"/>
      <c r="DI78" s="68"/>
      <c r="DJ78" s="68"/>
      <c r="DK78" s="68"/>
      <c r="DL78" s="68"/>
      <c r="DM78" s="68"/>
      <c r="DN78" s="68"/>
      <c r="DO78" s="68"/>
      <c r="DP78" s="68"/>
      <c r="DQ78" s="68"/>
      <c r="DR78" s="68"/>
      <c r="DS78" s="68"/>
      <c r="DT78" s="68"/>
      <c r="DU78" s="68"/>
      <c r="DV78" s="68"/>
      <c r="DW78" s="68"/>
      <c r="DX78" s="68"/>
      <c r="DY78" s="68"/>
      <c r="DZ78" s="68"/>
      <c r="EA78" s="68"/>
      <c r="EB78" s="68"/>
      <c r="EC78" s="68"/>
      <c r="ED78" s="68"/>
      <c r="EE78" s="68"/>
      <c r="EF78" s="68"/>
      <c r="EG78" s="68"/>
      <c r="EH78" s="68"/>
      <c r="EI78" s="68"/>
      <c r="EJ78" s="68"/>
    </row>
    <row r="79" spans="1:140" ht="12.75" customHeight="1">
      <c r="A79" s="366" t="str">
        <f>+A8</f>
        <v xml:space="preserve">AEP TEXAS </v>
      </c>
      <c r="B79" s="366"/>
      <c r="C79" s="366"/>
      <c r="D79" s="366"/>
      <c r="E79" s="366"/>
      <c r="F79" s="366"/>
      <c r="G79" s="366"/>
      <c r="H79" s="366"/>
      <c r="I79" s="366"/>
      <c r="J79" s="366"/>
      <c r="K79" s="366"/>
      <c r="L79" s="366"/>
      <c r="M79" s="366"/>
      <c r="N79" s="366"/>
      <c r="O79" s="366"/>
      <c r="P79" s="366"/>
      <c r="Q79" s="366"/>
      <c r="R79" s="366"/>
      <c r="S79" s="366"/>
      <c r="T79" s="366"/>
    </row>
    <row r="80" spans="1:140" ht="12.75" customHeight="1">
      <c r="A80" s="371" t="s">
        <v>50</v>
      </c>
      <c r="B80" s="371"/>
      <c r="C80" s="371"/>
      <c r="D80" s="371"/>
      <c r="E80" s="371"/>
      <c r="F80" s="371"/>
      <c r="G80" s="371"/>
      <c r="H80" s="371"/>
      <c r="I80" s="371"/>
      <c r="J80" s="371"/>
      <c r="K80" s="371"/>
      <c r="L80" s="371"/>
      <c r="M80" s="371"/>
      <c r="N80" s="371"/>
      <c r="O80" s="371"/>
      <c r="P80" s="371"/>
      <c r="Q80" s="371"/>
      <c r="R80" s="371"/>
      <c r="S80" s="371"/>
      <c r="T80" s="371"/>
    </row>
    <row r="81" spans="1:140" ht="12.75" customHeight="1">
      <c r="A81" s="366" t="str">
        <f>A10</f>
        <v>FOR TEST YEAR ENDED SEPTEMBER 30, 2023</v>
      </c>
      <c r="B81" s="366"/>
      <c r="C81" s="366"/>
      <c r="D81" s="366"/>
      <c r="E81" s="366"/>
      <c r="F81" s="366"/>
      <c r="G81" s="366"/>
      <c r="H81" s="366"/>
      <c r="I81" s="366"/>
      <c r="J81" s="366"/>
      <c r="K81" s="366"/>
      <c r="L81" s="366"/>
      <c r="M81" s="366"/>
      <c r="N81" s="366"/>
      <c r="O81" s="366"/>
      <c r="P81" s="366"/>
      <c r="Q81" s="366"/>
      <c r="R81" s="366"/>
      <c r="S81" s="366"/>
      <c r="T81" s="366"/>
    </row>
    <row r="82" spans="1:140">
      <c r="B82" s="73"/>
      <c r="C82" s="358"/>
      <c r="D82" s="358"/>
      <c r="E82" s="358"/>
      <c r="F82" s="358"/>
      <c r="G82" s="358"/>
      <c r="H82" s="358"/>
      <c r="I82" s="358"/>
      <c r="J82" s="358"/>
      <c r="K82" s="360"/>
    </row>
    <row r="83" spans="1:140">
      <c r="B83" s="73"/>
      <c r="D83" s="186"/>
      <c r="E83" s="108"/>
      <c r="F83" s="108"/>
      <c r="G83" s="108"/>
      <c r="H83" s="108"/>
    </row>
    <row r="84" spans="1:140" ht="33.75">
      <c r="A84" s="358" t="s">
        <v>8</v>
      </c>
      <c r="B84" s="361" t="s">
        <v>0</v>
      </c>
      <c r="C84" s="361" t="s">
        <v>7</v>
      </c>
      <c r="D84" s="192" t="str">
        <f>$D$13</f>
        <v>Customer Revenue - Base Tariff</v>
      </c>
      <c r="E84" s="192" t="str">
        <f>$E$13</f>
        <v xml:space="preserve">Meter Revenue - Base Tariff </v>
      </c>
      <c r="F84" s="192" t="str">
        <f>$F$13</f>
        <v>Distribution Service Revenue - Base Tariff</v>
      </c>
      <c r="G84" s="192" t="str">
        <f>$G$13</f>
        <v>Facilities Charge</v>
      </c>
      <c r="H84" s="192" t="str">
        <f>+H13</f>
        <v>DCRF Revenue</v>
      </c>
      <c r="I84" s="192" t="str">
        <f>$I$13</f>
        <v>TCRF Revenue</v>
      </c>
      <c r="J84" s="192" t="str">
        <f>$J$13</f>
        <v>Total Base Tariff Revenue</v>
      </c>
      <c r="K84" s="193"/>
      <c r="L84" s="192" t="str">
        <f>+L13</f>
        <v>TTRAR</v>
      </c>
      <c r="M84" s="192" t="str">
        <f t="shared" ref="M84:Q84" si="42">+M13</f>
        <v>EECR</v>
      </c>
      <c r="N84" s="192" t="str">
        <f t="shared" si="42"/>
        <v>TC3</v>
      </c>
      <c r="O84" s="192" t="str">
        <f t="shared" si="42"/>
        <v>MTEEE</v>
      </c>
      <c r="P84" s="192" t="str">
        <f t="shared" si="42"/>
        <v>SRC</v>
      </c>
      <c r="Q84" s="192" t="str">
        <f t="shared" si="42"/>
        <v>Miscellaneous Riders</v>
      </c>
      <c r="R84" s="192" t="str">
        <f>$R$13</f>
        <v>Total Riders</v>
      </c>
      <c r="S84" s="189"/>
      <c r="T84" s="192" t="str">
        <f>$T$13</f>
        <v>Total Revenue</v>
      </c>
    </row>
    <row r="85" spans="1:140">
      <c r="B85" s="361"/>
      <c r="C85" s="361"/>
      <c r="D85" s="97"/>
      <c r="E85" s="97"/>
      <c r="F85" s="97"/>
      <c r="G85" s="97"/>
      <c r="H85" s="97"/>
      <c r="I85" s="97"/>
      <c r="J85" s="97"/>
      <c r="K85" s="123"/>
    </row>
    <row r="86" spans="1:140" s="78" customFormat="1">
      <c r="A86" s="83" t="s">
        <v>9</v>
      </c>
      <c r="B86" s="78" t="s">
        <v>17</v>
      </c>
      <c r="C86" s="85" t="s">
        <v>4</v>
      </c>
      <c r="D86" s="90">
        <f>+'II-H-3.1-3'!P48*'II-H-3.1-3'!R14</f>
        <v>151843.04984447808</v>
      </c>
      <c r="E86" s="90">
        <f>+'II-H-3.1-3'!P48*'II-H-3.1-3'!S14</f>
        <v>367677.09926627192</v>
      </c>
      <c r="F86" s="90">
        <f>+'II-H-4.1 Monthly'!P286-'II-H-4.1 Functions'!D86-'II-H-4.1 Functions'!E86</f>
        <v>2307803.5973871383</v>
      </c>
      <c r="G86" s="90"/>
      <c r="H86" s="90"/>
      <c r="I86" s="90"/>
      <c r="J86" s="90">
        <f>SUM(D86:I86)</f>
        <v>2827323.7464978881</v>
      </c>
      <c r="K86" s="124"/>
      <c r="L86" s="124"/>
      <c r="M86" s="124"/>
      <c r="N86" s="124"/>
      <c r="O86" s="124"/>
      <c r="P86" s="124"/>
      <c r="Q86" s="124"/>
      <c r="R86" s="124">
        <f>SUM(L86:Q86)</f>
        <v>0</v>
      </c>
      <c r="S86" s="124"/>
      <c r="T86" s="124">
        <f>R86+J86</f>
        <v>2827323.7464978881</v>
      </c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8"/>
      <c r="BB86" s="68"/>
      <c r="BC86" s="68"/>
      <c r="BD86" s="68"/>
      <c r="BE86" s="68"/>
      <c r="BF86" s="68"/>
      <c r="BG86" s="68"/>
      <c r="BH86" s="68"/>
      <c r="BI86" s="68"/>
      <c r="BJ86" s="68"/>
      <c r="BK86" s="68"/>
      <c r="BL86" s="68"/>
      <c r="BM86" s="68"/>
      <c r="BN86" s="68"/>
      <c r="BO86" s="68"/>
      <c r="BP86" s="68"/>
      <c r="BQ86" s="68"/>
      <c r="BR86" s="68"/>
      <c r="BS86" s="68"/>
      <c r="BT86" s="68"/>
      <c r="BU86" s="68"/>
      <c r="BV86" s="68"/>
      <c r="BW86" s="68"/>
      <c r="BX86" s="68"/>
      <c r="BY86" s="68"/>
      <c r="BZ86" s="68"/>
      <c r="CA86" s="68"/>
      <c r="CB86" s="68"/>
      <c r="CC86" s="68"/>
      <c r="CD86" s="68"/>
      <c r="CE86" s="68"/>
      <c r="CF86" s="68"/>
      <c r="CG86" s="68"/>
      <c r="CH86" s="68"/>
      <c r="CI86" s="68"/>
      <c r="CJ86" s="68"/>
      <c r="CK86" s="68"/>
      <c r="CL86" s="68"/>
      <c r="CM86" s="68"/>
      <c r="CN86" s="68"/>
      <c r="CO86" s="68"/>
      <c r="CP86" s="68"/>
      <c r="CQ86" s="68"/>
      <c r="CR86" s="68"/>
      <c r="CS86" s="68"/>
      <c r="CT86" s="68"/>
      <c r="CU86" s="68"/>
      <c r="CV86" s="68"/>
      <c r="CW86" s="68"/>
      <c r="CX86" s="68"/>
      <c r="CY86" s="68"/>
      <c r="CZ86" s="68"/>
      <c r="DA86" s="68"/>
      <c r="DB86" s="68"/>
      <c r="DC86" s="68"/>
      <c r="DD86" s="68"/>
      <c r="DE86" s="68"/>
      <c r="DF86" s="68"/>
      <c r="DG86" s="68"/>
      <c r="DH86" s="68"/>
      <c r="DI86" s="68"/>
      <c r="DJ86" s="68"/>
      <c r="DK86" s="68"/>
      <c r="DL86" s="68"/>
      <c r="DM86" s="68"/>
      <c r="DN86" s="68"/>
      <c r="DO86" s="68"/>
      <c r="DP86" s="68"/>
      <c r="DQ86" s="68"/>
      <c r="DR86" s="68"/>
      <c r="DS86" s="68"/>
      <c r="DT86" s="68"/>
      <c r="DU86" s="68"/>
      <c r="DV86" s="68"/>
      <c r="DW86" s="68"/>
      <c r="DX86" s="68"/>
      <c r="DY86" s="68"/>
      <c r="DZ86" s="68"/>
      <c r="EA86" s="68"/>
      <c r="EB86" s="68"/>
      <c r="EC86" s="68"/>
      <c r="ED86" s="68"/>
      <c r="EE86" s="68"/>
      <c r="EF86" s="68"/>
      <c r="EG86" s="68"/>
      <c r="EH86" s="68"/>
      <c r="EI86" s="68"/>
      <c r="EJ86" s="68"/>
    </row>
    <row r="87" spans="1:140" s="78" customFormat="1">
      <c r="C87" s="85"/>
      <c r="D87" s="102"/>
      <c r="E87" s="102"/>
      <c r="F87" s="102"/>
      <c r="G87" s="102"/>
      <c r="H87" s="102"/>
      <c r="I87" s="102"/>
      <c r="J87" s="102"/>
      <c r="K87" s="127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  <c r="BB87" s="68"/>
      <c r="BC87" s="68"/>
      <c r="BD87" s="68"/>
      <c r="BE87" s="68"/>
      <c r="BF87" s="68"/>
      <c r="BG87" s="68"/>
      <c r="BH87" s="68"/>
      <c r="BI87" s="68"/>
      <c r="BJ87" s="68"/>
      <c r="BK87" s="68"/>
      <c r="BL87" s="68"/>
      <c r="BM87" s="68"/>
      <c r="BN87" s="68"/>
      <c r="BO87" s="68"/>
      <c r="BP87" s="68"/>
      <c r="BQ87" s="68"/>
      <c r="BR87" s="68"/>
      <c r="BS87" s="68"/>
      <c r="BT87" s="68"/>
      <c r="BU87" s="68"/>
      <c r="BV87" s="68"/>
      <c r="BW87" s="68"/>
      <c r="BX87" s="68"/>
      <c r="BY87" s="68"/>
      <c r="BZ87" s="68"/>
      <c r="CA87" s="68"/>
      <c r="CB87" s="68"/>
      <c r="CC87" s="68"/>
      <c r="CD87" s="68"/>
      <c r="CE87" s="68"/>
      <c r="CF87" s="68"/>
      <c r="CG87" s="68"/>
      <c r="CH87" s="68"/>
      <c r="CI87" s="68"/>
      <c r="CJ87" s="68"/>
      <c r="CK87" s="68"/>
      <c r="CL87" s="68"/>
      <c r="CM87" s="68"/>
      <c r="CN87" s="68"/>
      <c r="CO87" s="68"/>
      <c r="CP87" s="68"/>
      <c r="CQ87" s="68"/>
      <c r="CR87" s="68"/>
      <c r="CS87" s="68"/>
      <c r="CT87" s="68"/>
      <c r="CU87" s="68"/>
      <c r="CV87" s="68"/>
      <c r="CW87" s="68"/>
      <c r="CX87" s="68"/>
      <c r="CY87" s="68"/>
      <c r="CZ87" s="68"/>
      <c r="DA87" s="68"/>
      <c r="DB87" s="68"/>
      <c r="DC87" s="68"/>
      <c r="DD87" s="68"/>
      <c r="DE87" s="68"/>
      <c r="DF87" s="68"/>
      <c r="DG87" s="68"/>
      <c r="DH87" s="68"/>
      <c r="DI87" s="68"/>
      <c r="DJ87" s="68"/>
      <c r="DK87" s="68"/>
      <c r="DL87" s="68"/>
      <c r="DM87" s="68"/>
      <c r="DN87" s="68"/>
      <c r="DO87" s="68"/>
      <c r="DP87" s="68"/>
      <c r="DQ87" s="68"/>
      <c r="DR87" s="68"/>
      <c r="DS87" s="68"/>
      <c r="DT87" s="68"/>
      <c r="DU87" s="68"/>
      <c r="DV87" s="68"/>
      <c r="DW87" s="68"/>
      <c r="DX87" s="68"/>
      <c r="DY87" s="68"/>
      <c r="DZ87" s="68"/>
      <c r="EA87" s="68"/>
      <c r="EB87" s="68"/>
      <c r="EC87" s="68"/>
      <c r="ED87" s="68"/>
      <c r="EE87" s="68"/>
      <c r="EF87" s="68"/>
      <c r="EG87" s="68"/>
      <c r="EH87" s="68"/>
      <c r="EI87" s="68"/>
      <c r="EJ87" s="68"/>
    </row>
    <row r="88" spans="1:140" s="78" customFormat="1">
      <c r="A88" s="83">
        <v>2</v>
      </c>
      <c r="B88" s="78" t="s">
        <v>20</v>
      </c>
      <c r="C88" s="85" t="s">
        <v>4</v>
      </c>
      <c r="D88" s="71">
        <f>+'II-H-3.1-3'!P50*'II-H-3.1-3'!R16</f>
        <v>9573.2000000000007</v>
      </c>
      <c r="E88" s="90">
        <f>+'II-H-3.1-3'!P50*'II-H-3.1-3'!S16</f>
        <v>30018.820000000003</v>
      </c>
      <c r="F88" s="90">
        <f>+'II-H-4.1 Monthly'!P288-'II-H-4.1 Functions'!D88-'II-H-4.1 Functions'!E88</f>
        <v>44488.277345996525</v>
      </c>
      <c r="G88" s="71"/>
      <c r="H88" s="71"/>
      <c r="I88" s="71"/>
      <c r="J88" s="71">
        <f>SUM(D88:I88)</f>
        <v>84080.297345996529</v>
      </c>
      <c r="K88" s="84"/>
      <c r="L88" s="125"/>
      <c r="M88" s="125"/>
      <c r="N88" s="125"/>
      <c r="O88" s="125"/>
      <c r="P88" s="125"/>
      <c r="Q88" s="125"/>
      <c r="R88" s="84">
        <f>SUM(L88:Q88)</f>
        <v>0</v>
      </c>
      <c r="S88" s="84"/>
      <c r="T88" s="84">
        <f>R88+J88</f>
        <v>84080.297345996529</v>
      </c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68"/>
      <c r="BK88" s="68"/>
      <c r="BL88" s="68"/>
      <c r="BM88" s="68"/>
      <c r="BN88" s="68"/>
      <c r="BO88" s="68"/>
      <c r="BP88" s="68"/>
      <c r="BQ88" s="68"/>
      <c r="BR88" s="68"/>
      <c r="BS88" s="68"/>
      <c r="BT88" s="68"/>
      <c r="BU88" s="68"/>
      <c r="BV88" s="68"/>
      <c r="BW88" s="68"/>
      <c r="BX88" s="68"/>
      <c r="BY88" s="68"/>
      <c r="BZ88" s="68"/>
      <c r="CA88" s="68"/>
      <c r="CB88" s="68"/>
      <c r="CC88" s="68"/>
      <c r="CD88" s="68"/>
      <c r="CE88" s="68"/>
      <c r="CF88" s="68"/>
      <c r="CG88" s="68"/>
      <c r="CH88" s="68"/>
      <c r="CI88" s="68"/>
      <c r="CJ88" s="68"/>
      <c r="CK88" s="68"/>
      <c r="CL88" s="68"/>
      <c r="CM88" s="68"/>
      <c r="CN88" s="68"/>
      <c r="CO88" s="68"/>
      <c r="CP88" s="68"/>
      <c r="CQ88" s="68"/>
      <c r="CR88" s="68"/>
      <c r="CS88" s="68"/>
      <c r="CT88" s="68"/>
      <c r="CU88" s="68"/>
      <c r="CV88" s="68"/>
      <c r="CW88" s="68"/>
      <c r="CX88" s="68"/>
      <c r="CY88" s="68"/>
      <c r="CZ88" s="68"/>
      <c r="DA88" s="68"/>
      <c r="DB88" s="68"/>
      <c r="DC88" s="68"/>
      <c r="DD88" s="68"/>
      <c r="DE88" s="68"/>
      <c r="DF88" s="68"/>
      <c r="DG88" s="68"/>
      <c r="DH88" s="68"/>
      <c r="DI88" s="68"/>
      <c r="DJ88" s="68"/>
      <c r="DK88" s="68"/>
      <c r="DL88" s="68"/>
      <c r="DM88" s="68"/>
      <c r="DN88" s="68"/>
      <c r="DO88" s="68"/>
      <c r="DP88" s="68"/>
      <c r="DQ88" s="68"/>
      <c r="DR88" s="68"/>
      <c r="DS88" s="68"/>
      <c r="DT88" s="68"/>
      <c r="DU88" s="68"/>
      <c r="DV88" s="68"/>
      <c r="DW88" s="68"/>
      <c r="DX88" s="68"/>
      <c r="DY88" s="68"/>
      <c r="DZ88" s="68"/>
      <c r="EA88" s="68"/>
      <c r="EB88" s="68"/>
      <c r="EC88" s="68"/>
      <c r="ED88" s="68"/>
      <c r="EE88" s="68"/>
      <c r="EF88" s="68"/>
      <c r="EG88" s="68"/>
      <c r="EH88" s="68"/>
      <c r="EI88" s="68"/>
      <c r="EJ88" s="68"/>
    </row>
    <row r="89" spans="1:140" s="78" customFormat="1">
      <c r="A89" s="83"/>
      <c r="C89" s="85"/>
      <c r="D89" s="71"/>
      <c r="E89" s="71"/>
      <c r="F89" s="71"/>
      <c r="G89" s="71"/>
      <c r="H89" s="71"/>
      <c r="I89" s="71"/>
      <c r="J89" s="71"/>
      <c r="K89" s="84"/>
      <c r="L89" s="68"/>
      <c r="M89" s="68"/>
      <c r="N89" s="68"/>
      <c r="O89" s="68"/>
      <c r="P89" s="68"/>
      <c r="Q89" s="68"/>
      <c r="R89" s="68"/>
      <c r="S89" s="68"/>
      <c r="T89" s="84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68"/>
      <c r="BK89" s="68"/>
      <c r="BL89" s="68"/>
      <c r="BM89" s="68"/>
      <c r="BN89" s="68"/>
      <c r="BO89" s="68"/>
      <c r="BP89" s="68"/>
      <c r="BQ89" s="68"/>
      <c r="BR89" s="68"/>
      <c r="BS89" s="68"/>
      <c r="BT89" s="68"/>
      <c r="BU89" s="68"/>
      <c r="BV89" s="68"/>
      <c r="BW89" s="68"/>
      <c r="BX89" s="68"/>
      <c r="BY89" s="68"/>
      <c r="BZ89" s="68"/>
      <c r="CA89" s="68"/>
      <c r="CB89" s="68"/>
      <c r="CC89" s="68"/>
      <c r="CD89" s="68"/>
      <c r="CE89" s="68"/>
      <c r="CF89" s="68"/>
      <c r="CG89" s="68"/>
      <c r="CH89" s="68"/>
      <c r="CI89" s="68"/>
      <c r="CJ89" s="68"/>
      <c r="CK89" s="68"/>
      <c r="CL89" s="68"/>
      <c r="CM89" s="68"/>
      <c r="CN89" s="68"/>
      <c r="CO89" s="68"/>
      <c r="CP89" s="68"/>
      <c r="CQ89" s="68"/>
      <c r="CR89" s="68"/>
      <c r="CS89" s="68"/>
      <c r="CT89" s="68"/>
      <c r="CU89" s="68"/>
      <c r="CV89" s="68"/>
      <c r="CW89" s="68"/>
      <c r="CX89" s="68"/>
      <c r="CY89" s="68"/>
      <c r="CZ89" s="68"/>
      <c r="DA89" s="68"/>
      <c r="DB89" s="68"/>
      <c r="DC89" s="68"/>
      <c r="DD89" s="68"/>
      <c r="DE89" s="68"/>
      <c r="DF89" s="68"/>
      <c r="DG89" s="68"/>
      <c r="DH89" s="68"/>
      <c r="DI89" s="68"/>
      <c r="DJ89" s="68"/>
      <c r="DK89" s="68"/>
      <c r="DL89" s="68"/>
      <c r="DM89" s="68"/>
      <c r="DN89" s="68"/>
      <c r="DO89" s="68"/>
      <c r="DP89" s="68"/>
      <c r="DQ89" s="68"/>
      <c r="DR89" s="68"/>
      <c r="DS89" s="68"/>
      <c r="DT89" s="68"/>
      <c r="DU89" s="68"/>
      <c r="DV89" s="68"/>
      <c r="DW89" s="68"/>
      <c r="DX89" s="68"/>
      <c r="DY89" s="68"/>
      <c r="DZ89" s="68"/>
      <c r="EA89" s="68"/>
      <c r="EB89" s="68"/>
      <c r="EC89" s="68"/>
      <c r="ED89" s="68"/>
      <c r="EE89" s="68"/>
      <c r="EF89" s="68"/>
      <c r="EG89" s="68"/>
      <c r="EH89" s="68"/>
      <c r="EI89" s="68"/>
      <c r="EJ89" s="68"/>
    </row>
    <row r="90" spans="1:140" s="78" customFormat="1">
      <c r="A90" s="83">
        <v>3</v>
      </c>
      <c r="B90" s="87" t="s">
        <v>84</v>
      </c>
      <c r="C90" s="74" t="s">
        <v>4</v>
      </c>
      <c r="D90" s="71">
        <f>+'II-H-3.1-3'!P52*'II-H-3.1-3'!R18</f>
        <v>8119.4827441352154</v>
      </c>
      <c r="E90" s="90">
        <f>+'II-H-3.1-3'!P52*'II-H-3.1-3'!S18</f>
        <v>51174.129999999939</v>
      </c>
      <c r="F90" s="90">
        <f>+'II-H-4.1 Monthly'!P290-'II-H-4.1 Functions'!D90-'II-H-4.1 Functions'!E90</f>
        <v>780127.49354034197</v>
      </c>
      <c r="G90" s="84"/>
      <c r="H90" s="84"/>
      <c r="I90" s="84"/>
      <c r="J90" s="84">
        <f>SUM(D90:I90)</f>
        <v>839421.10628447717</v>
      </c>
      <c r="K90" s="84"/>
      <c r="L90" s="125"/>
      <c r="M90" s="125"/>
      <c r="N90" s="125"/>
      <c r="O90" s="125"/>
      <c r="P90" s="125"/>
      <c r="Q90" s="125"/>
      <c r="R90" s="84">
        <f>SUM(L90:Q90)</f>
        <v>0</v>
      </c>
      <c r="S90" s="84"/>
      <c r="T90" s="84">
        <f>R90+J90</f>
        <v>839421.10628447717</v>
      </c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8"/>
      <c r="BB90" s="68"/>
      <c r="BC90" s="68"/>
      <c r="BD90" s="68"/>
      <c r="BE90" s="68"/>
      <c r="BF90" s="68"/>
      <c r="BG90" s="68"/>
      <c r="BH90" s="68"/>
      <c r="BI90" s="68"/>
      <c r="BJ90" s="68"/>
      <c r="BK90" s="68"/>
      <c r="BL90" s="68"/>
      <c r="BM90" s="68"/>
      <c r="BN90" s="68"/>
      <c r="BO90" s="68"/>
      <c r="BP90" s="68"/>
      <c r="BQ90" s="68"/>
      <c r="BR90" s="68"/>
      <c r="BS90" s="68"/>
      <c r="BT90" s="68"/>
      <c r="BU90" s="68"/>
      <c r="BV90" s="68"/>
      <c r="BW90" s="68"/>
      <c r="BX90" s="68"/>
      <c r="BY90" s="68"/>
      <c r="BZ90" s="68"/>
      <c r="CA90" s="68"/>
      <c r="CB90" s="68"/>
      <c r="CC90" s="68"/>
      <c r="CD90" s="68"/>
      <c r="CE90" s="68"/>
      <c r="CF90" s="68"/>
      <c r="CG90" s="68"/>
      <c r="CH90" s="68"/>
      <c r="CI90" s="68"/>
      <c r="CJ90" s="68"/>
      <c r="CK90" s="68"/>
      <c r="CL90" s="68"/>
      <c r="CM90" s="68"/>
      <c r="CN90" s="68"/>
      <c r="CO90" s="68"/>
      <c r="CP90" s="68"/>
      <c r="CQ90" s="68"/>
      <c r="CR90" s="68"/>
      <c r="CS90" s="68"/>
      <c r="CT90" s="68"/>
      <c r="CU90" s="68"/>
      <c r="CV90" s="68"/>
      <c r="CW90" s="68"/>
      <c r="CX90" s="68"/>
      <c r="CY90" s="68"/>
      <c r="CZ90" s="68"/>
      <c r="DA90" s="68"/>
      <c r="DB90" s="68"/>
      <c r="DC90" s="68"/>
      <c r="DD90" s="68"/>
      <c r="DE90" s="68"/>
      <c r="DF90" s="68"/>
      <c r="DG90" s="68"/>
      <c r="DH90" s="68"/>
      <c r="DI90" s="68"/>
      <c r="DJ90" s="68"/>
      <c r="DK90" s="68"/>
      <c r="DL90" s="68"/>
      <c r="DM90" s="68"/>
      <c r="DN90" s="68"/>
      <c r="DO90" s="68"/>
      <c r="DP90" s="68"/>
      <c r="DQ90" s="68"/>
      <c r="DR90" s="68"/>
      <c r="DS90" s="68"/>
      <c r="DT90" s="68"/>
      <c r="DU90" s="68"/>
      <c r="DV90" s="68"/>
      <c r="DW90" s="68"/>
      <c r="DX90" s="68"/>
      <c r="DY90" s="68"/>
      <c r="DZ90" s="68"/>
      <c r="EA90" s="68"/>
      <c r="EB90" s="68"/>
      <c r="EC90" s="68"/>
      <c r="ED90" s="68"/>
      <c r="EE90" s="68"/>
      <c r="EF90" s="68"/>
      <c r="EG90" s="68"/>
      <c r="EH90" s="68"/>
      <c r="EI90" s="68"/>
      <c r="EJ90" s="68"/>
    </row>
    <row r="91" spans="1:140" s="78" customFormat="1">
      <c r="A91" s="83">
        <v>4</v>
      </c>
      <c r="B91" s="87" t="s">
        <v>85</v>
      </c>
      <c r="C91" s="74" t="s">
        <v>4</v>
      </c>
      <c r="D91" s="72">
        <f>+'II-H-3.1-3'!P53*'II-H-3.1-3'!R19</f>
        <v>129.28</v>
      </c>
      <c r="E91" s="149">
        <f>+'II-H-3.1-3'!P53*'II-H-3.1-3'!S19</f>
        <v>810.88</v>
      </c>
      <c r="F91" s="149">
        <f>+'II-H-4.1 Monthly'!P291-'II-H-4.1 Functions'!D91-'II-H-4.1 Functions'!E91</f>
        <v>164843.57705615539</v>
      </c>
      <c r="G91" s="72"/>
      <c r="H91" s="72"/>
      <c r="I91" s="72"/>
      <c r="J91" s="72">
        <f>SUM(D91:I91)</f>
        <v>165783.7370561554</v>
      </c>
      <c r="K91" s="84"/>
      <c r="L91" s="126"/>
      <c r="M91" s="126"/>
      <c r="N91" s="126"/>
      <c r="O91" s="126"/>
      <c r="P91" s="126"/>
      <c r="Q91" s="126"/>
      <c r="R91" s="72">
        <f>SUM(L91:Q91)</f>
        <v>0</v>
      </c>
      <c r="S91" s="84"/>
      <c r="T91" s="72">
        <f>R91+J91</f>
        <v>165783.7370561554</v>
      </c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68"/>
      <c r="BH91" s="68"/>
      <c r="BI91" s="68"/>
      <c r="BJ91" s="68"/>
      <c r="BK91" s="68"/>
      <c r="BL91" s="68"/>
      <c r="BM91" s="68"/>
      <c r="BN91" s="68"/>
      <c r="BO91" s="68"/>
      <c r="BP91" s="68"/>
      <c r="BQ91" s="68"/>
      <c r="BR91" s="68"/>
      <c r="BS91" s="68"/>
      <c r="BT91" s="68"/>
      <c r="BU91" s="68"/>
      <c r="BV91" s="68"/>
      <c r="BW91" s="68"/>
      <c r="BX91" s="68"/>
      <c r="BY91" s="68"/>
      <c r="BZ91" s="68"/>
      <c r="CA91" s="68"/>
      <c r="CB91" s="68"/>
      <c r="CC91" s="68"/>
      <c r="CD91" s="68"/>
      <c r="CE91" s="68"/>
      <c r="CF91" s="68"/>
      <c r="CG91" s="68"/>
      <c r="CH91" s="68"/>
      <c r="CI91" s="68"/>
      <c r="CJ91" s="68"/>
      <c r="CK91" s="68"/>
      <c r="CL91" s="68"/>
      <c r="CM91" s="68"/>
      <c r="CN91" s="68"/>
      <c r="CO91" s="68"/>
      <c r="CP91" s="68"/>
      <c r="CQ91" s="68"/>
      <c r="CR91" s="68"/>
      <c r="CS91" s="68"/>
      <c r="CT91" s="68"/>
      <c r="CU91" s="68"/>
      <c r="CV91" s="68"/>
      <c r="CW91" s="68"/>
      <c r="CX91" s="68"/>
      <c r="CY91" s="68"/>
      <c r="CZ91" s="68"/>
      <c r="DA91" s="68"/>
      <c r="DB91" s="68"/>
      <c r="DC91" s="68"/>
      <c r="DD91" s="68"/>
      <c r="DE91" s="68"/>
      <c r="DF91" s="68"/>
      <c r="DG91" s="68"/>
      <c r="DH91" s="68"/>
      <c r="DI91" s="68"/>
      <c r="DJ91" s="68"/>
      <c r="DK91" s="68"/>
      <c r="DL91" s="68"/>
      <c r="DM91" s="68"/>
      <c r="DN91" s="68"/>
      <c r="DO91" s="68"/>
      <c r="DP91" s="68"/>
      <c r="DQ91" s="68"/>
      <c r="DR91" s="68"/>
      <c r="DS91" s="68"/>
      <c r="DT91" s="68"/>
      <c r="DU91" s="68"/>
      <c r="DV91" s="68"/>
      <c r="DW91" s="68"/>
      <c r="DX91" s="68"/>
      <c r="DY91" s="68"/>
      <c r="DZ91" s="68"/>
      <c r="EA91" s="68"/>
      <c r="EB91" s="68"/>
      <c r="EC91" s="68"/>
      <c r="ED91" s="68"/>
      <c r="EE91" s="68"/>
      <c r="EF91" s="68"/>
      <c r="EG91" s="68"/>
      <c r="EH91" s="68"/>
      <c r="EI91" s="68"/>
      <c r="EJ91" s="68"/>
    </row>
    <row r="92" spans="1:140" s="78" customFormat="1">
      <c r="A92" s="83">
        <v>5</v>
      </c>
      <c r="B92" s="96" t="s">
        <v>18</v>
      </c>
      <c r="C92" s="85"/>
      <c r="D92" s="94">
        <f>SUM(D90:D91)</f>
        <v>8248.7627441352161</v>
      </c>
      <c r="E92" s="94">
        <f>SUM(E90:E91)</f>
        <v>51985.009999999937</v>
      </c>
      <c r="F92" s="94">
        <f>SUM(F90:F91)</f>
        <v>944971.07059649739</v>
      </c>
      <c r="G92" s="94">
        <f>SUM(G90:G91)</f>
        <v>0</v>
      </c>
      <c r="H92" s="94"/>
      <c r="I92" s="94">
        <f>SUM(I90:I91)</f>
        <v>0</v>
      </c>
      <c r="J92" s="94">
        <f>SUM(D92:I92)</f>
        <v>1005204.8433406325</v>
      </c>
      <c r="K92" s="77"/>
      <c r="L92" s="125">
        <f t="shared" ref="L92:P92" si="43">SUM(L90:L91)</f>
        <v>0</v>
      </c>
      <c r="M92" s="125">
        <f t="shared" si="43"/>
        <v>0</v>
      </c>
      <c r="N92" s="125"/>
      <c r="O92" s="125">
        <f t="shared" si="43"/>
        <v>0</v>
      </c>
      <c r="P92" s="125">
        <f t="shared" si="43"/>
        <v>0</v>
      </c>
      <c r="Q92" s="125"/>
      <c r="R92" s="86">
        <f>SUM(L92:Q92)</f>
        <v>0</v>
      </c>
      <c r="S92" s="86"/>
      <c r="T92" s="84">
        <f>SUM(T90:T91)</f>
        <v>1005204.8433406325</v>
      </c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  <c r="BC92" s="68"/>
      <c r="BD92" s="68"/>
      <c r="BE92" s="68"/>
      <c r="BF92" s="68"/>
      <c r="BG92" s="68"/>
      <c r="BH92" s="68"/>
      <c r="BI92" s="68"/>
      <c r="BJ92" s="68"/>
      <c r="BK92" s="68"/>
      <c r="BL92" s="68"/>
      <c r="BM92" s="68"/>
      <c r="BN92" s="68"/>
      <c r="BO92" s="68"/>
      <c r="BP92" s="68"/>
      <c r="BQ92" s="68"/>
      <c r="BR92" s="68"/>
      <c r="BS92" s="68"/>
      <c r="BT92" s="68"/>
      <c r="BU92" s="68"/>
      <c r="BV92" s="68"/>
      <c r="BW92" s="68"/>
      <c r="BX92" s="68"/>
      <c r="BY92" s="68"/>
      <c r="BZ92" s="68"/>
      <c r="CA92" s="68"/>
      <c r="CB92" s="68"/>
      <c r="CC92" s="68"/>
      <c r="CD92" s="68"/>
      <c r="CE92" s="68"/>
      <c r="CF92" s="68"/>
      <c r="CG92" s="68"/>
      <c r="CH92" s="68"/>
      <c r="CI92" s="68"/>
      <c r="CJ92" s="68"/>
      <c r="CK92" s="68"/>
      <c r="CL92" s="68"/>
      <c r="CM92" s="68"/>
      <c r="CN92" s="68"/>
      <c r="CO92" s="68"/>
      <c r="CP92" s="68"/>
      <c r="CQ92" s="68"/>
      <c r="CR92" s="68"/>
      <c r="CS92" s="68"/>
      <c r="CT92" s="68"/>
      <c r="CU92" s="68"/>
      <c r="CV92" s="68"/>
      <c r="CW92" s="68"/>
      <c r="CX92" s="68"/>
      <c r="CY92" s="68"/>
      <c r="CZ92" s="68"/>
      <c r="DA92" s="68"/>
      <c r="DB92" s="68"/>
      <c r="DC92" s="68"/>
      <c r="DD92" s="68"/>
      <c r="DE92" s="68"/>
      <c r="DF92" s="68"/>
      <c r="DG92" s="68"/>
      <c r="DH92" s="68"/>
      <c r="DI92" s="68"/>
      <c r="DJ92" s="68"/>
      <c r="DK92" s="68"/>
      <c r="DL92" s="68"/>
      <c r="DM92" s="68"/>
      <c r="DN92" s="68"/>
      <c r="DO92" s="68"/>
      <c r="DP92" s="68"/>
      <c r="DQ92" s="68"/>
      <c r="DR92" s="68"/>
      <c r="DS92" s="68"/>
      <c r="DT92" s="68"/>
      <c r="DU92" s="68"/>
      <c r="DV92" s="68"/>
      <c r="DW92" s="68"/>
      <c r="DX92" s="68"/>
      <c r="DY92" s="68"/>
      <c r="DZ92" s="68"/>
      <c r="EA92" s="68"/>
      <c r="EB92" s="68"/>
      <c r="EC92" s="68"/>
      <c r="ED92" s="68"/>
      <c r="EE92" s="68"/>
      <c r="EF92" s="68"/>
      <c r="EG92" s="68"/>
      <c r="EH92" s="68"/>
      <c r="EI92" s="68"/>
      <c r="EJ92" s="68"/>
    </row>
    <row r="93" spans="1:140" s="78" customFormat="1">
      <c r="B93" s="146"/>
      <c r="C93" s="85"/>
      <c r="D93" s="94"/>
      <c r="E93" s="94"/>
      <c r="F93" s="94"/>
      <c r="G93" s="94"/>
      <c r="H93" s="94"/>
      <c r="I93" s="94"/>
      <c r="J93" s="94"/>
      <c r="K93" s="77"/>
      <c r="L93" s="68"/>
      <c r="M93" s="68"/>
      <c r="N93" s="68"/>
      <c r="O93" s="68"/>
      <c r="P93" s="68"/>
      <c r="Q93" s="68"/>
      <c r="R93" s="68"/>
      <c r="S93" s="68"/>
      <c r="T93" s="84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8"/>
      <c r="BK93" s="68"/>
      <c r="BL93" s="68"/>
      <c r="BM93" s="68"/>
      <c r="BN93" s="68"/>
      <c r="BO93" s="68"/>
      <c r="BP93" s="68"/>
      <c r="BQ93" s="68"/>
      <c r="BR93" s="68"/>
      <c r="BS93" s="68"/>
      <c r="BT93" s="68"/>
      <c r="BU93" s="68"/>
      <c r="BV93" s="68"/>
      <c r="BW93" s="68"/>
      <c r="BX93" s="68"/>
      <c r="BY93" s="68"/>
      <c r="BZ93" s="68"/>
      <c r="CA93" s="68"/>
      <c r="CB93" s="68"/>
      <c r="CC93" s="68"/>
      <c r="CD93" s="68"/>
      <c r="CE93" s="68"/>
      <c r="CF93" s="68"/>
      <c r="CG93" s="68"/>
      <c r="CH93" s="68"/>
      <c r="CI93" s="68"/>
      <c r="CJ93" s="68"/>
      <c r="CK93" s="68"/>
      <c r="CL93" s="68"/>
      <c r="CM93" s="68"/>
      <c r="CN93" s="68"/>
      <c r="CO93" s="68"/>
      <c r="CP93" s="68"/>
      <c r="CQ93" s="68"/>
      <c r="CR93" s="68"/>
      <c r="CS93" s="68"/>
      <c r="CT93" s="68"/>
      <c r="CU93" s="68"/>
      <c r="CV93" s="68"/>
      <c r="CW93" s="68"/>
      <c r="CX93" s="68"/>
      <c r="CY93" s="68"/>
      <c r="CZ93" s="68"/>
      <c r="DA93" s="68"/>
      <c r="DB93" s="68"/>
      <c r="DC93" s="68"/>
      <c r="DD93" s="68"/>
      <c r="DE93" s="68"/>
      <c r="DF93" s="68"/>
      <c r="DG93" s="68"/>
      <c r="DH93" s="68"/>
      <c r="DI93" s="68"/>
      <c r="DJ93" s="68"/>
      <c r="DK93" s="68"/>
      <c r="DL93" s="68"/>
      <c r="DM93" s="68"/>
      <c r="DN93" s="68"/>
      <c r="DO93" s="68"/>
      <c r="DP93" s="68"/>
      <c r="DQ93" s="68"/>
      <c r="DR93" s="68"/>
      <c r="DS93" s="68"/>
      <c r="DT93" s="68"/>
      <c r="DU93" s="68"/>
      <c r="DV93" s="68"/>
      <c r="DW93" s="68"/>
      <c r="DX93" s="68"/>
      <c r="DY93" s="68"/>
      <c r="DZ93" s="68"/>
      <c r="EA93" s="68"/>
      <c r="EB93" s="68"/>
      <c r="EC93" s="68"/>
      <c r="ED93" s="68"/>
      <c r="EE93" s="68"/>
      <c r="EF93" s="68"/>
      <c r="EG93" s="68"/>
      <c r="EH93" s="68"/>
      <c r="EI93" s="68"/>
      <c r="EJ93" s="68"/>
    </row>
    <row r="94" spans="1:140" s="78" customFormat="1">
      <c r="A94" s="83">
        <v>6</v>
      </c>
      <c r="B94" s="87" t="s">
        <v>82</v>
      </c>
      <c r="C94" s="74" t="s">
        <v>5</v>
      </c>
      <c r="D94" s="71">
        <f>+'II-H-3.1-3'!P56*'II-H-3.1-3'!R22</f>
        <v>-29.176254204815827</v>
      </c>
      <c r="E94" s="90">
        <f>+'II-H-3.1-3'!P56*'II-H-3.1-3'!S22</f>
        <v>-507.48000000002571</v>
      </c>
      <c r="F94" s="90">
        <f>+'II-H-4.1 Monthly'!P294-'II-H-4.1 Functions'!D94-'II-H-4.1 Functions'!E94</f>
        <v>-4974.2161417380648</v>
      </c>
      <c r="G94" s="71"/>
      <c r="H94" s="71"/>
      <c r="I94" s="71"/>
      <c r="J94" s="71">
        <f>SUM(D94:I94)</f>
        <v>-5510.8723959429062</v>
      </c>
      <c r="K94" s="84"/>
      <c r="L94" s="125"/>
      <c r="M94" s="125"/>
      <c r="N94" s="125"/>
      <c r="O94" s="125"/>
      <c r="P94" s="125"/>
      <c r="Q94" s="125"/>
      <c r="R94" s="84">
        <f>SUM(L94:Q94)</f>
        <v>0</v>
      </c>
      <c r="S94" s="84"/>
      <c r="T94" s="84">
        <f>R94+J94</f>
        <v>-5510.8723959429062</v>
      </c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  <c r="BB94" s="68"/>
      <c r="BC94" s="68"/>
      <c r="BD94" s="68"/>
      <c r="BE94" s="68"/>
      <c r="BF94" s="68"/>
      <c r="BG94" s="68"/>
      <c r="BH94" s="68"/>
      <c r="BI94" s="68"/>
      <c r="BJ94" s="68"/>
      <c r="BK94" s="68"/>
      <c r="BL94" s="68"/>
      <c r="BM94" s="68"/>
      <c r="BN94" s="68"/>
      <c r="BO94" s="68"/>
      <c r="BP94" s="68"/>
      <c r="BQ94" s="68"/>
      <c r="BR94" s="68"/>
      <c r="BS94" s="68"/>
      <c r="BT94" s="68"/>
      <c r="BU94" s="68"/>
      <c r="BV94" s="68"/>
      <c r="BW94" s="68"/>
      <c r="BX94" s="68"/>
      <c r="BY94" s="68"/>
      <c r="BZ94" s="68"/>
      <c r="CA94" s="68"/>
      <c r="CB94" s="68"/>
      <c r="CC94" s="68"/>
      <c r="CD94" s="68"/>
      <c r="CE94" s="68"/>
      <c r="CF94" s="68"/>
      <c r="CG94" s="68"/>
      <c r="CH94" s="68"/>
      <c r="CI94" s="68"/>
      <c r="CJ94" s="68"/>
      <c r="CK94" s="68"/>
      <c r="CL94" s="68"/>
      <c r="CM94" s="68"/>
      <c r="CN94" s="68"/>
      <c r="CO94" s="68"/>
      <c r="CP94" s="68"/>
      <c r="CQ94" s="68"/>
      <c r="CR94" s="68"/>
      <c r="CS94" s="68"/>
      <c r="CT94" s="68"/>
      <c r="CU94" s="68"/>
      <c r="CV94" s="68"/>
      <c r="CW94" s="68"/>
      <c r="CX94" s="68"/>
      <c r="CY94" s="68"/>
      <c r="CZ94" s="68"/>
      <c r="DA94" s="68"/>
      <c r="DB94" s="68"/>
      <c r="DC94" s="68"/>
      <c r="DD94" s="68"/>
      <c r="DE94" s="68"/>
      <c r="DF94" s="68"/>
      <c r="DG94" s="68"/>
      <c r="DH94" s="68"/>
      <c r="DI94" s="68"/>
      <c r="DJ94" s="68"/>
      <c r="DK94" s="68"/>
      <c r="DL94" s="68"/>
      <c r="DM94" s="68"/>
      <c r="DN94" s="68"/>
      <c r="DO94" s="68"/>
      <c r="DP94" s="68"/>
      <c r="DQ94" s="68"/>
      <c r="DR94" s="68"/>
      <c r="DS94" s="68"/>
      <c r="DT94" s="68"/>
      <c r="DU94" s="68"/>
      <c r="DV94" s="68"/>
      <c r="DW94" s="68"/>
      <c r="DX94" s="68"/>
      <c r="DY94" s="68"/>
      <c r="DZ94" s="68"/>
      <c r="EA94" s="68"/>
      <c r="EB94" s="68"/>
      <c r="EC94" s="68"/>
      <c r="ED94" s="68"/>
      <c r="EE94" s="68"/>
      <c r="EF94" s="68"/>
      <c r="EG94" s="68"/>
      <c r="EH94" s="68"/>
      <c r="EI94" s="68"/>
      <c r="EJ94" s="68"/>
    </row>
    <row r="95" spans="1:140" s="78" customFormat="1">
      <c r="A95" s="83">
        <v>7</v>
      </c>
      <c r="B95" s="87" t="s">
        <v>83</v>
      </c>
      <c r="C95" s="74" t="s">
        <v>5</v>
      </c>
      <c r="D95" s="71">
        <f>+'II-H-3.1-3'!P57*'II-H-3.1-3'!R23</f>
        <v>-535.8964327496567</v>
      </c>
      <c r="E95" s="90">
        <f>+'II-H-3.1-3'!P57*'II-H-3.1-3'!S23</f>
        <v>-9261.5100000000093</v>
      </c>
      <c r="F95" s="90">
        <f>+'II-H-4.1 Monthly'!P295-'II-H-4.1 Functions'!D95-'II-H-4.1 Functions'!E95</f>
        <v>-315053.11787181936</v>
      </c>
      <c r="G95" s="84"/>
      <c r="H95" s="84"/>
      <c r="I95" s="84"/>
      <c r="J95" s="84">
        <f>SUM(D95:I95)</f>
        <v>-324850.524304569</v>
      </c>
      <c r="K95" s="84"/>
      <c r="L95" s="125"/>
      <c r="M95" s="125"/>
      <c r="N95" s="125"/>
      <c r="O95" s="125"/>
      <c r="P95" s="125"/>
      <c r="Q95" s="125"/>
      <c r="R95" s="84">
        <f>SUM(L95:Q95)</f>
        <v>0</v>
      </c>
      <c r="S95" s="84"/>
      <c r="T95" s="84">
        <f>R95+J95</f>
        <v>-324850.524304569</v>
      </c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  <c r="BB95" s="68"/>
      <c r="BC95" s="68"/>
      <c r="BD95" s="68"/>
      <c r="BE95" s="68"/>
      <c r="BF95" s="68"/>
      <c r="BG95" s="68"/>
      <c r="BH95" s="68"/>
      <c r="BI95" s="68"/>
      <c r="BJ95" s="68"/>
      <c r="BK95" s="68"/>
      <c r="BL95" s="68"/>
      <c r="BM95" s="68"/>
      <c r="BN95" s="68"/>
      <c r="BO95" s="68"/>
      <c r="BP95" s="68"/>
      <c r="BQ95" s="68"/>
      <c r="BR95" s="68"/>
      <c r="BS95" s="68"/>
      <c r="BT95" s="68"/>
      <c r="BU95" s="68"/>
      <c r="BV95" s="68"/>
      <c r="BW95" s="68"/>
      <c r="BX95" s="68"/>
      <c r="BY95" s="68"/>
      <c r="BZ95" s="68"/>
      <c r="CA95" s="68"/>
      <c r="CB95" s="68"/>
      <c r="CC95" s="68"/>
      <c r="CD95" s="68"/>
      <c r="CE95" s="68"/>
      <c r="CF95" s="68"/>
      <c r="CG95" s="68"/>
      <c r="CH95" s="68"/>
      <c r="CI95" s="68"/>
      <c r="CJ95" s="68"/>
      <c r="CK95" s="68"/>
      <c r="CL95" s="68"/>
      <c r="CM95" s="68"/>
      <c r="CN95" s="68"/>
      <c r="CO95" s="68"/>
      <c r="CP95" s="68"/>
      <c r="CQ95" s="68"/>
      <c r="CR95" s="68"/>
      <c r="CS95" s="68"/>
      <c r="CT95" s="68"/>
      <c r="CU95" s="68"/>
      <c r="CV95" s="68"/>
      <c r="CW95" s="68"/>
      <c r="CX95" s="68"/>
      <c r="CY95" s="68"/>
      <c r="CZ95" s="68"/>
      <c r="DA95" s="68"/>
      <c r="DB95" s="68"/>
      <c r="DC95" s="68"/>
      <c r="DD95" s="68"/>
      <c r="DE95" s="68"/>
      <c r="DF95" s="68"/>
      <c r="DG95" s="68"/>
      <c r="DH95" s="68"/>
      <c r="DI95" s="68"/>
      <c r="DJ95" s="68"/>
      <c r="DK95" s="68"/>
      <c r="DL95" s="68"/>
      <c r="DM95" s="68"/>
      <c r="DN95" s="68"/>
      <c r="DO95" s="68"/>
      <c r="DP95" s="68"/>
      <c r="DQ95" s="68"/>
      <c r="DR95" s="68"/>
      <c r="DS95" s="68"/>
      <c r="DT95" s="68"/>
      <c r="DU95" s="68"/>
      <c r="DV95" s="68"/>
      <c r="DW95" s="68"/>
      <c r="DX95" s="68"/>
      <c r="DY95" s="68"/>
      <c r="DZ95" s="68"/>
      <c r="EA95" s="68"/>
      <c r="EB95" s="68"/>
      <c r="EC95" s="68"/>
      <c r="ED95" s="68"/>
      <c r="EE95" s="68"/>
      <c r="EF95" s="68"/>
      <c r="EG95" s="68"/>
      <c r="EH95" s="68"/>
      <c r="EI95" s="68"/>
      <c r="EJ95" s="68"/>
    </row>
    <row r="96" spans="1:140" s="78" customFormat="1">
      <c r="A96" s="83">
        <v>8</v>
      </c>
      <c r="B96" s="87" t="s">
        <v>148</v>
      </c>
      <c r="C96" s="74" t="s">
        <v>5</v>
      </c>
      <c r="D96" s="71">
        <f>+'II-H-3.1-3'!P58*'II-H-3.1-3'!R24</f>
        <v>0</v>
      </c>
      <c r="E96" s="90">
        <f>+'II-H-3.1-3'!P58*'II-H-3.1-3'!S24</f>
        <v>0</v>
      </c>
      <c r="F96" s="90">
        <f>+'II-H-4.1 Monthly'!P296-'II-H-4.1 Functions'!D96-'II-H-4.1 Functions'!E96</f>
        <v>0</v>
      </c>
      <c r="G96" s="84"/>
      <c r="H96" s="84"/>
      <c r="I96" s="84"/>
      <c r="J96" s="84">
        <f t="shared" ref="J96:J97" si="44">SUM(D96:I96)</f>
        <v>0</v>
      </c>
      <c r="K96" s="84"/>
      <c r="L96" s="125"/>
      <c r="M96" s="125"/>
      <c r="N96" s="125"/>
      <c r="O96" s="125"/>
      <c r="P96" s="125"/>
      <c r="Q96" s="125"/>
      <c r="R96" s="84">
        <f t="shared" ref="R96:R97" si="45">SUM(L96:Q96)</f>
        <v>0</v>
      </c>
      <c r="S96" s="84"/>
      <c r="T96" s="84">
        <f t="shared" ref="T96:T97" si="46">R96+J96</f>
        <v>0</v>
      </c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  <c r="BB96" s="68"/>
      <c r="BC96" s="68"/>
      <c r="BD96" s="68"/>
      <c r="BE96" s="68"/>
      <c r="BF96" s="68"/>
      <c r="BG96" s="68"/>
      <c r="BH96" s="68"/>
      <c r="BI96" s="68"/>
      <c r="BJ96" s="68"/>
      <c r="BK96" s="68"/>
      <c r="BL96" s="68"/>
      <c r="BM96" s="68"/>
      <c r="BN96" s="68"/>
      <c r="BO96" s="68"/>
      <c r="BP96" s="68"/>
      <c r="BQ96" s="68"/>
      <c r="BR96" s="68"/>
      <c r="BS96" s="68"/>
      <c r="BT96" s="68"/>
      <c r="BU96" s="68"/>
      <c r="BV96" s="68"/>
      <c r="BW96" s="68"/>
      <c r="BX96" s="68"/>
      <c r="BY96" s="68"/>
      <c r="BZ96" s="68"/>
      <c r="CA96" s="68"/>
      <c r="CB96" s="68"/>
      <c r="CC96" s="68"/>
      <c r="CD96" s="68"/>
      <c r="CE96" s="68"/>
      <c r="CF96" s="68"/>
      <c r="CG96" s="68"/>
      <c r="CH96" s="68"/>
      <c r="CI96" s="68"/>
      <c r="CJ96" s="68"/>
      <c r="CK96" s="68"/>
      <c r="CL96" s="68"/>
      <c r="CM96" s="68"/>
      <c r="CN96" s="68"/>
      <c r="CO96" s="68"/>
      <c r="CP96" s="68"/>
      <c r="CQ96" s="68"/>
      <c r="CR96" s="68"/>
      <c r="CS96" s="68"/>
      <c r="CT96" s="68"/>
      <c r="CU96" s="68"/>
      <c r="CV96" s="68"/>
      <c r="CW96" s="68"/>
      <c r="CX96" s="68"/>
      <c r="CY96" s="68"/>
      <c r="CZ96" s="68"/>
      <c r="DA96" s="68"/>
      <c r="DB96" s="68"/>
      <c r="DC96" s="68"/>
      <c r="DD96" s="68"/>
      <c r="DE96" s="68"/>
      <c r="DF96" s="68"/>
      <c r="DG96" s="68"/>
      <c r="DH96" s="68"/>
      <c r="DI96" s="68"/>
      <c r="DJ96" s="68"/>
      <c r="DK96" s="68"/>
      <c r="DL96" s="68"/>
      <c r="DM96" s="68"/>
      <c r="DN96" s="68"/>
      <c r="DO96" s="68"/>
      <c r="DP96" s="68"/>
      <c r="DQ96" s="68"/>
      <c r="DR96" s="68"/>
      <c r="DS96" s="68"/>
      <c r="DT96" s="68"/>
      <c r="DU96" s="68"/>
      <c r="DV96" s="68"/>
      <c r="DW96" s="68"/>
      <c r="DX96" s="68"/>
      <c r="DY96" s="68"/>
      <c r="DZ96" s="68"/>
      <c r="EA96" s="68"/>
      <c r="EB96" s="68"/>
      <c r="EC96" s="68"/>
      <c r="ED96" s="68"/>
      <c r="EE96" s="68"/>
      <c r="EF96" s="68"/>
      <c r="EG96" s="68"/>
      <c r="EH96" s="68"/>
      <c r="EI96" s="68"/>
      <c r="EJ96" s="68"/>
    </row>
    <row r="97" spans="1:140" s="78" customFormat="1">
      <c r="A97" s="83">
        <v>9</v>
      </c>
      <c r="B97" s="87" t="s">
        <v>149</v>
      </c>
      <c r="C97" s="74" t="s">
        <v>5</v>
      </c>
      <c r="D97" s="72">
        <f>+'II-H-3.1-3'!P59*'II-H-3.1-3'!R25</f>
        <v>0</v>
      </c>
      <c r="E97" s="149">
        <f>+'II-H-3.1-3'!P59*'II-H-3.1-3'!S25</f>
        <v>0</v>
      </c>
      <c r="F97" s="149">
        <f>+'II-H-4.1 Monthly'!P297-'II-H-4.1 Functions'!D97-'II-H-4.1 Functions'!E97</f>
        <v>0</v>
      </c>
      <c r="G97" s="72"/>
      <c r="H97" s="72"/>
      <c r="I97" s="72"/>
      <c r="J97" s="72">
        <f t="shared" si="44"/>
        <v>0</v>
      </c>
      <c r="K97" s="84"/>
      <c r="L97" s="126"/>
      <c r="M97" s="126"/>
      <c r="N97" s="126"/>
      <c r="O97" s="126"/>
      <c r="P97" s="126"/>
      <c r="Q97" s="126"/>
      <c r="R97" s="72">
        <f t="shared" si="45"/>
        <v>0</v>
      </c>
      <c r="S97" s="84"/>
      <c r="T97" s="72">
        <f t="shared" si="46"/>
        <v>0</v>
      </c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68"/>
      <c r="BI97" s="68"/>
      <c r="BJ97" s="68"/>
      <c r="BK97" s="68"/>
      <c r="BL97" s="68"/>
      <c r="BM97" s="68"/>
      <c r="BN97" s="68"/>
      <c r="BO97" s="68"/>
      <c r="BP97" s="68"/>
      <c r="BQ97" s="68"/>
      <c r="BR97" s="68"/>
      <c r="BS97" s="68"/>
      <c r="BT97" s="68"/>
      <c r="BU97" s="68"/>
      <c r="BV97" s="68"/>
      <c r="BW97" s="68"/>
      <c r="BX97" s="68"/>
      <c r="BY97" s="68"/>
      <c r="BZ97" s="68"/>
      <c r="CA97" s="68"/>
      <c r="CB97" s="68"/>
      <c r="CC97" s="68"/>
      <c r="CD97" s="68"/>
      <c r="CE97" s="68"/>
      <c r="CF97" s="68"/>
      <c r="CG97" s="68"/>
      <c r="CH97" s="68"/>
      <c r="CI97" s="68"/>
      <c r="CJ97" s="68"/>
      <c r="CK97" s="68"/>
      <c r="CL97" s="68"/>
      <c r="CM97" s="68"/>
      <c r="CN97" s="68"/>
      <c r="CO97" s="68"/>
      <c r="CP97" s="68"/>
      <c r="CQ97" s="68"/>
      <c r="CR97" s="68"/>
      <c r="CS97" s="68"/>
      <c r="CT97" s="68"/>
      <c r="CU97" s="68"/>
      <c r="CV97" s="68"/>
      <c r="CW97" s="68"/>
      <c r="CX97" s="68"/>
      <c r="CY97" s="68"/>
      <c r="CZ97" s="68"/>
      <c r="DA97" s="68"/>
      <c r="DB97" s="68"/>
      <c r="DC97" s="68"/>
      <c r="DD97" s="68"/>
      <c r="DE97" s="68"/>
      <c r="DF97" s="68"/>
      <c r="DG97" s="68"/>
      <c r="DH97" s="68"/>
      <c r="DI97" s="68"/>
      <c r="DJ97" s="68"/>
      <c r="DK97" s="68"/>
      <c r="DL97" s="68"/>
      <c r="DM97" s="68"/>
      <c r="DN97" s="68"/>
      <c r="DO97" s="68"/>
      <c r="DP97" s="68"/>
      <c r="DQ97" s="68"/>
      <c r="DR97" s="68"/>
      <c r="DS97" s="68"/>
      <c r="DT97" s="68"/>
      <c r="DU97" s="68"/>
      <c r="DV97" s="68"/>
      <c r="DW97" s="68"/>
      <c r="DX97" s="68"/>
      <c r="DY97" s="68"/>
      <c r="DZ97" s="68"/>
      <c r="EA97" s="68"/>
      <c r="EB97" s="68"/>
      <c r="EC97" s="68"/>
      <c r="ED97" s="68"/>
      <c r="EE97" s="68"/>
      <c r="EF97" s="68"/>
      <c r="EG97" s="68"/>
      <c r="EH97" s="68"/>
      <c r="EI97" s="68"/>
      <c r="EJ97" s="68"/>
    </row>
    <row r="98" spans="1:140" s="78" customFormat="1">
      <c r="A98" s="83">
        <v>10</v>
      </c>
      <c r="B98" s="78" t="s">
        <v>19</v>
      </c>
      <c r="C98" s="74"/>
      <c r="D98" s="71">
        <f>SUM(D94:D97)</f>
        <v>-565.07268695447249</v>
      </c>
      <c r="E98" s="71">
        <f t="shared" ref="E98:F98" si="47">SUM(E94:E97)</f>
        <v>-9768.9900000000343</v>
      </c>
      <c r="F98" s="71">
        <f t="shared" si="47"/>
        <v>-320027.33401355741</v>
      </c>
      <c r="G98" s="71">
        <f t="shared" ref="G98" si="48">SUM(G94:G97)</f>
        <v>0</v>
      </c>
      <c r="H98" s="71">
        <f t="shared" ref="H98" si="49">SUM(H94:H97)</f>
        <v>0</v>
      </c>
      <c r="I98" s="71">
        <f t="shared" ref="I98" si="50">SUM(I94:I97)</f>
        <v>0</v>
      </c>
      <c r="J98" s="71">
        <f t="shared" ref="J98" si="51">SUM(J94:J97)</f>
        <v>-330361.39670051192</v>
      </c>
      <c r="K98" s="84"/>
      <c r="L98" s="125">
        <f>SUM(L94:L97)</f>
        <v>0</v>
      </c>
      <c r="M98" s="125">
        <f t="shared" ref="M98:R98" si="52">SUM(M94:M97)</f>
        <v>0</v>
      </c>
      <c r="N98" s="125">
        <f t="shared" si="52"/>
        <v>0</v>
      </c>
      <c r="O98" s="125">
        <f t="shared" si="52"/>
        <v>0</v>
      </c>
      <c r="P98" s="125">
        <f t="shared" si="52"/>
        <v>0</v>
      </c>
      <c r="Q98" s="125">
        <f t="shared" si="52"/>
        <v>0</v>
      </c>
      <c r="R98" s="125">
        <f t="shared" si="52"/>
        <v>0</v>
      </c>
      <c r="S98" s="86"/>
      <c r="T98" s="84">
        <f>SUM(T94:T97)</f>
        <v>-330361.39670051192</v>
      </c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8"/>
      <c r="BC98" s="68"/>
      <c r="BD98" s="68"/>
      <c r="BE98" s="68"/>
      <c r="BF98" s="68"/>
      <c r="BG98" s="68"/>
      <c r="BH98" s="68"/>
      <c r="BI98" s="68"/>
      <c r="BJ98" s="68"/>
      <c r="BK98" s="68"/>
      <c r="BL98" s="68"/>
      <c r="BM98" s="68"/>
      <c r="BN98" s="68"/>
      <c r="BO98" s="68"/>
      <c r="BP98" s="68"/>
      <c r="BQ98" s="68"/>
      <c r="BR98" s="68"/>
      <c r="BS98" s="68"/>
      <c r="BT98" s="68"/>
      <c r="BU98" s="68"/>
      <c r="BV98" s="68"/>
      <c r="BW98" s="68"/>
      <c r="BX98" s="68"/>
      <c r="BY98" s="68"/>
      <c r="BZ98" s="68"/>
      <c r="CA98" s="68"/>
      <c r="CB98" s="68"/>
      <c r="CC98" s="68"/>
      <c r="CD98" s="68"/>
      <c r="CE98" s="68"/>
      <c r="CF98" s="68"/>
      <c r="CG98" s="68"/>
      <c r="CH98" s="68"/>
      <c r="CI98" s="68"/>
      <c r="CJ98" s="68"/>
      <c r="CK98" s="68"/>
      <c r="CL98" s="68"/>
      <c r="CM98" s="68"/>
      <c r="CN98" s="68"/>
      <c r="CO98" s="68"/>
      <c r="CP98" s="68"/>
      <c r="CQ98" s="68"/>
      <c r="CR98" s="68"/>
      <c r="CS98" s="68"/>
      <c r="CT98" s="68"/>
      <c r="CU98" s="68"/>
      <c r="CV98" s="68"/>
      <c r="CW98" s="68"/>
      <c r="CX98" s="68"/>
      <c r="CY98" s="68"/>
      <c r="CZ98" s="68"/>
      <c r="DA98" s="68"/>
      <c r="DB98" s="68"/>
      <c r="DC98" s="68"/>
      <c r="DD98" s="68"/>
      <c r="DE98" s="68"/>
      <c r="DF98" s="68"/>
      <c r="DG98" s="68"/>
      <c r="DH98" s="68"/>
      <c r="DI98" s="68"/>
      <c r="DJ98" s="68"/>
      <c r="DK98" s="68"/>
      <c r="DL98" s="68"/>
      <c r="DM98" s="68"/>
      <c r="DN98" s="68"/>
      <c r="DO98" s="68"/>
      <c r="DP98" s="68"/>
      <c r="DQ98" s="68"/>
      <c r="DR98" s="68"/>
      <c r="DS98" s="68"/>
      <c r="DT98" s="68"/>
      <c r="DU98" s="68"/>
      <c r="DV98" s="68"/>
      <c r="DW98" s="68"/>
      <c r="DX98" s="68"/>
      <c r="DY98" s="68"/>
      <c r="DZ98" s="68"/>
      <c r="EA98" s="68"/>
      <c r="EB98" s="68"/>
      <c r="EC98" s="68"/>
      <c r="ED98" s="68"/>
      <c r="EE98" s="68"/>
      <c r="EF98" s="68"/>
      <c r="EG98" s="68"/>
      <c r="EH98" s="68"/>
      <c r="EI98" s="68"/>
      <c r="EJ98" s="68"/>
    </row>
    <row r="99" spans="1:140" s="78" customFormat="1">
      <c r="A99" s="83"/>
      <c r="C99" s="74"/>
      <c r="D99" s="71"/>
      <c r="E99" s="71"/>
      <c r="F99" s="71"/>
      <c r="G99" s="71"/>
      <c r="H99" s="71"/>
      <c r="I99" s="71"/>
      <c r="J99" s="71"/>
      <c r="K99" s="84"/>
      <c r="L99" s="68"/>
      <c r="M99" s="68"/>
      <c r="N99" s="68"/>
      <c r="O99" s="68"/>
      <c r="P99" s="68"/>
      <c r="Q99" s="68"/>
      <c r="R99" s="68"/>
      <c r="S99" s="68"/>
      <c r="T99" s="84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68"/>
      <c r="BK99" s="68"/>
      <c r="BL99" s="68"/>
      <c r="BM99" s="68"/>
      <c r="BN99" s="68"/>
      <c r="BO99" s="68"/>
      <c r="BP99" s="68"/>
      <c r="BQ99" s="68"/>
      <c r="BR99" s="68"/>
      <c r="BS99" s="68"/>
      <c r="BT99" s="68"/>
      <c r="BU99" s="68"/>
      <c r="BV99" s="68"/>
      <c r="BW99" s="68"/>
      <c r="BX99" s="68"/>
      <c r="BY99" s="68"/>
      <c r="BZ99" s="68"/>
      <c r="CA99" s="68"/>
      <c r="CB99" s="68"/>
      <c r="CC99" s="68"/>
      <c r="CD99" s="68"/>
      <c r="CE99" s="68"/>
      <c r="CF99" s="68"/>
      <c r="CG99" s="68"/>
      <c r="CH99" s="68"/>
      <c r="CI99" s="68"/>
      <c r="CJ99" s="68"/>
      <c r="CK99" s="68"/>
      <c r="CL99" s="68"/>
      <c r="CM99" s="68"/>
      <c r="CN99" s="68"/>
      <c r="CO99" s="68"/>
      <c r="CP99" s="68"/>
      <c r="CQ99" s="68"/>
      <c r="CR99" s="68"/>
      <c r="CS99" s="68"/>
      <c r="CT99" s="68"/>
      <c r="CU99" s="68"/>
      <c r="CV99" s="68"/>
      <c r="CW99" s="68"/>
      <c r="CX99" s="68"/>
      <c r="CY99" s="68"/>
      <c r="CZ99" s="68"/>
      <c r="DA99" s="68"/>
      <c r="DB99" s="68"/>
      <c r="DC99" s="68"/>
      <c r="DD99" s="68"/>
      <c r="DE99" s="68"/>
      <c r="DF99" s="68"/>
      <c r="DG99" s="68"/>
      <c r="DH99" s="68"/>
      <c r="DI99" s="68"/>
      <c r="DJ99" s="68"/>
      <c r="DK99" s="68"/>
      <c r="DL99" s="68"/>
      <c r="DM99" s="68"/>
      <c r="DN99" s="68"/>
      <c r="DO99" s="68"/>
      <c r="DP99" s="68"/>
      <c r="DQ99" s="68"/>
      <c r="DR99" s="68"/>
      <c r="DS99" s="68"/>
      <c r="DT99" s="68"/>
      <c r="DU99" s="68"/>
      <c r="DV99" s="68"/>
      <c r="DW99" s="68"/>
      <c r="DX99" s="68"/>
      <c r="DY99" s="68"/>
      <c r="DZ99" s="68"/>
      <c r="EA99" s="68"/>
      <c r="EB99" s="68"/>
      <c r="EC99" s="68"/>
      <c r="ED99" s="68"/>
      <c r="EE99" s="68"/>
      <c r="EF99" s="68"/>
      <c r="EG99" s="68"/>
      <c r="EH99" s="68"/>
      <c r="EI99" s="68"/>
      <c r="EJ99" s="68"/>
    </row>
    <row r="100" spans="1:140" s="78" customFormat="1">
      <c r="A100" s="83">
        <v>11</v>
      </c>
      <c r="B100" s="96" t="s">
        <v>86</v>
      </c>
      <c r="C100" s="74" t="s">
        <v>6</v>
      </c>
      <c r="D100" s="71">
        <f>+'II-H-3.1-3'!P62*'II-H-3.1-3'!R28</f>
        <v>-104.72000000000014</v>
      </c>
      <c r="E100" s="90">
        <f>+'II-H-3.1-3'!P62*'II-H-3.1-3'!S28</f>
        <v>-10661.000000000013</v>
      </c>
      <c r="F100" s="90">
        <f>+'II-H-4.1 Monthly'!P300-'II-H-4.1 Functions'!D100-'II-H-4.1 Functions'!E100</f>
        <v>-96990.49982426739</v>
      </c>
      <c r="G100" s="71"/>
      <c r="H100" s="71"/>
      <c r="I100" s="71"/>
      <c r="J100" s="71">
        <f>SUM(D100:I100)</f>
        <v>-107756.21982426741</v>
      </c>
      <c r="K100" s="84"/>
      <c r="L100" s="125"/>
      <c r="M100" s="125"/>
      <c r="N100" s="125"/>
      <c r="O100" s="125"/>
      <c r="P100" s="125"/>
      <c r="Q100" s="125"/>
      <c r="R100" s="84">
        <f>SUM(L100:Q100)</f>
        <v>0</v>
      </c>
      <c r="S100" s="84"/>
      <c r="T100" s="84">
        <f>R100+J100</f>
        <v>-107756.21982426741</v>
      </c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  <c r="BB100" s="68"/>
      <c r="BC100" s="68"/>
      <c r="BD100" s="68"/>
      <c r="BE100" s="68"/>
      <c r="BF100" s="68"/>
      <c r="BG100" s="68"/>
      <c r="BH100" s="68"/>
      <c r="BI100" s="68"/>
      <c r="BJ100" s="68"/>
      <c r="BK100" s="68"/>
      <c r="BL100" s="68"/>
      <c r="BM100" s="68"/>
      <c r="BN100" s="68"/>
      <c r="BO100" s="68"/>
      <c r="BP100" s="68"/>
      <c r="BQ100" s="68"/>
      <c r="BR100" s="68"/>
      <c r="BS100" s="68"/>
      <c r="BT100" s="68"/>
      <c r="BU100" s="68"/>
      <c r="BV100" s="68"/>
      <c r="BW100" s="68"/>
      <c r="BX100" s="68"/>
      <c r="BY100" s="68"/>
      <c r="BZ100" s="68"/>
      <c r="CA100" s="68"/>
      <c r="CB100" s="68"/>
      <c r="CC100" s="68"/>
      <c r="CD100" s="68"/>
      <c r="CE100" s="68"/>
      <c r="CF100" s="68"/>
      <c r="CG100" s="68"/>
      <c r="CH100" s="68"/>
      <c r="CI100" s="68"/>
      <c r="CJ100" s="68"/>
      <c r="CK100" s="68"/>
      <c r="CL100" s="68"/>
      <c r="CM100" s="68"/>
      <c r="CN100" s="68"/>
      <c r="CO100" s="68"/>
      <c r="CP100" s="68"/>
      <c r="CQ100" s="68"/>
      <c r="CR100" s="68"/>
      <c r="CS100" s="68"/>
      <c r="CT100" s="68"/>
      <c r="CU100" s="68"/>
      <c r="CV100" s="68"/>
      <c r="CW100" s="68"/>
      <c r="CX100" s="68"/>
      <c r="CY100" s="68"/>
      <c r="CZ100" s="68"/>
      <c r="DA100" s="68"/>
      <c r="DB100" s="68"/>
      <c r="DC100" s="68"/>
      <c r="DD100" s="68"/>
      <c r="DE100" s="68"/>
      <c r="DF100" s="68"/>
      <c r="DG100" s="68"/>
      <c r="DH100" s="68"/>
      <c r="DI100" s="68"/>
      <c r="DJ100" s="68"/>
      <c r="DK100" s="68"/>
      <c r="DL100" s="68"/>
      <c r="DM100" s="68"/>
      <c r="DN100" s="68"/>
      <c r="DO100" s="68"/>
      <c r="DP100" s="68"/>
      <c r="DQ100" s="68"/>
      <c r="DR100" s="68"/>
      <c r="DS100" s="68"/>
      <c r="DT100" s="68"/>
      <c r="DU100" s="68"/>
      <c r="DV100" s="68"/>
      <c r="DW100" s="68"/>
      <c r="DX100" s="68"/>
      <c r="DY100" s="68"/>
      <c r="DZ100" s="68"/>
      <c r="EA100" s="68"/>
      <c r="EB100" s="68"/>
      <c r="EC100" s="68"/>
      <c r="ED100" s="68"/>
      <c r="EE100" s="68"/>
      <c r="EF100" s="68"/>
      <c r="EG100" s="68"/>
      <c r="EH100" s="68"/>
      <c r="EI100" s="68"/>
      <c r="EJ100" s="68"/>
    </row>
    <row r="101" spans="1:140" s="78" customFormat="1">
      <c r="A101" s="83"/>
      <c r="C101" s="85"/>
      <c r="D101" s="132"/>
      <c r="E101" s="132"/>
      <c r="F101" s="132"/>
      <c r="G101" s="132"/>
      <c r="H101" s="132"/>
      <c r="I101" s="132"/>
      <c r="J101" s="94"/>
      <c r="K101" s="77"/>
      <c r="L101" s="68"/>
      <c r="M101" s="68"/>
      <c r="N101" s="68"/>
      <c r="O101" s="68"/>
      <c r="P101" s="68"/>
      <c r="Q101" s="68"/>
      <c r="R101" s="68"/>
      <c r="S101" s="68"/>
      <c r="T101" s="84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  <c r="BB101" s="68"/>
      <c r="BC101" s="68"/>
      <c r="BD101" s="68"/>
      <c r="BE101" s="68"/>
      <c r="BF101" s="68"/>
      <c r="BG101" s="68"/>
      <c r="BH101" s="68"/>
      <c r="BI101" s="68"/>
      <c r="BJ101" s="68"/>
      <c r="BK101" s="68"/>
      <c r="BL101" s="68"/>
      <c r="BM101" s="68"/>
      <c r="BN101" s="68"/>
      <c r="BO101" s="68"/>
      <c r="BP101" s="68"/>
      <c r="BQ101" s="68"/>
      <c r="BR101" s="68"/>
      <c r="BS101" s="68"/>
      <c r="BT101" s="68"/>
      <c r="BU101" s="68"/>
      <c r="BV101" s="68"/>
      <c r="BW101" s="68"/>
      <c r="BX101" s="68"/>
      <c r="BY101" s="68"/>
      <c r="BZ101" s="68"/>
      <c r="CA101" s="68"/>
      <c r="CB101" s="68"/>
      <c r="CC101" s="68"/>
      <c r="CD101" s="68"/>
      <c r="CE101" s="68"/>
      <c r="CF101" s="68"/>
      <c r="CG101" s="68"/>
      <c r="CH101" s="68"/>
      <c r="CI101" s="68"/>
      <c r="CJ101" s="68"/>
      <c r="CK101" s="68"/>
      <c r="CL101" s="68"/>
      <c r="CM101" s="68"/>
      <c r="CN101" s="68"/>
      <c r="CO101" s="68"/>
      <c r="CP101" s="68"/>
      <c r="CQ101" s="68"/>
      <c r="CR101" s="68"/>
      <c r="CS101" s="68"/>
      <c r="CT101" s="68"/>
      <c r="CU101" s="68"/>
      <c r="CV101" s="68"/>
      <c r="CW101" s="68"/>
      <c r="CX101" s="68"/>
      <c r="CY101" s="68"/>
      <c r="CZ101" s="68"/>
      <c r="DA101" s="68"/>
      <c r="DB101" s="68"/>
      <c r="DC101" s="68"/>
      <c r="DD101" s="68"/>
      <c r="DE101" s="68"/>
      <c r="DF101" s="68"/>
      <c r="DG101" s="68"/>
      <c r="DH101" s="68"/>
      <c r="DI101" s="68"/>
      <c r="DJ101" s="68"/>
      <c r="DK101" s="68"/>
      <c r="DL101" s="68"/>
      <c r="DM101" s="68"/>
      <c r="DN101" s="68"/>
      <c r="DO101" s="68"/>
      <c r="DP101" s="68"/>
      <c r="DQ101" s="68"/>
      <c r="DR101" s="68"/>
      <c r="DS101" s="68"/>
      <c r="DT101" s="68"/>
      <c r="DU101" s="68"/>
      <c r="DV101" s="68"/>
      <c r="DW101" s="68"/>
      <c r="DX101" s="68"/>
      <c r="DY101" s="68"/>
      <c r="DZ101" s="68"/>
      <c r="EA101" s="68"/>
      <c r="EB101" s="68"/>
      <c r="EC101" s="68"/>
      <c r="ED101" s="68"/>
      <c r="EE101" s="68"/>
      <c r="EF101" s="68"/>
      <c r="EG101" s="68"/>
      <c r="EH101" s="68"/>
      <c r="EI101" s="68"/>
      <c r="EJ101" s="68"/>
    </row>
    <row r="102" spans="1:140" s="78" customFormat="1">
      <c r="A102" s="83">
        <v>12</v>
      </c>
      <c r="B102" s="68" t="s">
        <v>21</v>
      </c>
      <c r="C102" s="74" t="s">
        <v>4</v>
      </c>
      <c r="D102" s="71">
        <f>+'II-H-3.1-3'!P64*'II-H-3.1-3'!R30</f>
        <v>0</v>
      </c>
      <c r="E102" s="90">
        <f>+'II-H-3.1-3'!P64*'II-H-3.1-3'!S30</f>
        <v>0</v>
      </c>
      <c r="F102" s="90">
        <f>+'II-H-4.1 Monthly'!P302-'II-H-4.1 Functions'!D102-'II-H-4.1 Functions'!E102</f>
        <v>-55208.543785084265</v>
      </c>
      <c r="G102" s="71">
        <f>($G$31/'II-H-3.1-3'!$P$30)*'II-H-3.1-3'!P64</f>
        <v>0</v>
      </c>
      <c r="H102" s="71"/>
      <c r="I102" s="71"/>
      <c r="J102" s="71">
        <f>SUM(D102:I102)</f>
        <v>-55208.543785084265</v>
      </c>
      <c r="K102" s="84"/>
      <c r="L102" s="125"/>
      <c r="M102" s="125"/>
      <c r="N102" s="125"/>
      <c r="O102" s="125"/>
      <c r="P102" s="125"/>
      <c r="Q102" s="125"/>
      <c r="R102" s="84">
        <f>SUM(L102:Q102)</f>
        <v>0</v>
      </c>
      <c r="S102" s="84"/>
      <c r="T102" s="84">
        <f>R102+J102</f>
        <v>-55208.543785084265</v>
      </c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  <c r="BB102" s="68"/>
      <c r="BC102" s="68"/>
      <c r="BD102" s="68"/>
      <c r="BE102" s="68"/>
      <c r="BF102" s="68"/>
      <c r="BG102" s="68"/>
      <c r="BH102" s="68"/>
      <c r="BI102" s="68"/>
      <c r="BJ102" s="68"/>
      <c r="BK102" s="68"/>
      <c r="BL102" s="68"/>
      <c r="BM102" s="68"/>
      <c r="BN102" s="68"/>
      <c r="BO102" s="68"/>
      <c r="BP102" s="68"/>
      <c r="BQ102" s="68"/>
      <c r="BR102" s="68"/>
      <c r="BS102" s="68"/>
      <c r="BT102" s="68"/>
      <c r="BU102" s="68"/>
      <c r="BV102" s="68"/>
      <c r="BW102" s="68"/>
      <c r="BX102" s="68"/>
      <c r="BY102" s="68"/>
      <c r="BZ102" s="68"/>
      <c r="CA102" s="68"/>
      <c r="CB102" s="68"/>
      <c r="CC102" s="68"/>
      <c r="CD102" s="68"/>
      <c r="CE102" s="68"/>
      <c r="CF102" s="68"/>
      <c r="CG102" s="68"/>
      <c r="CH102" s="68"/>
      <c r="CI102" s="68"/>
      <c r="CJ102" s="68"/>
      <c r="CK102" s="68"/>
      <c r="CL102" s="68"/>
      <c r="CM102" s="68"/>
      <c r="CN102" s="68"/>
      <c r="CO102" s="68"/>
      <c r="CP102" s="68"/>
      <c r="CQ102" s="68"/>
      <c r="CR102" s="68"/>
      <c r="CS102" s="68"/>
      <c r="CT102" s="68"/>
      <c r="CU102" s="68"/>
      <c r="CV102" s="68"/>
      <c r="CW102" s="68"/>
      <c r="CX102" s="68"/>
      <c r="CY102" s="68"/>
      <c r="CZ102" s="68"/>
      <c r="DA102" s="68"/>
      <c r="DB102" s="68"/>
      <c r="DC102" s="68"/>
      <c r="DD102" s="68"/>
      <c r="DE102" s="68"/>
      <c r="DF102" s="68"/>
      <c r="DG102" s="68"/>
      <c r="DH102" s="68"/>
      <c r="DI102" s="68"/>
      <c r="DJ102" s="68"/>
      <c r="DK102" s="68"/>
      <c r="DL102" s="68"/>
      <c r="DM102" s="68"/>
      <c r="DN102" s="68"/>
      <c r="DO102" s="68"/>
      <c r="DP102" s="68"/>
      <c r="DQ102" s="68"/>
      <c r="DR102" s="68"/>
      <c r="DS102" s="68"/>
      <c r="DT102" s="68"/>
      <c r="DU102" s="68"/>
      <c r="DV102" s="68"/>
      <c r="DW102" s="68"/>
      <c r="DX102" s="68"/>
      <c r="DY102" s="68"/>
      <c r="DZ102" s="68"/>
      <c r="EA102" s="68"/>
      <c r="EB102" s="68"/>
      <c r="EC102" s="68"/>
      <c r="ED102" s="68"/>
      <c r="EE102" s="68"/>
      <c r="EF102" s="68"/>
      <c r="EG102" s="68"/>
      <c r="EH102" s="68"/>
      <c r="EI102" s="68"/>
      <c r="EJ102" s="68"/>
    </row>
    <row r="103" spans="1:140" s="78" customFormat="1">
      <c r="A103" s="83"/>
      <c r="C103" s="85"/>
      <c r="D103" s="94"/>
      <c r="E103" s="94"/>
      <c r="F103" s="94"/>
      <c r="G103" s="94"/>
      <c r="H103" s="94"/>
      <c r="I103" s="94"/>
      <c r="J103" s="94"/>
      <c r="K103" s="77"/>
      <c r="L103" s="68"/>
      <c r="M103" s="68"/>
      <c r="N103" s="68"/>
      <c r="O103" s="68"/>
      <c r="P103" s="68"/>
      <c r="Q103" s="68"/>
      <c r="R103" s="68"/>
      <c r="S103" s="68"/>
      <c r="T103" s="84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  <c r="BB103" s="68"/>
      <c r="BC103" s="68"/>
      <c r="BD103" s="68"/>
      <c r="BE103" s="68"/>
      <c r="BF103" s="68"/>
      <c r="BG103" s="68"/>
      <c r="BH103" s="68"/>
      <c r="BI103" s="68"/>
      <c r="BJ103" s="68"/>
      <c r="BK103" s="68"/>
      <c r="BL103" s="68"/>
      <c r="BM103" s="68"/>
      <c r="BN103" s="68"/>
      <c r="BO103" s="68"/>
      <c r="BP103" s="68"/>
      <c r="BQ103" s="68"/>
      <c r="BR103" s="68"/>
      <c r="BS103" s="68"/>
      <c r="BT103" s="68"/>
      <c r="BU103" s="68"/>
      <c r="BV103" s="68"/>
      <c r="BW103" s="68"/>
      <c r="BX103" s="68"/>
      <c r="BY103" s="68"/>
      <c r="BZ103" s="68"/>
      <c r="CA103" s="68"/>
      <c r="CB103" s="68"/>
      <c r="CC103" s="68"/>
      <c r="CD103" s="68"/>
      <c r="CE103" s="68"/>
      <c r="CF103" s="68"/>
      <c r="CG103" s="68"/>
      <c r="CH103" s="68"/>
      <c r="CI103" s="68"/>
      <c r="CJ103" s="68"/>
      <c r="CK103" s="68"/>
      <c r="CL103" s="68"/>
      <c r="CM103" s="68"/>
      <c r="CN103" s="68"/>
      <c r="CO103" s="68"/>
      <c r="CP103" s="68"/>
      <c r="CQ103" s="68"/>
      <c r="CR103" s="68"/>
      <c r="CS103" s="68"/>
      <c r="CT103" s="68"/>
      <c r="CU103" s="68"/>
      <c r="CV103" s="68"/>
      <c r="CW103" s="68"/>
      <c r="CX103" s="68"/>
      <c r="CY103" s="68"/>
      <c r="CZ103" s="68"/>
      <c r="DA103" s="68"/>
      <c r="DB103" s="68"/>
      <c r="DC103" s="68"/>
      <c r="DD103" s="68"/>
      <c r="DE103" s="68"/>
      <c r="DF103" s="68"/>
      <c r="DG103" s="68"/>
      <c r="DH103" s="68"/>
      <c r="DI103" s="68"/>
      <c r="DJ103" s="68"/>
      <c r="DK103" s="68"/>
      <c r="DL103" s="68"/>
      <c r="DM103" s="68"/>
      <c r="DN103" s="68"/>
      <c r="DO103" s="68"/>
      <c r="DP103" s="68"/>
      <c r="DQ103" s="68"/>
      <c r="DR103" s="68"/>
      <c r="DS103" s="68"/>
      <c r="DT103" s="68"/>
      <c r="DU103" s="68"/>
      <c r="DV103" s="68"/>
      <c r="DW103" s="68"/>
      <c r="DX103" s="68"/>
      <c r="DY103" s="68"/>
      <c r="DZ103" s="68"/>
      <c r="EA103" s="68"/>
      <c r="EB103" s="68"/>
      <c r="EC103" s="68"/>
      <c r="ED103" s="68"/>
      <c r="EE103" s="68"/>
      <c r="EF103" s="68"/>
      <c r="EG103" s="68"/>
      <c r="EH103" s="68"/>
      <c r="EI103" s="68"/>
      <c r="EJ103" s="68"/>
    </row>
    <row r="104" spans="1:140" s="78" customFormat="1">
      <c r="A104" s="83">
        <v>13</v>
      </c>
      <c r="B104" s="114" t="s">
        <v>22</v>
      </c>
      <c r="C104" s="360"/>
      <c r="D104" s="115">
        <f>D102+D100+D98+D92+D88+D86</f>
        <v>168995.21990165883</v>
      </c>
      <c r="E104" s="115">
        <f>E102+E100+E98+E92+E88+E86</f>
        <v>429250.93926627183</v>
      </c>
      <c r="F104" s="115">
        <f>F102+F100+F98+F92+F88+F86</f>
        <v>2825036.5677067232</v>
      </c>
      <c r="G104" s="115">
        <f>G102+G100+G98+G92+G88+G86</f>
        <v>0</v>
      </c>
      <c r="H104" s="115"/>
      <c r="I104" s="115">
        <f>I102+I100+I98+I92+I88+I86</f>
        <v>0</v>
      </c>
      <c r="J104" s="115">
        <f>SUM(D104:I104)</f>
        <v>3423282.7268746542</v>
      </c>
      <c r="K104" s="76"/>
      <c r="L104" s="115">
        <f t="shared" ref="L104:T104" si="53">L102+L100+L98+L92+L88+L86</f>
        <v>0</v>
      </c>
      <c r="M104" s="115">
        <f t="shared" si="53"/>
        <v>0</v>
      </c>
      <c r="N104" s="115"/>
      <c r="O104" s="115">
        <f t="shared" si="53"/>
        <v>0</v>
      </c>
      <c r="P104" s="115">
        <f t="shared" si="53"/>
        <v>0</v>
      </c>
      <c r="Q104" s="115">
        <f t="shared" si="53"/>
        <v>0</v>
      </c>
      <c r="R104" s="115">
        <f t="shared" si="53"/>
        <v>0</v>
      </c>
      <c r="S104" s="86"/>
      <c r="T104" s="115">
        <f t="shared" si="53"/>
        <v>3423282.7268746532</v>
      </c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  <c r="BC104" s="68"/>
      <c r="BD104" s="68"/>
      <c r="BE104" s="68"/>
      <c r="BF104" s="68"/>
      <c r="BG104" s="68"/>
      <c r="BH104" s="68"/>
      <c r="BI104" s="68"/>
      <c r="BJ104" s="68"/>
      <c r="BK104" s="68"/>
      <c r="BL104" s="68"/>
      <c r="BM104" s="68"/>
      <c r="BN104" s="68"/>
      <c r="BO104" s="68"/>
      <c r="BP104" s="68"/>
      <c r="BQ104" s="68"/>
      <c r="BR104" s="68"/>
      <c r="BS104" s="68"/>
      <c r="BT104" s="68"/>
      <c r="BU104" s="68"/>
      <c r="BV104" s="68"/>
      <c r="BW104" s="68"/>
      <c r="BX104" s="68"/>
      <c r="BY104" s="68"/>
      <c r="BZ104" s="68"/>
      <c r="CA104" s="68"/>
      <c r="CB104" s="68"/>
      <c r="CC104" s="68"/>
      <c r="CD104" s="68"/>
      <c r="CE104" s="68"/>
      <c r="CF104" s="68"/>
      <c r="CG104" s="68"/>
      <c r="CH104" s="68"/>
      <c r="CI104" s="68"/>
      <c r="CJ104" s="68"/>
      <c r="CK104" s="68"/>
      <c r="CL104" s="68"/>
      <c r="CM104" s="68"/>
      <c r="CN104" s="68"/>
      <c r="CO104" s="68"/>
      <c r="CP104" s="68"/>
      <c r="CQ104" s="68"/>
      <c r="CR104" s="68"/>
      <c r="CS104" s="68"/>
      <c r="CT104" s="68"/>
      <c r="CU104" s="68"/>
      <c r="CV104" s="68"/>
      <c r="CW104" s="68"/>
      <c r="CX104" s="68"/>
      <c r="CY104" s="68"/>
      <c r="CZ104" s="68"/>
      <c r="DA104" s="68"/>
      <c r="DB104" s="68"/>
      <c r="DC104" s="68"/>
      <c r="DD104" s="68"/>
      <c r="DE104" s="68"/>
      <c r="DF104" s="68"/>
      <c r="DG104" s="68"/>
      <c r="DH104" s="68"/>
      <c r="DI104" s="68"/>
      <c r="DJ104" s="68"/>
      <c r="DK104" s="68"/>
      <c r="DL104" s="68"/>
      <c r="DM104" s="68"/>
      <c r="DN104" s="68"/>
      <c r="DO104" s="68"/>
      <c r="DP104" s="68"/>
      <c r="DQ104" s="68"/>
      <c r="DR104" s="68"/>
      <c r="DS104" s="68"/>
      <c r="DT104" s="68"/>
      <c r="DU104" s="68"/>
      <c r="DV104" s="68"/>
      <c r="DW104" s="68"/>
      <c r="DX104" s="68"/>
      <c r="DY104" s="68"/>
      <c r="DZ104" s="68"/>
      <c r="EA104" s="68"/>
      <c r="EB104" s="68"/>
      <c r="EC104" s="68"/>
      <c r="ED104" s="68"/>
      <c r="EE104" s="68"/>
      <c r="EF104" s="68"/>
      <c r="EG104" s="68"/>
      <c r="EH104" s="68"/>
      <c r="EI104" s="68"/>
      <c r="EJ104" s="68"/>
    </row>
    <row r="105" spans="1:140" s="78" customFormat="1">
      <c r="A105" s="83"/>
      <c r="B105" s="360"/>
      <c r="C105" s="360"/>
      <c r="D105" s="100"/>
      <c r="E105" s="100"/>
      <c r="F105" s="100"/>
      <c r="G105" s="100"/>
      <c r="H105" s="100"/>
      <c r="I105" s="100"/>
      <c r="J105" s="100"/>
      <c r="K105" s="76"/>
      <c r="L105" s="68"/>
      <c r="M105" s="68"/>
      <c r="N105" s="68"/>
      <c r="O105" s="68"/>
      <c r="P105" s="68"/>
      <c r="Q105" s="68"/>
      <c r="R105" s="86"/>
      <c r="S105" s="86"/>
      <c r="T105" s="84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  <c r="BB105" s="68"/>
      <c r="BC105" s="68"/>
      <c r="BD105" s="68"/>
      <c r="BE105" s="68"/>
      <c r="BF105" s="68"/>
      <c r="BG105" s="68"/>
      <c r="BH105" s="68"/>
      <c r="BI105" s="68"/>
      <c r="BJ105" s="68"/>
      <c r="BK105" s="68"/>
      <c r="BL105" s="68"/>
      <c r="BM105" s="68"/>
      <c r="BN105" s="68"/>
      <c r="BO105" s="68"/>
      <c r="BP105" s="68"/>
      <c r="BQ105" s="68"/>
      <c r="BR105" s="68"/>
      <c r="BS105" s="68"/>
      <c r="BT105" s="68"/>
      <c r="BU105" s="68"/>
      <c r="BV105" s="68"/>
      <c r="BW105" s="68"/>
      <c r="BX105" s="68"/>
      <c r="BY105" s="68"/>
      <c r="BZ105" s="68"/>
      <c r="CA105" s="68"/>
      <c r="CB105" s="68"/>
      <c r="CC105" s="68"/>
      <c r="CD105" s="68"/>
      <c r="CE105" s="68"/>
      <c r="CF105" s="68"/>
      <c r="CG105" s="68"/>
      <c r="CH105" s="68"/>
      <c r="CI105" s="68"/>
      <c r="CJ105" s="68"/>
      <c r="CK105" s="68"/>
      <c r="CL105" s="68"/>
      <c r="CM105" s="68"/>
      <c r="CN105" s="68"/>
      <c r="CO105" s="68"/>
      <c r="CP105" s="68"/>
      <c r="CQ105" s="68"/>
      <c r="CR105" s="68"/>
      <c r="CS105" s="68"/>
      <c r="CT105" s="68"/>
      <c r="CU105" s="68"/>
      <c r="CV105" s="68"/>
      <c r="CW105" s="68"/>
      <c r="CX105" s="68"/>
      <c r="CY105" s="68"/>
      <c r="CZ105" s="68"/>
      <c r="DA105" s="68"/>
      <c r="DB105" s="68"/>
      <c r="DC105" s="68"/>
      <c r="DD105" s="68"/>
      <c r="DE105" s="68"/>
      <c r="DF105" s="68"/>
      <c r="DG105" s="68"/>
      <c r="DH105" s="68"/>
      <c r="DI105" s="68"/>
      <c r="DJ105" s="68"/>
      <c r="DK105" s="68"/>
      <c r="DL105" s="68"/>
      <c r="DM105" s="68"/>
      <c r="DN105" s="68"/>
      <c r="DO105" s="68"/>
      <c r="DP105" s="68"/>
      <c r="DQ105" s="68"/>
      <c r="DR105" s="68"/>
      <c r="DS105" s="68"/>
      <c r="DT105" s="68"/>
      <c r="DU105" s="68"/>
      <c r="DV105" s="68"/>
      <c r="DW105" s="68"/>
      <c r="DX105" s="68"/>
      <c r="DY105" s="68"/>
      <c r="DZ105" s="68"/>
      <c r="EA105" s="68"/>
      <c r="EB105" s="68"/>
      <c r="EC105" s="68"/>
      <c r="ED105" s="68"/>
      <c r="EE105" s="68"/>
      <c r="EF105" s="68"/>
      <c r="EG105" s="68"/>
      <c r="EH105" s="68"/>
      <c r="EI105" s="68"/>
      <c r="EJ105" s="68"/>
    </row>
    <row r="106" spans="1:140" s="78" customFormat="1">
      <c r="A106" s="83">
        <v>14</v>
      </c>
      <c r="B106" s="89" t="s">
        <v>69</v>
      </c>
      <c r="C106" s="74" t="s">
        <v>5</v>
      </c>
      <c r="D106" s="71"/>
      <c r="E106" s="71"/>
      <c r="F106" s="71"/>
      <c r="G106" s="71"/>
      <c r="H106" s="71"/>
      <c r="I106" s="71"/>
      <c r="J106" s="71">
        <f>SUM(D106:I106)</f>
        <v>0</v>
      </c>
      <c r="K106" s="84"/>
      <c r="L106" s="125"/>
      <c r="M106" s="125"/>
      <c r="N106" s="125"/>
      <c r="O106" s="125"/>
      <c r="P106" s="125"/>
      <c r="Q106" s="125"/>
      <c r="R106" s="84">
        <f>SUM(L106:Q106)</f>
        <v>0</v>
      </c>
      <c r="S106" s="84"/>
      <c r="T106" s="84">
        <f>R106+J106</f>
        <v>0</v>
      </c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68"/>
      <c r="BK106" s="68"/>
      <c r="BL106" s="68"/>
      <c r="BM106" s="68"/>
      <c r="BN106" s="68"/>
      <c r="BO106" s="68"/>
      <c r="BP106" s="68"/>
      <c r="BQ106" s="68"/>
      <c r="BR106" s="68"/>
      <c r="BS106" s="68"/>
      <c r="BT106" s="68"/>
      <c r="BU106" s="68"/>
      <c r="BV106" s="68"/>
      <c r="BW106" s="68"/>
      <c r="BX106" s="68"/>
      <c r="BY106" s="68"/>
      <c r="BZ106" s="68"/>
      <c r="CA106" s="68"/>
      <c r="CB106" s="68"/>
      <c r="CC106" s="68"/>
      <c r="CD106" s="68"/>
      <c r="CE106" s="68"/>
      <c r="CF106" s="68"/>
      <c r="CG106" s="68"/>
      <c r="CH106" s="68"/>
      <c r="CI106" s="68"/>
      <c r="CJ106" s="68"/>
      <c r="CK106" s="68"/>
      <c r="CL106" s="68"/>
      <c r="CM106" s="68"/>
      <c r="CN106" s="68"/>
      <c r="CO106" s="68"/>
      <c r="CP106" s="68"/>
      <c r="CQ106" s="68"/>
      <c r="CR106" s="68"/>
      <c r="CS106" s="68"/>
      <c r="CT106" s="68"/>
      <c r="CU106" s="68"/>
      <c r="CV106" s="68"/>
      <c r="CW106" s="68"/>
      <c r="CX106" s="68"/>
      <c r="CY106" s="68"/>
      <c r="CZ106" s="68"/>
      <c r="DA106" s="68"/>
      <c r="DB106" s="68"/>
      <c r="DC106" s="68"/>
      <c r="DD106" s="68"/>
      <c r="DE106" s="68"/>
      <c r="DF106" s="68"/>
      <c r="DG106" s="68"/>
      <c r="DH106" s="68"/>
      <c r="DI106" s="68"/>
      <c r="DJ106" s="68"/>
      <c r="DK106" s="68"/>
      <c r="DL106" s="68"/>
      <c r="DM106" s="68"/>
      <c r="DN106" s="68"/>
      <c r="DO106" s="68"/>
      <c r="DP106" s="68"/>
      <c r="DQ106" s="68"/>
      <c r="DR106" s="68"/>
      <c r="DS106" s="68"/>
      <c r="DT106" s="68"/>
      <c r="DU106" s="68"/>
      <c r="DV106" s="68"/>
      <c r="DW106" s="68"/>
      <c r="DX106" s="68"/>
      <c r="DY106" s="68"/>
      <c r="DZ106" s="68"/>
      <c r="EA106" s="68"/>
      <c r="EB106" s="68"/>
      <c r="EC106" s="68"/>
      <c r="ED106" s="68"/>
      <c r="EE106" s="68"/>
      <c r="EF106" s="68"/>
      <c r="EG106" s="68"/>
      <c r="EH106" s="68"/>
      <c r="EI106" s="68"/>
      <c r="EJ106" s="68"/>
    </row>
    <row r="107" spans="1:140" s="78" customFormat="1">
      <c r="A107" s="83">
        <v>15</v>
      </c>
      <c r="B107" s="89" t="s">
        <v>70</v>
      </c>
      <c r="C107" s="74" t="s">
        <v>6</v>
      </c>
      <c r="D107" s="72"/>
      <c r="E107" s="72"/>
      <c r="F107" s="72"/>
      <c r="G107" s="72"/>
      <c r="H107" s="72"/>
      <c r="I107" s="72"/>
      <c r="J107" s="72">
        <f>SUM(D107:I107)</f>
        <v>0</v>
      </c>
      <c r="K107" s="84"/>
      <c r="L107" s="72"/>
      <c r="M107" s="72"/>
      <c r="N107" s="72"/>
      <c r="O107" s="72"/>
      <c r="P107" s="72"/>
      <c r="Q107" s="72"/>
      <c r="R107" s="151">
        <f>SUM(L107:Q107)</f>
        <v>0</v>
      </c>
      <c r="S107" s="68"/>
      <c r="T107" s="72">
        <f>R107+J107</f>
        <v>0</v>
      </c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8"/>
      <c r="BA107" s="68"/>
      <c r="BB107" s="68"/>
      <c r="BC107" s="68"/>
      <c r="BD107" s="68"/>
      <c r="BE107" s="68"/>
      <c r="BF107" s="68"/>
      <c r="BG107" s="68"/>
      <c r="BH107" s="68"/>
      <c r="BI107" s="68"/>
      <c r="BJ107" s="68"/>
      <c r="BK107" s="68"/>
      <c r="BL107" s="68"/>
      <c r="BM107" s="68"/>
      <c r="BN107" s="68"/>
      <c r="BO107" s="68"/>
      <c r="BP107" s="68"/>
      <c r="BQ107" s="68"/>
      <c r="BR107" s="68"/>
      <c r="BS107" s="68"/>
      <c r="BT107" s="68"/>
      <c r="BU107" s="68"/>
      <c r="BV107" s="68"/>
      <c r="BW107" s="68"/>
      <c r="BX107" s="68"/>
      <c r="BY107" s="68"/>
      <c r="BZ107" s="68"/>
      <c r="CA107" s="68"/>
      <c r="CB107" s="68"/>
      <c r="CC107" s="68"/>
      <c r="CD107" s="68"/>
      <c r="CE107" s="68"/>
      <c r="CF107" s="68"/>
      <c r="CG107" s="68"/>
      <c r="CH107" s="68"/>
      <c r="CI107" s="68"/>
      <c r="CJ107" s="68"/>
      <c r="CK107" s="68"/>
      <c r="CL107" s="68"/>
      <c r="CM107" s="68"/>
      <c r="CN107" s="68"/>
      <c r="CO107" s="68"/>
      <c r="CP107" s="68"/>
      <c r="CQ107" s="68"/>
      <c r="CR107" s="68"/>
      <c r="CS107" s="68"/>
      <c r="CT107" s="68"/>
      <c r="CU107" s="68"/>
      <c r="CV107" s="68"/>
      <c r="CW107" s="68"/>
      <c r="CX107" s="68"/>
      <c r="CY107" s="68"/>
      <c r="CZ107" s="68"/>
      <c r="DA107" s="68"/>
      <c r="DB107" s="68"/>
      <c r="DC107" s="68"/>
      <c r="DD107" s="68"/>
      <c r="DE107" s="68"/>
      <c r="DF107" s="68"/>
      <c r="DG107" s="68"/>
      <c r="DH107" s="68"/>
      <c r="DI107" s="68"/>
      <c r="DJ107" s="68"/>
      <c r="DK107" s="68"/>
      <c r="DL107" s="68"/>
      <c r="DM107" s="68"/>
      <c r="DN107" s="68"/>
      <c r="DO107" s="68"/>
      <c r="DP107" s="68"/>
      <c r="DQ107" s="68"/>
      <c r="DR107" s="68"/>
      <c r="DS107" s="68"/>
      <c r="DT107" s="68"/>
      <c r="DU107" s="68"/>
      <c r="DV107" s="68"/>
      <c r="DW107" s="68"/>
      <c r="DX107" s="68"/>
      <c r="DY107" s="68"/>
      <c r="DZ107" s="68"/>
      <c r="EA107" s="68"/>
      <c r="EB107" s="68"/>
      <c r="EC107" s="68"/>
      <c r="ED107" s="68"/>
      <c r="EE107" s="68"/>
      <c r="EF107" s="68"/>
      <c r="EG107" s="68"/>
      <c r="EH107" s="68"/>
      <c r="EI107" s="68"/>
      <c r="EJ107" s="68"/>
    </row>
    <row r="108" spans="1:140" s="78" customFormat="1">
      <c r="A108" s="83">
        <v>16</v>
      </c>
      <c r="B108" s="114" t="s">
        <v>23</v>
      </c>
      <c r="C108" s="358"/>
      <c r="D108" s="100">
        <f>SUM(D106:D107)</f>
        <v>0</v>
      </c>
      <c r="E108" s="100">
        <f>SUM(E106:E107)</f>
        <v>0</v>
      </c>
      <c r="F108" s="100">
        <f>SUM(F106:F107)</f>
        <v>0</v>
      </c>
      <c r="G108" s="100">
        <f>SUM(G106:G107)</f>
        <v>0</v>
      </c>
      <c r="H108" s="100"/>
      <c r="I108" s="100">
        <f>SUM(I106:I107)</f>
        <v>0</v>
      </c>
      <c r="J108" s="100">
        <f>SUM(D108:I108)</f>
        <v>0</v>
      </c>
      <c r="K108" s="76"/>
      <c r="L108" s="125">
        <f t="shared" ref="L108:P108" si="54">SUM(L106:L107)</f>
        <v>0</v>
      </c>
      <c r="M108" s="125">
        <f t="shared" si="54"/>
        <v>0</v>
      </c>
      <c r="N108" s="125"/>
      <c r="O108" s="125">
        <f t="shared" si="54"/>
        <v>0</v>
      </c>
      <c r="P108" s="125">
        <f t="shared" si="54"/>
        <v>0</v>
      </c>
      <c r="Q108" s="125"/>
      <c r="R108" s="86">
        <f>SUM(L108:Q108)</f>
        <v>0</v>
      </c>
      <c r="S108" s="86"/>
      <c r="T108" s="84">
        <f>SUM(T106:T107)</f>
        <v>0</v>
      </c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/>
      <c r="AP108" s="68"/>
      <c r="AQ108" s="68"/>
      <c r="AR108" s="68"/>
      <c r="AS108" s="68"/>
      <c r="AT108" s="68"/>
      <c r="AU108" s="68"/>
      <c r="AV108" s="68"/>
      <c r="AW108" s="68"/>
      <c r="AX108" s="68"/>
      <c r="AY108" s="68"/>
      <c r="AZ108" s="68"/>
      <c r="BA108" s="68"/>
      <c r="BB108" s="68"/>
      <c r="BC108" s="68"/>
      <c r="BD108" s="68"/>
      <c r="BE108" s="68"/>
      <c r="BF108" s="68"/>
      <c r="BG108" s="68"/>
      <c r="BH108" s="68"/>
      <c r="BI108" s="68"/>
      <c r="BJ108" s="68"/>
      <c r="BK108" s="68"/>
      <c r="BL108" s="68"/>
      <c r="BM108" s="68"/>
      <c r="BN108" s="68"/>
      <c r="BO108" s="68"/>
      <c r="BP108" s="68"/>
      <c r="BQ108" s="68"/>
      <c r="BR108" s="68"/>
      <c r="BS108" s="68"/>
      <c r="BT108" s="68"/>
      <c r="BU108" s="68"/>
      <c r="BV108" s="68"/>
      <c r="BW108" s="68"/>
      <c r="BX108" s="68"/>
      <c r="BY108" s="68"/>
      <c r="BZ108" s="68"/>
      <c r="CA108" s="68"/>
      <c r="CB108" s="68"/>
      <c r="CC108" s="68"/>
      <c r="CD108" s="68"/>
      <c r="CE108" s="68"/>
      <c r="CF108" s="68"/>
      <c r="CG108" s="68"/>
      <c r="CH108" s="68"/>
      <c r="CI108" s="68"/>
      <c r="CJ108" s="68"/>
      <c r="CK108" s="68"/>
      <c r="CL108" s="68"/>
      <c r="CM108" s="68"/>
      <c r="CN108" s="68"/>
      <c r="CO108" s="68"/>
      <c r="CP108" s="68"/>
      <c r="CQ108" s="68"/>
      <c r="CR108" s="68"/>
      <c r="CS108" s="68"/>
      <c r="CT108" s="68"/>
      <c r="CU108" s="68"/>
      <c r="CV108" s="68"/>
      <c r="CW108" s="68"/>
      <c r="CX108" s="68"/>
      <c r="CY108" s="68"/>
      <c r="CZ108" s="68"/>
      <c r="DA108" s="68"/>
      <c r="DB108" s="68"/>
      <c r="DC108" s="68"/>
      <c r="DD108" s="68"/>
      <c r="DE108" s="68"/>
      <c r="DF108" s="68"/>
      <c r="DG108" s="68"/>
      <c r="DH108" s="68"/>
      <c r="DI108" s="68"/>
      <c r="DJ108" s="68"/>
      <c r="DK108" s="68"/>
      <c r="DL108" s="68"/>
      <c r="DM108" s="68"/>
      <c r="DN108" s="68"/>
      <c r="DO108" s="68"/>
      <c r="DP108" s="68"/>
      <c r="DQ108" s="68"/>
      <c r="DR108" s="68"/>
      <c r="DS108" s="68"/>
      <c r="DT108" s="68"/>
      <c r="DU108" s="68"/>
      <c r="DV108" s="68"/>
      <c r="DW108" s="68"/>
      <c r="DX108" s="68"/>
      <c r="DY108" s="68"/>
      <c r="DZ108" s="68"/>
      <c r="EA108" s="68"/>
      <c r="EB108" s="68"/>
      <c r="EC108" s="68"/>
      <c r="ED108" s="68"/>
      <c r="EE108" s="68"/>
      <c r="EF108" s="68"/>
      <c r="EG108" s="68"/>
      <c r="EH108" s="68"/>
      <c r="EI108" s="68"/>
      <c r="EJ108" s="68"/>
    </row>
    <row r="109" spans="1:140" s="78" customFormat="1">
      <c r="A109" s="83"/>
      <c r="C109" s="116"/>
      <c r="D109" s="94"/>
      <c r="E109" s="94"/>
      <c r="F109" s="94"/>
      <c r="G109" s="94"/>
      <c r="H109" s="94"/>
      <c r="I109" s="94"/>
      <c r="J109" s="94"/>
      <c r="K109" s="77"/>
      <c r="L109" s="68"/>
      <c r="M109" s="68"/>
      <c r="N109" s="68"/>
      <c r="O109" s="68"/>
      <c r="P109" s="68"/>
      <c r="Q109" s="68"/>
      <c r="R109" s="68"/>
      <c r="S109" s="68"/>
      <c r="T109" s="84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8"/>
      <c r="BA109" s="68"/>
      <c r="BB109" s="68"/>
      <c r="BC109" s="68"/>
      <c r="BD109" s="68"/>
      <c r="BE109" s="68"/>
      <c r="BF109" s="68"/>
      <c r="BG109" s="68"/>
      <c r="BH109" s="68"/>
      <c r="BI109" s="68"/>
      <c r="BJ109" s="68"/>
      <c r="BK109" s="68"/>
      <c r="BL109" s="68"/>
      <c r="BM109" s="68"/>
      <c r="BN109" s="68"/>
      <c r="BO109" s="68"/>
      <c r="BP109" s="68"/>
      <c r="BQ109" s="68"/>
      <c r="BR109" s="68"/>
      <c r="BS109" s="68"/>
      <c r="BT109" s="68"/>
      <c r="BU109" s="68"/>
      <c r="BV109" s="68"/>
      <c r="BW109" s="68"/>
      <c r="BX109" s="68"/>
      <c r="BY109" s="68"/>
      <c r="BZ109" s="68"/>
      <c r="CA109" s="68"/>
      <c r="CB109" s="68"/>
      <c r="CC109" s="68"/>
      <c r="CD109" s="68"/>
      <c r="CE109" s="68"/>
      <c r="CF109" s="68"/>
      <c r="CG109" s="68"/>
      <c r="CH109" s="68"/>
      <c r="CI109" s="68"/>
      <c r="CJ109" s="68"/>
      <c r="CK109" s="68"/>
      <c r="CL109" s="68"/>
      <c r="CM109" s="68"/>
      <c r="CN109" s="68"/>
      <c r="CO109" s="68"/>
      <c r="CP109" s="68"/>
      <c r="CQ109" s="68"/>
      <c r="CR109" s="68"/>
      <c r="CS109" s="68"/>
      <c r="CT109" s="68"/>
      <c r="CU109" s="68"/>
      <c r="CV109" s="68"/>
      <c r="CW109" s="68"/>
      <c r="CX109" s="68"/>
      <c r="CY109" s="68"/>
      <c r="CZ109" s="68"/>
      <c r="DA109" s="68"/>
      <c r="DB109" s="68"/>
      <c r="DC109" s="68"/>
      <c r="DD109" s="68"/>
      <c r="DE109" s="68"/>
      <c r="DF109" s="68"/>
      <c r="DG109" s="68"/>
      <c r="DH109" s="68"/>
      <c r="DI109" s="68"/>
      <c r="DJ109" s="68"/>
      <c r="DK109" s="68"/>
      <c r="DL109" s="68"/>
      <c r="DM109" s="68"/>
      <c r="DN109" s="68"/>
      <c r="DO109" s="68"/>
      <c r="DP109" s="68"/>
      <c r="DQ109" s="68"/>
      <c r="DR109" s="68"/>
      <c r="DS109" s="68"/>
      <c r="DT109" s="68"/>
      <c r="DU109" s="68"/>
      <c r="DV109" s="68"/>
      <c r="DW109" s="68"/>
      <c r="DX109" s="68"/>
      <c r="DY109" s="68"/>
      <c r="DZ109" s="68"/>
      <c r="EA109" s="68"/>
      <c r="EB109" s="68"/>
      <c r="EC109" s="68"/>
      <c r="ED109" s="68"/>
      <c r="EE109" s="68"/>
      <c r="EF109" s="68"/>
      <c r="EG109" s="68"/>
      <c r="EH109" s="68"/>
      <c r="EI109" s="68"/>
      <c r="EJ109" s="68"/>
    </row>
    <row r="110" spans="1:140" s="78" customFormat="1" ht="12" thickBot="1">
      <c r="A110" s="83">
        <v>17</v>
      </c>
      <c r="B110" s="147" t="s">
        <v>92</v>
      </c>
      <c r="C110" s="358"/>
      <c r="D110" s="117">
        <f>+D108+D104</f>
        <v>168995.21990165883</v>
      </c>
      <c r="E110" s="117">
        <f>+E108+E104</f>
        <v>429250.93926627183</v>
      </c>
      <c r="F110" s="117">
        <f>+F108+F104</f>
        <v>2825036.5677067232</v>
      </c>
      <c r="G110" s="117">
        <f>+G108+G104</f>
        <v>0</v>
      </c>
      <c r="H110" s="117"/>
      <c r="I110" s="117">
        <f>+I108+I104</f>
        <v>0</v>
      </c>
      <c r="J110" s="117">
        <f>SUM(D110:I110)</f>
        <v>3423282.7268746542</v>
      </c>
      <c r="K110" s="113"/>
      <c r="L110" s="117">
        <f t="shared" ref="L110:R110" si="55">+L108+L104</f>
        <v>0</v>
      </c>
      <c r="M110" s="117">
        <f t="shared" si="55"/>
        <v>0</v>
      </c>
      <c r="N110" s="117"/>
      <c r="O110" s="117">
        <f t="shared" si="55"/>
        <v>0</v>
      </c>
      <c r="P110" s="117">
        <f t="shared" si="55"/>
        <v>0</v>
      </c>
      <c r="Q110" s="117">
        <f t="shared" si="55"/>
        <v>0</v>
      </c>
      <c r="R110" s="117">
        <f t="shared" si="55"/>
        <v>0</v>
      </c>
      <c r="S110" s="124"/>
      <c r="T110" s="130">
        <f>R110+J110</f>
        <v>3423282.7268746542</v>
      </c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  <c r="BB110" s="68"/>
      <c r="BC110" s="68"/>
      <c r="BD110" s="68"/>
      <c r="BE110" s="68"/>
      <c r="BF110" s="68"/>
      <c r="BG110" s="68"/>
      <c r="BH110" s="68"/>
      <c r="BI110" s="68"/>
      <c r="BJ110" s="68"/>
      <c r="BK110" s="68"/>
      <c r="BL110" s="68"/>
      <c r="BM110" s="68"/>
      <c r="BN110" s="68"/>
      <c r="BO110" s="68"/>
      <c r="BP110" s="68"/>
      <c r="BQ110" s="68"/>
      <c r="BR110" s="68"/>
      <c r="BS110" s="68"/>
      <c r="BT110" s="68"/>
      <c r="BU110" s="68"/>
      <c r="BV110" s="68"/>
      <c r="BW110" s="68"/>
      <c r="BX110" s="68"/>
      <c r="BY110" s="68"/>
      <c r="BZ110" s="68"/>
      <c r="CA110" s="68"/>
      <c r="CB110" s="68"/>
      <c r="CC110" s="68"/>
      <c r="CD110" s="68"/>
      <c r="CE110" s="68"/>
      <c r="CF110" s="68"/>
      <c r="CG110" s="68"/>
      <c r="CH110" s="68"/>
      <c r="CI110" s="68"/>
      <c r="CJ110" s="68"/>
      <c r="CK110" s="68"/>
      <c r="CL110" s="68"/>
      <c r="CM110" s="68"/>
      <c r="CN110" s="68"/>
      <c r="CO110" s="68"/>
      <c r="CP110" s="68"/>
      <c r="CQ110" s="68"/>
      <c r="CR110" s="68"/>
      <c r="CS110" s="68"/>
      <c r="CT110" s="68"/>
      <c r="CU110" s="68"/>
      <c r="CV110" s="68"/>
      <c r="CW110" s="68"/>
      <c r="CX110" s="68"/>
      <c r="CY110" s="68"/>
      <c r="CZ110" s="68"/>
      <c r="DA110" s="68"/>
      <c r="DB110" s="68"/>
      <c r="DC110" s="68"/>
      <c r="DD110" s="68"/>
      <c r="DE110" s="68"/>
      <c r="DF110" s="68"/>
      <c r="DG110" s="68"/>
      <c r="DH110" s="68"/>
      <c r="DI110" s="68"/>
      <c r="DJ110" s="68"/>
      <c r="DK110" s="68"/>
      <c r="DL110" s="68"/>
      <c r="DM110" s="68"/>
      <c r="DN110" s="68"/>
      <c r="DO110" s="68"/>
      <c r="DP110" s="68"/>
      <c r="DQ110" s="68"/>
      <c r="DR110" s="68"/>
      <c r="DS110" s="68"/>
      <c r="DT110" s="68"/>
      <c r="DU110" s="68"/>
      <c r="DV110" s="68"/>
      <c r="DW110" s="68"/>
      <c r="DX110" s="68"/>
      <c r="DY110" s="68"/>
      <c r="DZ110" s="68"/>
      <c r="EA110" s="68"/>
      <c r="EB110" s="68"/>
      <c r="EC110" s="68"/>
      <c r="ED110" s="68"/>
      <c r="EE110" s="68"/>
      <c r="EF110" s="68"/>
      <c r="EG110" s="68"/>
      <c r="EH110" s="68"/>
      <c r="EI110" s="68"/>
      <c r="EJ110" s="68"/>
    </row>
    <row r="111" spans="1:140" s="78" customFormat="1" ht="12" thickTop="1">
      <c r="A111" s="83"/>
      <c r="B111" s="92"/>
      <c r="C111" s="358"/>
      <c r="D111" s="76"/>
      <c r="E111" s="76"/>
      <c r="F111" s="76"/>
      <c r="G111" s="76"/>
      <c r="H111" s="76"/>
      <c r="I111" s="76"/>
      <c r="J111" s="76"/>
      <c r="K111" s="76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8"/>
      <c r="BB111" s="68"/>
      <c r="BC111" s="68"/>
      <c r="BD111" s="68"/>
      <c r="BE111" s="68"/>
      <c r="BF111" s="68"/>
      <c r="BG111" s="68"/>
      <c r="BH111" s="68"/>
      <c r="BI111" s="68"/>
      <c r="BJ111" s="68"/>
      <c r="BK111" s="68"/>
      <c r="BL111" s="68"/>
      <c r="BM111" s="68"/>
      <c r="BN111" s="68"/>
      <c r="BO111" s="68"/>
      <c r="BP111" s="68"/>
      <c r="BQ111" s="68"/>
      <c r="BR111" s="68"/>
      <c r="BS111" s="68"/>
      <c r="BT111" s="68"/>
      <c r="BU111" s="68"/>
      <c r="BV111" s="68"/>
      <c r="BW111" s="68"/>
      <c r="BX111" s="68"/>
      <c r="BY111" s="68"/>
      <c r="BZ111" s="68"/>
      <c r="CA111" s="68"/>
      <c r="CB111" s="68"/>
      <c r="CC111" s="68"/>
      <c r="CD111" s="68"/>
      <c r="CE111" s="68"/>
      <c r="CF111" s="68"/>
      <c r="CG111" s="68"/>
      <c r="CH111" s="68"/>
      <c r="CI111" s="68"/>
      <c r="CJ111" s="68"/>
      <c r="CK111" s="68"/>
      <c r="CL111" s="68"/>
      <c r="CM111" s="68"/>
      <c r="CN111" s="68"/>
      <c r="CO111" s="68"/>
      <c r="CP111" s="68"/>
      <c r="CQ111" s="68"/>
      <c r="CR111" s="68"/>
      <c r="CS111" s="68"/>
      <c r="CT111" s="68"/>
      <c r="CU111" s="68"/>
      <c r="CV111" s="68"/>
      <c r="CW111" s="68"/>
      <c r="CX111" s="68"/>
      <c r="CY111" s="68"/>
      <c r="CZ111" s="68"/>
      <c r="DA111" s="68"/>
      <c r="DB111" s="68"/>
      <c r="DC111" s="68"/>
      <c r="DD111" s="68"/>
      <c r="DE111" s="68"/>
      <c r="DF111" s="68"/>
      <c r="DG111" s="68"/>
      <c r="DH111" s="68"/>
      <c r="DI111" s="68"/>
      <c r="DJ111" s="68"/>
      <c r="DK111" s="68"/>
      <c r="DL111" s="68"/>
      <c r="DM111" s="68"/>
      <c r="DN111" s="68"/>
      <c r="DO111" s="68"/>
      <c r="DP111" s="68"/>
      <c r="DQ111" s="68"/>
      <c r="DR111" s="68"/>
      <c r="DS111" s="68"/>
      <c r="DT111" s="68"/>
      <c r="DU111" s="68"/>
      <c r="DV111" s="68"/>
      <c r="DW111" s="68"/>
      <c r="DX111" s="68"/>
      <c r="DY111" s="68"/>
      <c r="DZ111" s="68"/>
      <c r="EA111" s="68"/>
      <c r="EB111" s="68"/>
      <c r="EC111" s="68"/>
      <c r="ED111" s="68"/>
      <c r="EE111" s="68"/>
      <c r="EF111" s="68"/>
      <c r="EG111" s="68"/>
      <c r="EH111" s="68"/>
      <c r="EI111" s="68"/>
      <c r="EJ111" s="68"/>
    </row>
    <row r="112" spans="1:140" s="78" customFormat="1">
      <c r="A112" s="83"/>
      <c r="B112" s="92"/>
      <c r="C112" s="358"/>
      <c r="D112" s="76"/>
      <c r="E112" s="76"/>
      <c r="F112" s="76"/>
      <c r="G112" s="76"/>
      <c r="H112" s="76"/>
      <c r="I112" s="76"/>
      <c r="J112" s="76"/>
      <c r="K112" s="76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68"/>
      <c r="BC112" s="68"/>
      <c r="BD112" s="68"/>
      <c r="BE112" s="68"/>
      <c r="BF112" s="68"/>
      <c r="BG112" s="68"/>
      <c r="BH112" s="68"/>
      <c r="BI112" s="68"/>
      <c r="BJ112" s="68"/>
      <c r="BK112" s="68"/>
      <c r="BL112" s="68"/>
      <c r="BM112" s="68"/>
      <c r="BN112" s="68"/>
      <c r="BO112" s="68"/>
      <c r="BP112" s="68"/>
      <c r="BQ112" s="68"/>
      <c r="BR112" s="68"/>
      <c r="BS112" s="68"/>
      <c r="BT112" s="68"/>
      <c r="BU112" s="68"/>
      <c r="BV112" s="68"/>
      <c r="BW112" s="68"/>
      <c r="BX112" s="68"/>
      <c r="BY112" s="68"/>
      <c r="BZ112" s="68"/>
      <c r="CA112" s="68"/>
      <c r="CB112" s="68"/>
      <c r="CC112" s="68"/>
      <c r="CD112" s="68"/>
      <c r="CE112" s="68"/>
      <c r="CF112" s="68"/>
      <c r="CG112" s="68"/>
      <c r="CH112" s="68"/>
      <c r="CI112" s="68"/>
      <c r="CJ112" s="68"/>
      <c r="CK112" s="68"/>
      <c r="CL112" s="68"/>
      <c r="CM112" s="68"/>
      <c r="CN112" s="68"/>
      <c r="CO112" s="68"/>
      <c r="CP112" s="68"/>
      <c r="CQ112" s="68"/>
      <c r="CR112" s="68"/>
      <c r="CS112" s="68"/>
      <c r="CT112" s="68"/>
      <c r="CU112" s="68"/>
      <c r="CV112" s="68"/>
      <c r="CW112" s="68"/>
      <c r="CX112" s="68"/>
      <c r="CY112" s="68"/>
      <c r="CZ112" s="68"/>
      <c r="DA112" s="68"/>
      <c r="DB112" s="68"/>
      <c r="DC112" s="68"/>
      <c r="DD112" s="68"/>
      <c r="DE112" s="68"/>
      <c r="DF112" s="68"/>
      <c r="DG112" s="68"/>
      <c r="DH112" s="68"/>
      <c r="DI112" s="68"/>
      <c r="DJ112" s="68"/>
      <c r="DK112" s="68"/>
      <c r="DL112" s="68"/>
      <c r="DM112" s="68"/>
      <c r="DN112" s="68"/>
      <c r="DO112" s="68"/>
      <c r="DP112" s="68"/>
      <c r="DQ112" s="68"/>
      <c r="DR112" s="68"/>
      <c r="DS112" s="68"/>
      <c r="DT112" s="68"/>
      <c r="DU112" s="68"/>
      <c r="DV112" s="68"/>
      <c r="DW112" s="68"/>
      <c r="DX112" s="68"/>
      <c r="DY112" s="68"/>
      <c r="DZ112" s="68"/>
      <c r="EA112" s="68"/>
      <c r="EB112" s="68"/>
      <c r="EC112" s="68"/>
      <c r="ED112" s="68"/>
      <c r="EE112" s="68"/>
      <c r="EF112" s="68"/>
      <c r="EG112" s="68"/>
      <c r="EH112" s="68"/>
      <c r="EI112" s="68"/>
      <c r="EJ112" s="68"/>
    </row>
    <row r="113" spans="1:140" ht="12.75" customHeight="1">
      <c r="A113" s="371" t="str">
        <f>+A8</f>
        <v xml:space="preserve">AEP TEXAS </v>
      </c>
      <c r="B113" s="366"/>
      <c r="C113" s="366"/>
      <c r="D113" s="366"/>
      <c r="E113" s="366"/>
      <c r="F113" s="366"/>
      <c r="G113" s="366"/>
      <c r="H113" s="366"/>
      <c r="I113" s="366"/>
      <c r="J113" s="366"/>
      <c r="K113" s="366"/>
      <c r="L113" s="366"/>
      <c r="M113" s="366"/>
      <c r="N113" s="366"/>
      <c r="O113" s="366"/>
      <c r="P113" s="366"/>
      <c r="Q113" s="366"/>
      <c r="R113" s="366"/>
      <c r="S113" s="366"/>
      <c r="T113" s="366"/>
    </row>
    <row r="114" spans="1:140" ht="12.75" customHeight="1">
      <c r="A114" s="371" t="s">
        <v>66</v>
      </c>
      <c r="B114" s="371"/>
      <c r="C114" s="371"/>
      <c r="D114" s="371"/>
      <c r="E114" s="371"/>
      <c r="F114" s="371"/>
      <c r="G114" s="371"/>
      <c r="H114" s="371"/>
      <c r="I114" s="371"/>
      <c r="J114" s="371"/>
      <c r="K114" s="371"/>
      <c r="L114" s="371"/>
      <c r="M114" s="371"/>
      <c r="N114" s="371"/>
      <c r="O114" s="371"/>
      <c r="P114" s="371"/>
      <c r="Q114" s="371"/>
      <c r="R114" s="371"/>
      <c r="S114" s="371"/>
      <c r="T114" s="371"/>
    </row>
    <row r="115" spans="1:140" ht="12.75" customHeight="1">
      <c r="A115" s="366" t="str">
        <f>A10</f>
        <v>FOR TEST YEAR ENDED SEPTEMBER 30, 2023</v>
      </c>
      <c r="B115" s="366"/>
      <c r="C115" s="366"/>
      <c r="D115" s="366"/>
      <c r="E115" s="366"/>
      <c r="F115" s="366"/>
      <c r="G115" s="366"/>
      <c r="H115" s="366"/>
      <c r="I115" s="366"/>
      <c r="J115" s="366"/>
      <c r="K115" s="366"/>
      <c r="L115" s="366"/>
      <c r="M115" s="366"/>
      <c r="N115" s="366"/>
      <c r="O115" s="366"/>
      <c r="P115" s="366"/>
      <c r="Q115" s="366"/>
      <c r="R115" s="366"/>
      <c r="S115" s="366"/>
      <c r="T115" s="366"/>
    </row>
    <row r="116" spans="1:140">
      <c r="B116" s="73"/>
      <c r="C116" s="358"/>
      <c r="D116" s="358"/>
      <c r="E116" s="358"/>
      <c r="F116" s="358"/>
      <c r="G116" s="358"/>
      <c r="H116" s="358"/>
      <c r="I116" s="358"/>
      <c r="J116" s="358"/>
      <c r="K116" s="360"/>
    </row>
    <row r="117" spans="1:140">
      <c r="B117" s="106"/>
      <c r="D117" s="107"/>
      <c r="E117" s="108"/>
      <c r="F117" s="108"/>
      <c r="G117" s="108"/>
      <c r="H117" s="108"/>
    </row>
    <row r="118" spans="1:140" ht="33.75">
      <c r="A118" s="358" t="s">
        <v>8</v>
      </c>
      <c r="B118" s="361" t="s">
        <v>0</v>
      </c>
      <c r="C118" s="361" t="s">
        <v>7</v>
      </c>
      <c r="D118" s="192" t="str">
        <f>$D$13</f>
        <v>Customer Revenue - Base Tariff</v>
      </c>
      <c r="E118" s="192" t="str">
        <f>$E$13</f>
        <v xml:space="preserve">Meter Revenue - Base Tariff </v>
      </c>
      <c r="F118" s="192" t="str">
        <f>$F$13</f>
        <v>Distribution Service Revenue - Base Tariff</v>
      </c>
      <c r="G118" s="192" t="str">
        <f>$G$13</f>
        <v>Facilities Charge</v>
      </c>
      <c r="H118" s="192" t="str">
        <f>+H13</f>
        <v>DCRF Revenue</v>
      </c>
      <c r="I118" s="192" t="str">
        <f>$I$13</f>
        <v>TCRF Revenue</v>
      </c>
      <c r="J118" s="192" t="str">
        <f>$J$13</f>
        <v>Total Base Tariff Revenue</v>
      </c>
      <c r="K118" s="193"/>
      <c r="L118" s="192" t="str">
        <f>+L13</f>
        <v>TTRAR</v>
      </c>
      <c r="M118" s="192" t="str">
        <f t="shared" ref="M118:Q118" si="56">+M13</f>
        <v>EECR</v>
      </c>
      <c r="N118" s="192" t="str">
        <f t="shared" si="56"/>
        <v>TC3</v>
      </c>
      <c r="O118" s="192" t="str">
        <f t="shared" si="56"/>
        <v>MTEEE</v>
      </c>
      <c r="P118" s="192" t="str">
        <f t="shared" si="56"/>
        <v>SRC</v>
      </c>
      <c r="Q118" s="192" t="str">
        <f t="shared" si="56"/>
        <v>Miscellaneous Riders</v>
      </c>
      <c r="R118" s="192" t="str">
        <f>$R$13</f>
        <v>Total Riders</v>
      </c>
      <c r="S118" s="189"/>
      <c r="T118" s="192" t="str">
        <f>$T$13</f>
        <v>Total Revenue</v>
      </c>
    </row>
    <row r="119" spans="1:140">
      <c r="B119" s="361"/>
      <c r="C119" s="361"/>
      <c r="D119" s="97"/>
      <c r="E119" s="97"/>
      <c r="F119" s="97"/>
      <c r="G119" s="97"/>
      <c r="H119" s="97"/>
      <c r="I119" s="97"/>
      <c r="J119" s="97"/>
      <c r="K119" s="123"/>
    </row>
    <row r="120" spans="1:140" s="78" customFormat="1">
      <c r="A120" s="83" t="s">
        <v>9</v>
      </c>
      <c r="B120" s="78" t="s">
        <v>17</v>
      </c>
      <c r="C120" s="85" t="s">
        <v>4</v>
      </c>
      <c r="D120" s="90"/>
      <c r="E120" s="90"/>
      <c r="F120" s="90">
        <f>'II-H-4.1 Monthly'!P318</f>
        <v>-6822080.3903559959</v>
      </c>
      <c r="G120" s="90"/>
      <c r="H120" s="90"/>
      <c r="I120" s="90"/>
      <c r="J120" s="90">
        <f>SUM(D120:I120)</f>
        <v>-6822080.3903559959</v>
      </c>
      <c r="K120" s="124"/>
      <c r="L120" s="90"/>
      <c r="M120" s="90"/>
      <c r="N120" s="90"/>
      <c r="O120" s="90"/>
      <c r="P120" s="90"/>
      <c r="Q120" s="90"/>
      <c r="R120" s="124">
        <f>SUM(L120:Q120)</f>
        <v>0</v>
      </c>
      <c r="S120" s="124"/>
      <c r="T120" s="124">
        <f>R120+J120</f>
        <v>-6822080.3903559959</v>
      </c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  <c r="AO120" s="68"/>
      <c r="AP120" s="68"/>
      <c r="AQ120" s="68"/>
      <c r="AR120" s="68"/>
      <c r="AS120" s="68"/>
      <c r="AT120" s="68"/>
      <c r="AU120" s="68"/>
      <c r="AV120" s="68"/>
      <c r="AW120" s="68"/>
      <c r="AX120" s="68"/>
      <c r="AY120" s="68"/>
      <c r="AZ120" s="68"/>
      <c r="BA120" s="68"/>
      <c r="BB120" s="68"/>
      <c r="BC120" s="68"/>
      <c r="BD120" s="68"/>
      <c r="BE120" s="68"/>
      <c r="BF120" s="68"/>
      <c r="BG120" s="68"/>
      <c r="BH120" s="68"/>
      <c r="BI120" s="68"/>
      <c r="BJ120" s="68"/>
      <c r="BK120" s="68"/>
      <c r="BL120" s="68"/>
      <c r="BM120" s="68"/>
      <c r="BN120" s="68"/>
      <c r="BO120" s="68"/>
      <c r="BP120" s="68"/>
      <c r="BQ120" s="68"/>
      <c r="BR120" s="68"/>
      <c r="BS120" s="68"/>
      <c r="BT120" s="68"/>
      <c r="BU120" s="68"/>
      <c r="BV120" s="68"/>
      <c r="BW120" s="68"/>
      <c r="BX120" s="68"/>
      <c r="BY120" s="68"/>
      <c r="BZ120" s="68"/>
      <c r="CA120" s="68"/>
      <c r="CB120" s="68"/>
      <c r="CC120" s="68"/>
      <c r="CD120" s="68"/>
      <c r="CE120" s="68"/>
      <c r="CF120" s="68"/>
      <c r="CG120" s="68"/>
      <c r="CH120" s="68"/>
      <c r="CI120" s="68"/>
      <c r="CJ120" s="68"/>
      <c r="CK120" s="68"/>
      <c r="CL120" s="68"/>
      <c r="CM120" s="68"/>
      <c r="CN120" s="68"/>
      <c r="CO120" s="68"/>
      <c r="CP120" s="68"/>
      <c r="CQ120" s="68"/>
      <c r="CR120" s="68"/>
      <c r="CS120" s="68"/>
      <c r="CT120" s="68"/>
      <c r="CU120" s="68"/>
      <c r="CV120" s="68"/>
      <c r="CW120" s="68"/>
      <c r="CX120" s="68"/>
      <c r="CY120" s="68"/>
      <c r="CZ120" s="68"/>
      <c r="DA120" s="68"/>
      <c r="DB120" s="68"/>
      <c r="DC120" s="68"/>
      <c r="DD120" s="68"/>
      <c r="DE120" s="68"/>
      <c r="DF120" s="68"/>
      <c r="DG120" s="68"/>
      <c r="DH120" s="68"/>
      <c r="DI120" s="68"/>
      <c r="DJ120" s="68"/>
      <c r="DK120" s="68"/>
      <c r="DL120" s="68"/>
      <c r="DM120" s="68"/>
      <c r="DN120" s="68"/>
      <c r="DO120" s="68"/>
      <c r="DP120" s="68"/>
      <c r="DQ120" s="68"/>
      <c r="DR120" s="68"/>
      <c r="DS120" s="68"/>
      <c r="DT120" s="68"/>
      <c r="DU120" s="68"/>
      <c r="DV120" s="68"/>
      <c r="DW120" s="68"/>
      <c r="DX120" s="68"/>
      <c r="DY120" s="68"/>
      <c r="DZ120" s="68"/>
      <c r="EA120" s="68"/>
      <c r="EB120" s="68"/>
      <c r="EC120" s="68"/>
      <c r="ED120" s="68"/>
      <c r="EE120" s="68"/>
      <c r="EF120" s="68"/>
      <c r="EG120" s="68"/>
      <c r="EH120" s="68"/>
      <c r="EI120" s="68"/>
      <c r="EJ120" s="68"/>
    </row>
    <row r="121" spans="1:140" s="78" customFormat="1">
      <c r="C121" s="85"/>
      <c r="D121" s="102"/>
      <c r="E121" s="102"/>
      <c r="F121" s="102"/>
      <c r="G121" s="102"/>
      <c r="H121" s="102"/>
      <c r="I121" s="102"/>
      <c r="J121" s="102"/>
      <c r="K121" s="127"/>
      <c r="L121" s="102"/>
      <c r="M121" s="102"/>
      <c r="N121" s="102"/>
      <c r="O121" s="102"/>
      <c r="P121" s="102"/>
      <c r="Q121" s="102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  <c r="AO121" s="68"/>
      <c r="AP121" s="68"/>
      <c r="AQ121" s="68"/>
      <c r="AR121" s="68"/>
      <c r="AS121" s="68"/>
      <c r="AT121" s="68"/>
      <c r="AU121" s="68"/>
      <c r="AV121" s="68"/>
      <c r="AW121" s="68"/>
      <c r="AX121" s="68"/>
      <c r="AY121" s="68"/>
      <c r="AZ121" s="68"/>
      <c r="BA121" s="68"/>
      <c r="BB121" s="68"/>
      <c r="BC121" s="68"/>
      <c r="BD121" s="68"/>
      <c r="BE121" s="68"/>
      <c r="BF121" s="68"/>
      <c r="BG121" s="68"/>
      <c r="BH121" s="68"/>
      <c r="BI121" s="68"/>
      <c r="BJ121" s="68"/>
      <c r="BK121" s="68"/>
      <c r="BL121" s="68"/>
      <c r="BM121" s="68"/>
      <c r="BN121" s="68"/>
      <c r="BO121" s="68"/>
      <c r="BP121" s="68"/>
      <c r="BQ121" s="68"/>
      <c r="BR121" s="68"/>
      <c r="BS121" s="68"/>
      <c r="BT121" s="68"/>
      <c r="BU121" s="68"/>
      <c r="BV121" s="68"/>
      <c r="BW121" s="68"/>
      <c r="BX121" s="68"/>
      <c r="BY121" s="68"/>
      <c r="BZ121" s="68"/>
      <c r="CA121" s="68"/>
      <c r="CB121" s="68"/>
      <c r="CC121" s="68"/>
      <c r="CD121" s="68"/>
      <c r="CE121" s="68"/>
      <c r="CF121" s="68"/>
      <c r="CG121" s="68"/>
      <c r="CH121" s="68"/>
      <c r="CI121" s="68"/>
      <c r="CJ121" s="68"/>
      <c r="CK121" s="68"/>
      <c r="CL121" s="68"/>
      <c r="CM121" s="68"/>
      <c r="CN121" s="68"/>
      <c r="CO121" s="68"/>
      <c r="CP121" s="68"/>
      <c r="CQ121" s="68"/>
      <c r="CR121" s="68"/>
      <c r="CS121" s="68"/>
      <c r="CT121" s="68"/>
      <c r="CU121" s="68"/>
      <c r="CV121" s="68"/>
      <c r="CW121" s="68"/>
      <c r="CX121" s="68"/>
      <c r="CY121" s="68"/>
      <c r="CZ121" s="68"/>
      <c r="DA121" s="68"/>
      <c r="DB121" s="68"/>
      <c r="DC121" s="68"/>
      <c r="DD121" s="68"/>
      <c r="DE121" s="68"/>
      <c r="DF121" s="68"/>
      <c r="DG121" s="68"/>
      <c r="DH121" s="68"/>
      <c r="DI121" s="68"/>
      <c r="DJ121" s="68"/>
      <c r="DK121" s="68"/>
      <c r="DL121" s="68"/>
      <c r="DM121" s="68"/>
      <c r="DN121" s="68"/>
      <c r="DO121" s="68"/>
      <c r="DP121" s="68"/>
      <c r="DQ121" s="68"/>
      <c r="DR121" s="68"/>
      <c r="DS121" s="68"/>
      <c r="DT121" s="68"/>
      <c r="DU121" s="68"/>
      <c r="DV121" s="68"/>
      <c r="DW121" s="68"/>
      <c r="DX121" s="68"/>
      <c r="DY121" s="68"/>
      <c r="DZ121" s="68"/>
      <c r="EA121" s="68"/>
      <c r="EB121" s="68"/>
      <c r="EC121" s="68"/>
      <c r="ED121" s="68"/>
      <c r="EE121" s="68"/>
      <c r="EF121" s="68"/>
      <c r="EG121" s="68"/>
      <c r="EH121" s="68"/>
      <c r="EI121" s="68"/>
      <c r="EJ121" s="68"/>
    </row>
    <row r="122" spans="1:140" s="78" customFormat="1">
      <c r="A122" s="83">
        <v>2</v>
      </c>
      <c r="B122" s="78" t="s">
        <v>20</v>
      </c>
      <c r="C122" s="85" t="s">
        <v>4</v>
      </c>
      <c r="D122" s="71"/>
      <c r="E122" s="71"/>
      <c r="F122" s="71">
        <f>'II-H-4.1 Monthly'!P320</f>
        <v>-184937.23881166941</v>
      </c>
      <c r="G122" s="71"/>
      <c r="H122" s="71"/>
      <c r="I122" s="71"/>
      <c r="J122" s="71">
        <f>SUM(D122:I122)</f>
        <v>-184937.23881166941</v>
      </c>
      <c r="K122" s="84"/>
      <c r="L122" s="71"/>
      <c r="M122" s="71"/>
      <c r="N122" s="71"/>
      <c r="O122" s="71"/>
      <c r="P122" s="71"/>
      <c r="Q122" s="71"/>
      <c r="R122" s="84">
        <f>SUM(L122:Q122)</f>
        <v>0</v>
      </c>
      <c r="S122" s="84"/>
      <c r="T122" s="84">
        <f>R122+J122</f>
        <v>-184937.23881166941</v>
      </c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/>
      <c r="AX122" s="68"/>
      <c r="AY122" s="68"/>
      <c r="AZ122" s="68"/>
      <c r="BA122" s="68"/>
      <c r="BB122" s="68"/>
      <c r="BC122" s="68"/>
      <c r="BD122" s="68"/>
      <c r="BE122" s="68"/>
      <c r="BF122" s="68"/>
      <c r="BG122" s="68"/>
      <c r="BH122" s="68"/>
      <c r="BI122" s="68"/>
      <c r="BJ122" s="68"/>
      <c r="BK122" s="68"/>
      <c r="BL122" s="68"/>
      <c r="BM122" s="68"/>
      <c r="BN122" s="68"/>
      <c r="BO122" s="68"/>
      <c r="BP122" s="68"/>
      <c r="BQ122" s="68"/>
      <c r="BR122" s="68"/>
      <c r="BS122" s="68"/>
      <c r="BT122" s="68"/>
      <c r="BU122" s="68"/>
      <c r="BV122" s="68"/>
      <c r="BW122" s="68"/>
      <c r="BX122" s="68"/>
      <c r="BY122" s="68"/>
      <c r="BZ122" s="68"/>
      <c r="CA122" s="68"/>
      <c r="CB122" s="68"/>
      <c r="CC122" s="68"/>
      <c r="CD122" s="68"/>
      <c r="CE122" s="68"/>
      <c r="CF122" s="68"/>
      <c r="CG122" s="68"/>
      <c r="CH122" s="68"/>
      <c r="CI122" s="68"/>
      <c r="CJ122" s="68"/>
      <c r="CK122" s="68"/>
      <c r="CL122" s="68"/>
      <c r="CM122" s="68"/>
      <c r="CN122" s="68"/>
      <c r="CO122" s="68"/>
      <c r="CP122" s="68"/>
      <c r="CQ122" s="68"/>
      <c r="CR122" s="68"/>
      <c r="CS122" s="68"/>
      <c r="CT122" s="68"/>
      <c r="CU122" s="68"/>
      <c r="CV122" s="68"/>
      <c r="CW122" s="68"/>
      <c r="CX122" s="68"/>
      <c r="CY122" s="68"/>
      <c r="CZ122" s="68"/>
      <c r="DA122" s="68"/>
      <c r="DB122" s="68"/>
      <c r="DC122" s="68"/>
      <c r="DD122" s="68"/>
      <c r="DE122" s="68"/>
      <c r="DF122" s="68"/>
      <c r="DG122" s="68"/>
      <c r="DH122" s="68"/>
      <c r="DI122" s="68"/>
      <c r="DJ122" s="68"/>
      <c r="DK122" s="68"/>
      <c r="DL122" s="68"/>
      <c r="DM122" s="68"/>
      <c r="DN122" s="68"/>
      <c r="DO122" s="68"/>
      <c r="DP122" s="68"/>
      <c r="DQ122" s="68"/>
      <c r="DR122" s="68"/>
      <c r="DS122" s="68"/>
      <c r="DT122" s="68"/>
      <c r="DU122" s="68"/>
      <c r="DV122" s="68"/>
      <c r="DW122" s="68"/>
      <c r="DX122" s="68"/>
      <c r="DY122" s="68"/>
      <c r="DZ122" s="68"/>
      <c r="EA122" s="68"/>
      <c r="EB122" s="68"/>
      <c r="EC122" s="68"/>
      <c r="ED122" s="68"/>
      <c r="EE122" s="68"/>
      <c r="EF122" s="68"/>
      <c r="EG122" s="68"/>
      <c r="EH122" s="68"/>
      <c r="EI122" s="68"/>
      <c r="EJ122" s="68"/>
    </row>
    <row r="123" spans="1:140" s="78" customFormat="1">
      <c r="A123" s="83"/>
      <c r="C123" s="85"/>
      <c r="D123" s="71"/>
      <c r="E123" s="71"/>
      <c r="F123" s="71"/>
      <c r="G123" s="71"/>
      <c r="H123" s="71"/>
      <c r="I123" s="71"/>
      <c r="J123" s="71"/>
      <c r="K123" s="84"/>
      <c r="L123" s="71"/>
      <c r="M123" s="71"/>
      <c r="N123" s="71"/>
      <c r="O123" s="71"/>
      <c r="P123" s="71"/>
      <c r="Q123" s="71"/>
      <c r="R123" s="68"/>
      <c r="S123" s="68"/>
      <c r="T123" s="84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  <c r="AS123" s="68"/>
      <c r="AT123" s="68"/>
      <c r="AU123" s="68"/>
      <c r="AV123" s="68"/>
      <c r="AW123" s="68"/>
      <c r="AX123" s="68"/>
      <c r="AY123" s="68"/>
      <c r="AZ123" s="68"/>
      <c r="BA123" s="68"/>
      <c r="BB123" s="68"/>
      <c r="BC123" s="68"/>
      <c r="BD123" s="68"/>
      <c r="BE123" s="68"/>
      <c r="BF123" s="68"/>
      <c r="BG123" s="68"/>
      <c r="BH123" s="68"/>
      <c r="BI123" s="68"/>
      <c r="BJ123" s="68"/>
      <c r="BK123" s="68"/>
      <c r="BL123" s="68"/>
      <c r="BM123" s="68"/>
      <c r="BN123" s="68"/>
      <c r="BO123" s="68"/>
      <c r="BP123" s="68"/>
      <c r="BQ123" s="68"/>
      <c r="BR123" s="68"/>
      <c r="BS123" s="68"/>
      <c r="BT123" s="68"/>
      <c r="BU123" s="68"/>
      <c r="BV123" s="68"/>
      <c r="BW123" s="68"/>
      <c r="BX123" s="68"/>
      <c r="BY123" s="68"/>
      <c r="BZ123" s="68"/>
      <c r="CA123" s="68"/>
      <c r="CB123" s="68"/>
      <c r="CC123" s="68"/>
      <c r="CD123" s="68"/>
      <c r="CE123" s="68"/>
      <c r="CF123" s="68"/>
      <c r="CG123" s="68"/>
      <c r="CH123" s="68"/>
      <c r="CI123" s="68"/>
      <c r="CJ123" s="68"/>
      <c r="CK123" s="68"/>
      <c r="CL123" s="68"/>
      <c r="CM123" s="68"/>
      <c r="CN123" s="68"/>
      <c r="CO123" s="68"/>
      <c r="CP123" s="68"/>
      <c r="CQ123" s="68"/>
      <c r="CR123" s="68"/>
      <c r="CS123" s="68"/>
      <c r="CT123" s="68"/>
      <c r="CU123" s="68"/>
      <c r="CV123" s="68"/>
      <c r="CW123" s="68"/>
      <c r="CX123" s="68"/>
      <c r="CY123" s="68"/>
      <c r="CZ123" s="68"/>
      <c r="DA123" s="68"/>
      <c r="DB123" s="68"/>
      <c r="DC123" s="68"/>
      <c r="DD123" s="68"/>
      <c r="DE123" s="68"/>
      <c r="DF123" s="68"/>
      <c r="DG123" s="68"/>
      <c r="DH123" s="68"/>
      <c r="DI123" s="68"/>
      <c r="DJ123" s="68"/>
      <c r="DK123" s="68"/>
      <c r="DL123" s="68"/>
      <c r="DM123" s="68"/>
      <c r="DN123" s="68"/>
      <c r="DO123" s="68"/>
      <c r="DP123" s="68"/>
      <c r="DQ123" s="68"/>
      <c r="DR123" s="68"/>
      <c r="DS123" s="68"/>
      <c r="DT123" s="68"/>
      <c r="DU123" s="68"/>
      <c r="DV123" s="68"/>
      <c r="DW123" s="68"/>
      <c r="DX123" s="68"/>
      <c r="DY123" s="68"/>
      <c r="DZ123" s="68"/>
      <c r="EA123" s="68"/>
      <c r="EB123" s="68"/>
      <c r="EC123" s="68"/>
      <c r="ED123" s="68"/>
      <c r="EE123" s="68"/>
      <c r="EF123" s="68"/>
      <c r="EG123" s="68"/>
      <c r="EH123" s="68"/>
      <c r="EI123" s="68"/>
      <c r="EJ123" s="68"/>
    </row>
    <row r="124" spans="1:140" s="78" customFormat="1">
      <c r="A124" s="83">
        <v>3</v>
      </c>
      <c r="B124" s="87" t="s">
        <v>84</v>
      </c>
      <c r="C124" s="74" t="s">
        <v>4</v>
      </c>
      <c r="D124" s="84"/>
      <c r="E124" s="84"/>
      <c r="F124" s="84">
        <f>'II-H-4.1 Monthly'!P322</f>
        <v>-1744192.1327156362</v>
      </c>
      <c r="G124" s="84"/>
      <c r="H124" s="84"/>
      <c r="I124" s="84"/>
      <c r="J124" s="84">
        <f>SUM(D124:I124)</f>
        <v>-1744192.1327156362</v>
      </c>
      <c r="K124" s="84"/>
      <c r="L124" s="84"/>
      <c r="M124" s="84"/>
      <c r="N124" s="84"/>
      <c r="O124" s="84"/>
      <c r="P124" s="84"/>
      <c r="Q124" s="84"/>
      <c r="R124" s="84">
        <f>SUM(L124:Q124)</f>
        <v>0</v>
      </c>
      <c r="S124" s="84"/>
      <c r="T124" s="84">
        <f>R124+J124</f>
        <v>-1744192.1327156362</v>
      </c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  <c r="AO124" s="68"/>
      <c r="AP124" s="68"/>
      <c r="AQ124" s="68"/>
      <c r="AR124" s="68"/>
      <c r="AS124" s="68"/>
      <c r="AT124" s="68"/>
      <c r="AU124" s="68"/>
      <c r="AV124" s="68"/>
      <c r="AW124" s="68"/>
      <c r="AX124" s="68"/>
      <c r="AY124" s="68"/>
      <c r="AZ124" s="68"/>
      <c r="BA124" s="68"/>
      <c r="BB124" s="68"/>
      <c r="BC124" s="68"/>
      <c r="BD124" s="68"/>
      <c r="BE124" s="68"/>
      <c r="BF124" s="68"/>
      <c r="BG124" s="68"/>
      <c r="BH124" s="68"/>
      <c r="BI124" s="68"/>
      <c r="BJ124" s="68"/>
      <c r="BK124" s="68"/>
      <c r="BL124" s="68"/>
      <c r="BM124" s="68"/>
      <c r="BN124" s="68"/>
      <c r="BO124" s="68"/>
      <c r="BP124" s="68"/>
      <c r="BQ124" s="68"/>
      <c r="BR124" s="68"/>
      <c r="BS124" s="68"/>
      <c r="BT124" s="68"/>
      <c r="BU124" s="68"/>
      <c r="BV124" s="68"/>
      <c r="BW124" s="68"/>
      <c r="BX124" s="68"/>
      <c r="BY124" s="68"/>
      <c r="BZ124" s="68"/>
      <c r="CA124" s="68"/>
      <c r="CB124" s="68"/>
      <c r="CC124" s="68"/>
      <c r="CD124" s="68"/>
      <c r="CE124" s="68"/>
      <c r="CF124" s="68"/>
      <c r="CG124" s="68"/>
      <c r="CH124" s="68"/>
      <c r="CI124" s="68"/>
      <c r="CJ124" s="68"/>
      <c r="CK124" s="68"/>
      <c r="CL124" s="68"/>
      <c r="CM124" s="68"/>
      <c r="CN124" s="68"/>
      <c r="CO124" s="68"/>
      <c r="CP124" s="68"/>
      <c r="CQ124" s="68"/>
      <c r="CR124" s="68"/>
      <c r="CS124" s="68"/>
      <c r="CT124" s="68"/>
      <c r="CU124" s="68"/>
      <c r="CV124" s="68"/>
      <c r="CW124" s="68"/>
      <c r="CX124" s="68"/>
      <c r="CY124" s="68"/>
      <c r="CZ124" s="68"/>
      <c r="DA124" s="68"/>
      <c r="DB124" s="68"/>
      <c r="DC124" s="68"/>
      <c r="DD124" s="68"/>
      <c r="DE124" s="68"/>
      <c r="DF124" s="68"/>
      <c r="DG124" s="68"/>
      <c r="DH124" s="68"/>
      <c r="DI124" s="68"/>
      <c r="DJ124" s="68"/>
      <c r="DK124" s="68"/>
      <c r="DL124" s="68"/>
      <c r="DM124" s="68"/>
      <c r="DN124" s="68"/>
      <c r="DO124" s="68"/>
      <c r="DP124" s="68"/>
      <c r="DQ124" s="68"/>
      <c r="DR124" s="68"/>
      <c r="DS124" s="68"/>
      <c r="DT124" s="68"/>
      <c r="DU124" s="68"/>
      <c r="DV124" s="68"/>
      <c r="DW124" s="68"/>
      <c r="DX124" s="68"/>
      <c r="DY124" s="68"/>
      <c r="DZ124" s="68"/>
      <c r="EA124" s="68"/>
      <c r="EB124" s="68"/>
      <c r="EC124" s="68"/>
      <c r="ED124" s="68"/>
      <c r="EE124" s="68"/>
      <c r="EF124" s="68"/>
      <c r="EG124" s="68"/>
      <c r="EH124" s="68"/>
      <c r="EI124" s="68"/>
      <c r="EJ124" s="68"/>
    </row>
    <row r="125" spans="1:140" s="78" customFormat="1">
      <c r="A125" s="83">
        <v>4</v>
      </c>
      <c r="B125" s="87" t="s">
        <v>85</v>
      </c>
      <c r="C125" s="74" t="s">
        <v>4</v>
      </c>
      <c r="D125" s="72"/>
      <c r="E125" s="72"/>
      <c r="F125" s="72">
        <f>'II-H-4.1 Monthly'!P323</f>
        <v>-105136.32652663488</v>
      </c>
      <c r="G125" s="72"/>
      <c r="H125" s="72"/>
      <c r="I125" s="72"/>
      <c r="J125" s="72">
        <f>SUM(D125:I125)</f>
        <v>-105136.32652663488</v>
      </c>
      <c r="K125" s="84"/>
      <c r="L125" s="72"/>
      <c r="M125" s="72"/>
      <c r="N125" s="72"/>
      <c r="O125" s="72"/>
      <c r="P125" s="72"/>
      <c r="Q125" s="72"/>
      <c r="R125" s="72">
        <f>SUM(L125:Q125)</f>
        <v>0</v>
      </c>
      <c r="S125" s="84"/>
      <c r="T125" s="72">
        <f>R125+J125</f>
        <v>-105136.32652663488</v>
      </c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  <c r="AO125" s="68"/>
      <c r="AP125" s="68"/>
      <c r="AQ125" s="68"/>
      <c r="AR125" s="68"/>
      <c r="AS125" s="68"/>
      <c r="AT125" s="68"/>
      <c r="AU125" s="68"/>
      <c r="AV125" s="68"/>
      <c r="AW125" s="68"/>
      <c r="AX125" s="68"/>
      <c r="AY125" s="68"/>
      <c r="AZ125" s="68"/>
      <c r="BA125" s="68"/>
      <c r="BB125" s="68"/>
      <c r="BC125" s="68"/>
      <c r="BD125" s="68"/>
      <c r="BE125" s="68"/>
      <c r="BF125" s="68"/>
      <c r="BG125" s="68"/>
      <c r="BH125" s="68"/>
      <c r="BI125" s="68"/>
      <c r="BJ125" s="68"/>
      <c r="BK125" s="68"/>
      <c r="BL125" s="68"/>
      <c r="BM125" s="68"/>
      <c r="BN125" s="68"/>
      <c r="BO125" s="68"/>
      <c r="BP125" s="68"/>
      <c r="BQ125" s="68"/>
      <c r="BR125" s="68"/>
      <c r="BS125" s="68"/>
      <c r="BT125" s="68"/>
      <c r="BU125" s="68"/>
      <c r="BV125" s="68"/>
      <c r="BW125" s="68"/>
      <c r="BX125" s="68"/>
      <c r="BY125" s="68"/>
      <c r="BZ125" s="68"/>
      <c r="CA125" s="68"/>
      <c r="CB125" s="68"/>
      <c r="CC125" s="68"/>
      <c r="CD125" s="68"/>
      <c r="CE125" s="68"/>
      <c r="CF125" s="68"/>
      <c r="CG125" s="68"/>
      <c r="CH125" s="68"/>
      <c r="CI125" s="68"/>
      <c r="CJ125" s="68"/>
      <c r="CK125" s="68"/>
      <c r="CL125" s="68"/>
      <c r="CM125" s="68"/>
      <c r="CN125" s="68"/>
      <c r="CO125" s="68"/>
      <c r="CP125" s="68"/>
      <c r="CQ125" s="68"/>
      <c r="CR125" s="68"/>
      <c r="CS125" s="68"/>
      <c r="CT125" s="68"/>
      <c r="CU125" s="68"/>
      <c r="CV125" s="68"/>
      <c r="CW125" s="68"/>
      <c r="CX125" s="68"/>
      <c r="CY125" s="68"/>
      <c r="CZ125" s="68"/>
      <c r="DA125" s="68"/>
      <c r="DB125" s="68"/>
      <c r="DC125" s="68"/>
      <c r="DD125" s="68"/>
      <c r="DE125" s="68"/>
      <c r="DF125" s="68"/>
      <c r="DG125" s="68"/>
      <c r="DH125" s="68"/>
      <c r="DI125" s="68"/>
      <c r="DJ125" s="68"/>
      <c r="DK125" s="68"/>
      <c r="DL125" s="68"/>
      <c r="DM125" s="68"/>
      <c r="DN125" s="68"/>
      <c r="DO125" s="68"/>
      <c r="DP125" s="68"/>
      <c r="DQ125" s="68"/>
      <c r="DR125" s="68"/>
      <c r="DS125" s="68"/>
      <c r="DT125" s="68"/>
      <c r="DU125" s="68"/>
      <c r="DV125" s="68"/>
      <c r="DW125" s="68"/>
      <c r="DX125" s="68"/>
      <c r="DY125" s="68"/>
      <c r="DZ125" s="68"/>
      <c r="EA125" s="68"/>
      <c r="EB125" s="68"/>
      <c r="EC125" s="68"/>
      <c r="ED125" s="68"/>
      <c r="EE125" s="68"/>
      <c r="EF125" s="68"/>
      <c r="EG125" s="68"/>
      <c r="EH125" s="68"/>
      <c r="EI125" s="68"/>
      <c r="EJ125" s="68"/>
    </row>
    <row r="126" spans="1:140" s="78" customFormat="1">
      <c r="A126" s="83">
        <v>5</v>
      </c>
      <c r="B126" s="96" t="s">
        <v>18</v>
      </c>
      <c r="C126" s="85"/>
      <c r="D126" s="94">
        <f t="shared" ref="D126:J126" si="57">SUM(D124:D125)</f>
        <v>0</v>
      </c>
      <c r="E126" s="94">
        <f t="shared" si="57"/>
        <v>0</v>
      </c>
      <c r="F126" s="94">
        <f t="shared" si="57"/>
        <v>-1849328.459242271</v>
      </c>
      <c r="G126" s="94">
        <f t="shared" si="57"/>
        <v>0</v>
      </c>
      <c r="H126" s="94"/>
      <c r="I126" s="94">
        <f t="shared" si="57"/>
        <v>0</v>
      </c>
      <c r="J126" s="94">
        <f t="shared" si="57"/>
        <v>-1849328.459242271</v>
      </c>
      <c r="K126" s="77"/>
      <c r="L126" s="94">
        <f t="shared" ref="L126:Q126" si="58">SUM(L124:L125)</f>
        <v>0</v>
      </c>
      <c r="M126" s="94">
        <f t="shared" si="58"/>
        <v>0</v>
      </c>
      <c r="N126" s="94"/>
      <c r="O126" s="94">
        <f t="shared" si="58"/>
        <v>0</v>
      </c>
      <c r="P126" s="94">
        <f t="shared" si="58"/>
        <v>0</v>
      </c>
      <c r="Q126" s="94">
        <f t="shared" si="58"/>
        <v>0</v>
      </c>
      <c r="R126" s="86">
        <f>SUM(L126:Q126)</f>
        <v>0</v>
      </c>
      <c r="S126" s="86"/>
      <c r="T126" s="84">
        <f>R126+J126</f>
        <v>-1849328.459242271</v>
      </c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  <c r="AO126" s="68"/>
      <c r="AP126" s="68"/>
      <c r="AQ126" s="68"/>
      <c r="AR126" s="68"/>
      <c r="AS126" s="68"/>
      <c r="AT126" s="68"/>
      <c r="AU126" s="68"/>
      <c r="AV126" s="68"/>
      <c r="AW126" s="68"/>
      <c r="AX126" s="68"/>
      <c r="AY126" s="68"/>
      <c r="AZ126" s="68"/>
      <c r="BA126" s="68"/>
      <c r="BB126" s="68"/>
      <c r="BC126" s="68"/>
      <c r="BD126" s="68"/>
      <c r="BE126" s="68"/>
      <c r="BF126" s="68"/>
      <c r="BG126" s="68"/>
      <c r="BH126" s="68"/>
      <c r="BI126" s="68"/>
      <c r="BJ126" s="68"/>
      <c r="BK126" s="68"/>
      <c r="BL126" s="68"/>
      <c r="BM126" s="68"/>
      <c r="BN126" s="68"/>
      <c r="BO126" s="68"/>
      <c r="BP126" s="68"/>
      <c r="BQ126" s="68"/>
      <c r="BR126" s="68"/>
      <c r="BS126" s="68"/>
      <c r="BT126" s="68"/>
      <c r="BU126" s="68"/>
      <c r="BV126" s="68"/>
      <c r="BW126" s="68"/>
      <c r="BX126" s="68"/>
      <c r="BY126" s="68"/>
      <c r="BZ126" s="68"/>
      <c r="CA126" s="68"/>
      <c r="CB126" s="68"/>
      <c r="CC126" s="68"/>
      <c r="CD126" s="68"/>
      <c r="CE126" s="68"/>
      <c r="CF126" s="68"/>
      <c r="CG126" s="68"/>
      <c r="CH126" s="68"/>
      <c r="CI126" s="68"/>
      <c r="CJ126" s="68"/>
      <c r="CK126" s="68"/>
      <c r="CL126" s="68"/>
      <c r="CM126" s="68"/>
      <c r="CN126" s="68"/>
      <c r="CO126" s="68"/>
      <c r="CP126" s="68"/>
      <c r="CQ126" s="68"/>
      <c r="CR126" s="68"/>
      <c r="CS126" s="68"/>
      <c r="CT126" s="68"/>
      <c r="CU126" s="68"/>
      <c r="CV126" s="68"/>
      <c r="CW126" s="68"/>
      <c r="CX126" s="68"/>
      <c r="CY126" s="68"/>
      <c r="CZ126" s="68"/>
      <c r="DA126" s="68"/>
      <c r="DB126" s="68"/>
      <c r="DC126" s="68"/>
      <c r="DD126" s="68"/>
      <c r="DE126" s="68"/>
      <c r="DF126" s="68"/>
      <c r="DG126" s="68"/>
      <c r="DH126" s="68"/>
      <c r="DI126" s="68"/>
      <c r="DJ126" s="68"/>
      <c r="DK126" s="68"/>
      <c r="DL126" s="68"/>
      <c r="DM126" s="68"/>
      <c r="DN126" s="68"/>
      <c r="DO126" s="68"/>
      <c r="DP126" s="68"/>
      <c r="DQ126" s="68"/>
      <c r="DR126" s="68"/>
      <c r="DS126" s="68"/>
      <c r="DT126" s="68"/>
      <c r="DU126" s="68"/>
      <c r="DV126" s="68"/>
      <c r="DW126" s="68"/>
      <c r="DX126" s="68"/>
      <c r="DY126" s="68"/>
      <c r="DZ126" s="68"/>
      <c r="EA126" s="68"/>
      <c r="EB126" s="68"/>
      <c r="EC126" s="68"/>
      <c r="ED126" s="68"/>
      <c r="EE126" s="68"/>
      <c r="EF126" s="68"/>
      <c r="EG126" s="68"/>
      <c r="EH126" s="68"/>
      <c r="EI126" s="68"/>
      <c r="EJ126" s="68"/>
    </row>
    <row r="127" spans="1:140" s="78" customFormat="1">
      <c r="B127" s="146"/>
      <c r="C127" s="85"/>
      <c r="D127" s="94"/>
      <c r="E127" s="94"/>
      <c r="F127" s="94"/>
      <c r="G127" s="94"/>
      <c r="H127" s="94"/>
      <c r="I127" s="94"/>
      <c r="J127" s="94"/>
      <c r="K127" s="77"/>
      <c r="L127" s="94"/>
      <c r="M127" s="94"/>
      <c r="N127" s="94"/>
      <c r="O127" s="94"/>
      <c r="P127" s="94"/>
      <c r="Q127" s="94"/>
      <c r="R127" s="68"/>
      <c r="S127" s="68"/>
      <c r="T127" s="84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  <c r="AO127" s="68"/>
      <c r="AP127" s="68"/>
      <c r="AQ127" s="68"/>
      <c r="AR127" s="68"/>
      <c r="AS127" s="68"/>
      <c r="AT127" s="68"/>
      <c r="AU127" s="68"/>
      <c r="AV127" s="68"/>
      <c r="AW127" s="68"/>
      <c r="AX127" s="68"/>
      <c r="AY127" s="68"/>
      <c r="AZ127" s="68"/>
      <c r="BA127" s="68"/>
      <c r="BB127" s="68"/>
      <c r="BC127" s="68"/>
      <c r="BD127" s="68"/>
      <c r="BE127" s="68"/>
      <c r="BF127" s="68"/>
      <c r="BG127" s="68"/>
      <c r="BH127" s="68"/>
      <c r="BI127" s="68"/>
      <c r="BJ127" s="68"/>
      <c r="BK127" s="68"/>
      <c r="BL127" s="68"/>
      <c r="BM127" s="68"/>
      <c r="BN127" s="68"/>
      <c r="BO127" s="68"/>
      <c r="BP127" s="68"/>
      <c r="BQ127" s="68"/>
      <c r="BR127" s="68"/>
      <c r="BS127" s="68"/>
      <c r="BT127" s="68"/>
      <c r="BU127" s="68"/>
      <c r="BV127" s="68"/>
      <c r="BW127" s="68"/>
      <c r="BX127" s="68"/>
      <c r="BY127" s="68"/>
      <c r="BZ127" s="68"/>
      <c r="CA127" s="68"/>
      <c r="CB127" s="68"/>
      <c r="CC127" s="68"/>
      <c r="CD127" s="68"/>
      <c r="CE127" s="68"/>
      <c r="CF127" s="68"/>
      <c r="CG127" s="68"/>
      <c r="CH127" s="68"/>
      <c r="CI127" s="68"/>
      <c r="CJ127" s="68"/>
      <c r="CK127" s="68"/>
      <c r="CL127" s="68"/>
      <c r="CM127" s="68"/>
      <c r="CN127" s="68"/>
      <c r="CO127" s="68"/>
      <c r="CP127" s="68"/>
      <c r="CQ127" s="68"/>
      <c r="CR127" s="68"/>
      <c r="CS127" s="68"/>
      <c r="CT127" s="68"/>
      <c r="CU127" s="68"/>
      <c r="CV127" s="68"/>
      <c r="CW127" s="68"/>
      <c r="CX127" s="68"/>
      <c r="CY127" s="68"/>
      <c r="CZ127" s="68"/>
      <c r="DA127" s="68"/>
      <c r="DB127" s="68"/>
      <c r="DC127" s="68"/>
      <c r="DD127" s="68"/>
      <c r="DE127" s="68"/>
      <c r="DF127" s="68"/>
      <c r="DG127" s="68"/>
      <c r="DH127" s="68"/>
      <c r="DI127" s="68"/>
      <c r="DJ127" s="68"/>
      <c r="DK127" s="68"/>
      <c r="DL127" s="68"/>
      <c r="DM127" s="68"/>
      <c r="DN127" s="68"/>
      <c r="DO127" s="68"/>
      <c r="DP127" s="68"/>
      <c r="DQ127" s="68"/>
      <c r="DR127" s="68"/>
      <c r="DS127" s="68"/>
      <c r="DT127" s="68"/>
      <c r="DU127" s="68"/>
      <c r="DV127" s="68"/>
      <c r="DW127" s="68"/>
      <c r="DX127" s="68"/>
      <c r="DY127" s="68"/>
      <c r="DZ127" s="68"/>
      <c r="EA127" s="68"/>
      <c r="EB127" s="68"/>
      <c r="EC127" s="68"/>
      <c r="ED127" s="68"/>
      <c r="EE127" s="68"/>
      <c r="EF127" s="68"/>
      <c r="EG127" s="68"/>
      <c r="EH127" s="68"/>
      <c r="EI127" s="68"/>
      <c r="EJ127" s="68"/>
    </row>
    <row r="128" spans="1:140" s="78" customFormat="1">
      <c r="A128" s="83">
        <v>6</v>
      </c>
      <c r="B128" s="87" t="s">
        <v>82</v>
      </c>
      <c r="C128" s="74" t="s">
        <v>5</v>
      </c>
      <c r="D128" s="71"/>
      <c r="E128" s="71"/>
      <c r="F128" s="84">
        <f>'II-H-4.1 Monthly'!P326</f>
        <v>-18720.382406259152</v>
      </c>
      <c r="G128" s="71"/>
      <c r="H128" s="71"/>
      <c r="I128" s="71"/>
      <c r="J128" s="84">
        <f>SUM(D128:I128)</f>
        <v>-18720.382406259152</v>
      </c>
      <c r="K128" s="84"/>
      <c r="L128" s="71"/>
      <c r="M128" s="71"/>
      <c r="N128" s="71"/>
      <c r="O128" s="71"/>
      <c r="P128" s="71"/>
      <c r="Q128" s="71"/>
      <c r="R128" s="84">
        <f>SUM(L128:Q128)</f>
        <v>0</v>
      </c>
      <c r="S128" s="84"/>
      <c r="T128" s="84">
        <f>R128+J128</f>
        <v>-18720.382406259152</v>
      </c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8"/>
      <c r="AO128" s="68"/>
      <c r="AP128" s="68"/>
      <c r="AQ128" s="68"/>
      <c r="AR128" s="68"/>
      <c r="AS128" s="68"/>
      <c r="AT128" s="68"/>
      <c r="AU128" s="68"/>
      <c r="AV128" s="68"/>
      <c r="AW128" s="68"/>
      <c r="AX128" s="68"/>
      <c r="AY128" s="68"/>
      <c r="AZ128" s="68"/>
      <c r="BA128" s="68"/>
      <c r="BB128" s="68"/>
      <c r="BC128" s="68"/>
      <c r="BD128" s="68"/>
      <c r="BE128" s="68"/>
      <c r="BF128" s="68"/>
      <c r="BG128" s="68"/>
      <c r="BH128" s="68"/>
      <c r="BI128" s="68"/>
      <c r="BJ128" s="68"/>
      <c r="BK128" s="68"/>
      <c r="BL128" s="68"/>
      <c r="BM128" s="68"/>
      <c r="BN128" s="68"/>
      <c r="BO128" s="68"/>
      <c r="BP128" s="68"/>
      <c r="BQ128" s="68"/>
      <c r="BR128" s="68"/>
      <c r="BS128" s="68"/>
      <c r="BT128" s="68"/>
      <c r="BU128" s="68"/>
      <c r="BV128" s="68"/>
      <c r="BW128" s="68"/>
      <c r="BX128" s="68"/>
      <c r="BY128" s="68"/>
      <c r="BZ128" s="68"/>
      <c r="CA128" s="68"/>
      <c r="CB128" s="68"/>
      <c r="CC128" s="68"/>
      <c r="CD128" s="68"/>
      <c r="CE128" s="68"/>
      <c r="CF128" s="68"/>
      <c r="CG128" s="68"/>
      <c r="CH128" s="68"/>
      <c r="CI128" s="68"/>
      <c r="CJ128" s="68"/>
      <c r="CK128" s="68"/>
      <c r="CL128" s="68"/>
      <c r="CM128" s="68"/>
      <c r="CN128" s="68"/>
      <c r="CO128" s="68"/>
      <c r="CP128" s="68"/>
      <c r="CQ128" s="68"/>
      <c r="CR128" s="68"/>
      <c r="CS128" s="68"/>
      <c r="CT128" s="68"/>
      <c r="CU128" s="68"/>
      <c r="CV128" s="68"/>
      <c r="CW128" s="68"/>
      <c r="CX128" s="68"/>
      <c r="CY128" s="68"/>
      <c r="CZ128" s="68"/>
      <c r="DA128" s="68"/>
      <c r="DB128" s="68"/>
      <c r="DC128" s="68"/>
      <c r="DD128" s="68"/>
      <c r="DE128" s="68"/>
      <c r="DF128" s="68"/>
      <c r="DG128" s="68"/>
      <c r="DH128" s="68"/>
      <c r="DI128" s="68"/>
      <c r="DJ128" s="68"/>
      <c r="DK128" s="68"/>
      <c r="DL128" s="68"/>
      <c r="DM128" s="68"/>
      <c r="DN128" s="68"/>
      <c r="DO128" s="68"/>
      <c r="DP128" s="68"/>
      <c r="DQ128" s="68"/>
      <c r="DR128" s="68"/>
      <c r="DS128" s="68"/>
      <c r="DT128" s="68"/>
      <c r="DU128" s="68"/>
      <c r="DV128" s="68"/>
      <c r="DW128" s="68"/>
      <c r="DX128" s="68"/>
      <c r="DY128" s="68"/>
      <c r="DZ128" s="68"/>
      <c r="EA128" s="68"/>
      <c r="EB128" s="68"/>
      <c r="EC128" s="68"/>
      <c r="ED128" s="68"/>
      <c r="EE128" s="68"/>
      <c r="EF128" s="68"/>
      <c r="EG128" s="68"/>
      <c r="EH128" s="68"/>
      <c r="EI128" s="68"/>
      <c r="EJ128" s="68"/>
    </row>
    <row r="129" spans="1:140" s="78" customFormat="1">
      <c r="A129" s="83">
        <v>7</v>
      </c>
      <c r="B129" s="87" t="s">
        <v>83</v>
      </c>
      <c r="C129" s="74" t="s">
        <v>5</v>
      </c>
      <c r="D129" s="84"/>
      <c r="E129" s="84"/>
      <c r="F129" s="84">
        <f>'II-H-4.1 Monthly'!P327</f>
        <v>-215756.38613317811</v>
      </c>
      <c r="G129" s="84"/>
      <c r="H129" s="84"/>
      <c r="I129" s="84"/>
      <c r="J129" s="84">
        <f>SUM(D129:I129)</f>
        <v>-215756.38613317811</v>
      </c>
      <c r="K129" s="84"/>
      <c r="L129" s="84"/>
      <c r="M129" s="84"/>
      <c r="N129" s="84"/>
      <c r="O129" s="84"/>
      <c r="P129" s="84"/>
      <c r="Q129" s="84"/>
      <c r="R129" s="84">
        <f>SUM(L129:Q129)</f>
        <v>0</v>
      </c>
      <c r="S129" s="84"/>
      <c r="T129" s="84">
        <f>R129+J129</f>
        <v>-215756.38613317811</v>
      </c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  <c r="AO129" s="68"/>
      <c r="AP129" s="68"/>
      <c r="AQ129" s="68"/>
      <c r="AR129" s="68"/>
      <c r="AS129" s="68"/>
      <c r="AT129" s="68"/>
      <c r="AU129" s="68"/>
      <c r="AV129" s="68"/>
      <c r="AW129" s="68"/>
      <c r="AX129" s="68"/>
      <c r="AY129" s="68"/>
      <c r="AZ129" s="68"/>
      <c r="BA129" s="68"/>
      <c r="BB129" s="68"/>
      <c r="BC129" s="68"/>
      <c r="BD129" s="68"/>
      <c r="BE129" s="68"/>
      <c r="BF129" s="68"/>
      <c r="BG129" s="68"/>
      <c r="BH129" s="68"/>
      <c r="BI129" s="68"/>
      <c r="BJ129" s="68"/>
      <c r="BK129" s="68"/>
      <c r="BL129" s="68"/>
      <c r="BM129" s="68"/>
      <c r="BN129" s="68"/>
      <c r="BO129" s="68"/>
      <c r="BP129" s="68"/>
      <c r="BQ129" s="68"/>
      <c r="BR129" s="68"/>
      <c r="BS129" s="68"/>
      <c r="BT129" s="68"/>
      <c r="BU129" s="68"/>
      <c r="BV129" s="68"/>
      <c r="BW129" s="68"/>
      <c r="BX129" s="68"/>
      <c r="BY129" s="68"/>
      <c r="BZ129" s="68"/>
      <c r="CA129" s="68"/>
      <c r="CB129" s="68"/>
      <c r="CC129" s="68"/>
      <c r="CD129" s="68"/>
      <c r="CE129" s="68"/>
      <c r="CF129" s="68"/>
      <c r="CG129" s="68"/>
      <c r="CH129" s="68"/>
      <c r="CI129" s="68"/>
      <c r="CJ129" s="68"/>
      <c r="CK129" s="68"/>
      <c r="CL129" s="68"/>
      <c r="CM129" s="68"/>
      <c r="CN129" s="68"/>
      <c r="CO129" s="68"/>
      <c r="CP129" s="68"/>
      <c r="CQ129" s="68"/>
      <c r="CR129" s="68"/>
      <c r="CS129" s="68"/>
      <c r="CT129" s="68"/>
      <c r="CU129" s="68"/>
      <c r="CV129" s="68"/>
      <c r="CW129" s="68"/>
      <c r="CX129" s="68"/>
      <c r="CY129" s="68"/>
      <c r="CZ129" s="68"/>
      <c r="DA129" s="68"/>
      <c r="DB129" s="68"/>
      <c r="DC129" s="68"/>
      <c r="DD129" s="68"/>
      <c r="DE129" s="68"/>
      <c r="DF129" s="68"/>
      <c r="DG129" s="68"/>
      <c r="DH129" s="68"/>
      <c r="DI129" s="68"/>
      <c r="DJ129" s="68"/>
      <c r="DK129" s="68"/>
      <c r="DL129" s="68"/>
      <c r="DM129" s="68"/>
      <c r="DN129" s="68"/>
      <c r="DO129" s="68"/>
      <c r="DP129" s="68"/>
      <c r="DQ129" s="68"/>
      <c r="DR129" s="68"/>
      <c r="DS129" s="68"/>
      <c r="DT129" s="68"/>
      <c r="DU129" s="68"/>
      <c r="DV129" s="68"/>
      <c r="DW129" s="68"/>
      <c r="DX129" s="68"/>
      <c r="DY129" s="68"/>
      <c r="DZ129" s="68"/>
      <c r="EA129" s="68"/>
      <c r="EB129" s="68"/>
      <c r="EC129" s="68"/>
      <c r="ED129" s="68"/>
      <c r="EE129" s="68"/>
      <c r="EF129" s="68"/>
      <c r="EG129" s="68"/>
      <c r="EH129" s="68"/>
      <c r="EI129" s="68"/>
      <c r="EJ129" s="68"/>
    </row>
    <row r="130" spans="1:140" s="78" customFormat="1">
      <c r="A130" s="83">
        <v>8</v>
      </c>
      <c r="B130" s="87" t="s">
        <v>148</v>
      </c>
      <c r="C130" s="74" t="s">
        <v>5</v>
      </c>
      <c r="D130" s="84"/>
      <c r="E130" s="84"/>
      <c r="F130" s="84">
        <f>'II-H-4.1 Monthly'!P328</f>
        <v>0</v>
      </c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  <c r="AO130" s="68"/>
      <c r="AP130" s="68"/>
      <c r="AQ130" s="68"/>
      <c r="AR130" s="68"/>
      <c r="AS130" s="68"/>
      <c r="AT130" s="68"/>
      <c r="AU130" s="68"/>
      <c r="AV130" s="68"/>
      <c r="AW130" s="68"/>
      <c r="AX130" s="68"/>
      <c r="AY130" s="68"/>
      <c r="AZ130" s="68"/>
      <c r="BA130" s="68"/>
      <c r="BB130" s="68"/>
      <c r="BC130" s="68"/>
      <c r="BD130" s="68"/>
      <c r="BE130" s="68"/>
      <c r="BF130" s="68"/>
      <c r="BG130" s="68"/>
      <c r="BH130" s="68"/>
      <c r="BI130" s="68"/>
      <c r="BJ130" s="68"/>
      <c r="BK130" s="68"/>
      <c r="BL130" s="68"/>
      <c r="BM130" s="68"/>
      <c r="BN130" s="68"/>
      <c r="BO130" s="68"/>
      <c r="BP130" s="68"/>
      <c r="BQ130" s="68"/>
      <c r="BR130" s="68"/>
      <c r="BS130" s="68"/>
      <c r="BT130" s="68"/>
      <c r="BU130" s="68"/>
      <c r="BV130" s="68"/>
      <c r="BW130" s="68"/>
      <c r="BX130" s="68"/>
      <c r="BY130" s="68"/>
      <c r="BZ130" s="68"/>
      <c r="CA130" s="68"/>
      <c r="CB130" s="68"/>
      <c r="CC130" s="68"/>
      <c r="CD130" s="68"/>
      <c r="CE130" s="68"/>
      <c r="CF130" s="68"/>
      <c r="CG130" s="68"/>
      <c r="CH130" s="68"/>
      <c r="CI130" s="68"/>
      <c r="CJ130" s="68"/>
      <c r="CK130" s="68"/>
      <c r="CL130" s="68"/>
      <c r="CM130" s="68"/>
      <c r="CN130" s="68"/>
      <c r="CO130" s="68"/>
      <c r="CP130" s="68"/>
      <c r="CQ130" s="68"/>
      <c r="CR130" s="68"/>
      <c r="CS130" s="68"/>
      <c r="CT130" s="68"/>
      <c r="CU130" s="68"/>
      <c r="CV130" s="68"/>
      <c r="CW130" s="68"/>
      <c r="CX130" s="68"/>
      <c r="CY130" s="68"/>
      <c r="CZ130" s="68"/>
      <c r="DA130" s="68"/>
      <c r="DB130" s="68"/>
      <c r="DC130" s="68"/>
      <c r="DD130" s="68"/>
      <c r="DE130" s="68"/>
      <c r="DF130" s="68"/>
      <c r="DG130" s="68"/>
      <c r="DH130" s="68"/>
      <c r="DI130" s="68"/>
      <c r="DJ130" s="68"/>
      <c r="DK130" s="68"/>
      <c r="DL130" s="68"/>
      <c r="DM130" s="68"/>
      <c r="DN130" s="68"/>
      <c r="DO130" s="68"/>
      <c r="DP130" s="68"/>
      <c r="DQ130" s="68"/>
      <c r="DR130" s="68"/>
      <c r="DS130" s="68"/>
      <c r="DT130" s="68"/>
      <c r="DU130" s="68"/>
      <c r="DV130" s="68"/>
      <c r="DW130" s="68"/>
      <c r="DX130" s="68"/>
      <c r="DY130" s="68"/>
      <c r="DZ130" s="68"/>
      <c r="EA130" s="68"/>
      <c r="EB130" s="68"/>
      <c r="EC130" s="68"/>
      <c r="ED130" s="68"/>
      <c r="EE130" s="68"/>
      <c r="EF130" s="68"/>
      <c r="EG130" s="68"/>
      <c r="EH130" s="68"/>
      <c r="EI130" s="68"/>
      <c r="EJ130" s="68"/>
    </row>
    <row r="131" spans="1:140" s="78" customFormat="1">
      <c r="A131" s="83">
        <v>9</v>
      </c>
      <c r="B131" s="87" t="s">
        <v>149</v>
      </c>
      <c r="C131" s="74" t="s">
        <v>5</v>
      </c>
      <c r="D131" s="72"/>
      <c r="E131" s="72"/>
      <c r="F131" s="72">
        <f>'II-H-4.1 Monthly'!P329</f>
        <v>0</v>
      </c>
      <c r="G131" s="72"/>
      <c r="H131" s="72"/>
      <c r="I131" s="72"/>
      <c r="J131" s="72"/>
      <c r="K131" s="84"/>
      <c r="L131" s="72"/>
      <c r="M131" s="72"/>
      <c r="N131" s="72"/>
      <c r="O131" s="72"/>
      <c r="P131" s="72"/>
      <c r="Q131" s="72"/>
      <c r="R131" s="72"/>
      <c r="S131" s="84"/>
      <c r="T131" s="72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  <c r="AO131" s="68"/>
      <c r="AP131" s="68"/>
      <c r="AQ131" s="68"/>
      <c r="AR131" s="68"/>
      <c r="AS131" s="68"/>
      <c r="AT131" s="68"/>
      <c r="AU131" s="68"/>
      <c r="AV131" s="68"/>
      <c r="AW131" s="68"/>
      <c r="AX131" s="68"/>
      <c r="AY131" s="68"/>
      <c r="AZ131" s="68"/>
      <c r="BA131" s="68"/>
      <c r="BB131" s="68"/>
      <c r="BC131" s="68"/>
      <c r="BD131" s="68"/>
      <c r="BE131" s="68"/>
      <c r="BF131" s="68"/>
      <c r="BG131" s="68"/>
      <c r="BH131" s="68"/>
      <c r="BI131" s="68"/>
      <c r="BJ131" s="68"/>
      <c r="BK131" s="68"/>
      <c r="BL131" s="68"/>
      <c r="BM131" s="68"/>
      <c r="BN131" s="68"/>
      <c r="BO131" s="68"/>
      <c r="BP131" s="68"/>
      <c r="BQ131" s="68"/>
      <c r="BR131" s="68"/>
      <c r="BS131" s="68"/>
      <c r="BT131" s="68"/>
      <c r="BU131" s="68"/>
      <c r="BV131" s="68"/>
      <c r="BW131" s="68"/>
      <c r="BX131" s="68"/>
      <c r="BY131" s="68"/>
      <c r="BZ131" s="68"/>
      <c r="CA131" s="68"/>
      <c r="CB131" s="68"/>
      <c r="CC131" s="68"/>
      <c r="CD131" s="68"/>
      <c r="CE131" s="68"/>
      <c r="CF131" s="68"/>
      <c r="CG131" s="68"/>
      <c r="CH131" s="68"/>
      <c r="CI131" s="68"/>
      <c r="CJ131" s="68"/>
      <c r="CK131" s="68"/>
      <c r="CL131" s="68"/>
      <c r="CM131" s="68"/>
      <c r="CN131" s="68"/>
      <c r="CO131" s="68"/>
      <c r="CP131" s="68"/>
      <c r="CQ131" s="68"/>
      <c r="CR131" s="68"/>
      <c r="CS131" s="68"/>
      <c r="CT131" s="68"/>
      <c r="CU131" s="68"/>
      <c r="CV131" s="68"/>
      <c r="CW131" s="68"/>
      <c r="CX131" s="68"/>
      <c r="CY131" s="68"/>
      <c r="CZ131" s="68"/>
      <c r="DA131" s="68"/>
      <c r="DB131" s="68"/>
      <c r="DC131" s="68"/>
      <c r="DD131" s="68"/>
      <c r="DE131" s="68"/>
      <c r="DF131" s="68"/>
      <c r="DG131" s="68"/>
      <c r="DH131" s="68"/>
      <c r="DI131" s="68"/>
      <c r="DJ131" s="68"/>
      <c r="DK131" s="68"/>
      <c r="DL131" s="68"/>
      <c r="DM131" s="68"/>
      <c r="DN131" s="68"/>
      <c r="DO131" s="68"/>
      <c r="DP131" s="68"/>
      <c r="DQ131" s="68"/>
      <c r="DR131" s="68"/>
      <c r="DS131" s="68"/>
      <c r="DT131" s="68"/>
      <c r="DU131" s="68"/>
      <c r="DV131" s="68"/>
      <c r="DW131" s="68"/>
      <c r="DX131" s="68"/>
      <c r="DY131" s="68"/>
      <c r="DZ131" s="68"/>
      <c r="EA131" s="68"/>
      <c r="EB131" s="68"/>
      <c r="EC131" s="68"/>
      <c r="ED131" s="68"/>
      <c r="EE131" s="68"/>
      <c r="EF131" s="68"/>
      <c r="EG131" s="68"/>
      <c r="EH131" s="68"/>
      <c r="EI131" s="68"/>
      <c r="EJ131" s="68"/>
    </row>
    <row r="132" spans="1:140" s="78" customFormat="1">
      <c r="A132" s="83">
        <v>10</v>
      </c>
      <c r="B132" s="78" t="s">
        <v>19</v>
      </c>
      <c r="C132" s="74"/>
      <c r="D132" s="71">
        <f>SUM(D128:D131)</f>
        <v>0</v>
      </c>
      <c r="E132" s="71">
        <f t="shared" ref="E132:J132" si="59">SUM(E128:E131)</f>
        <v>0</v>
      </c>
      <c r="F132" s="71">
        <f t="shared" si="59"/>
        <v>-234476.76853943727</v>
      </c>
      <c r="G132" s="71">
        <f t="shared" si="59"/>
        <v>0</v>
      </c>
      <c r="H132" s="71">
        <f t="shared" si="59"/>
        <v>0</v>
      </c>
      <c r="I132" s="71">
        <f t="shared" si="59"/>
        <v>0</v>
      </c>
      <c r="J132" s="71">
        <f t="shared" si="59"/>
        <v>-234476.76853943727</v>
      </c>
      <c r="K132" s="84"/>
      <c r="L132" s="71">
        <f t="shared" ref="L132:Q132" si="60">SUM(L128:L129)</f>
        <v>0</v>
      </c>
      <c r="M132" s="71">
        <f t="shared" si="60"/>
        <v>0</v>
      </c>
      <c r="N132" s="71"/>
      <c r="O132" s="71">
        <f t="shared" si="60"/>
        <v>0</v>
      </c>
      <c r="P132" s="71">
        <f t="shared" si="60"/>
        <v>0</v>
      </c>
      <c r="Q132" s="71">
        <f t="shared" si="60"/>
        <v>0</v>
      </c>
      <c r="R132" s="86">
        <f>SUM(L132:Q132)</f>
        <v>0</v>
      </c>
      <c r="S132" s="86"/>
      <c r="T132" s="84">
        <f>R132+J132</f>
        <v>-234476.76853943727</v>
      </c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  <c r="AO132" s="68"/>
      <c r="AP132" s="68"/>
      <c r="AQ132" s="68"/>
      <c r="AR132" s="68"/>
      <c r="AS132" s="68"/>
      <c r="AT132" s="68"/>
      <c r="AU132" s="68"/>
      <c r="AV132" s="68"/>
      <c r="AW132" s="68"/>
      <c r="AX132" s="68"/>
      <c r="AY132" s="68"/>
      <c r="AZ132" s="68"/>
      <c r="BA132" s="68"/>
      <c r="BB132" s="68"/>
      <c r="BC132" s="68"/>
      <c r="BD132" s="68"/>
      <c r="BE132" s="68"/>
      <c r="BF132" s="68"/>
      <c r="BG132" s="68"/>
      <c r="BH132" s="68"/>
      <c r="BI132" s="68"/>
      <c r="BJ132" s="68"/>
      <c r="BK132" s="68"/>
      <c r="BL132" s="68"/>
      <c r="BM132" s="68"/>
      <c r="BN132" s="68"/>
      <c r="BO132" s="68"/>
      <c r="BP132" s="68"/>
      <c r="BQ132" s="68"/>
      <c r="BR132" s="68"/>
      <c r="BS132" s="68"/>
      <c r="BT132" s="68"/>
      <c r="BU132" s="68"/>
      <c r="BV132" s="68"/>
      <c r="BW132" s="68"/>
      <c r="BX132" s="68"/>
      <c r="BY132" s="68"/>
      <c r="BZ132" s="68"/>
      <c r="CA132" s="68"/>
      <c r="CB132" s="68"/>
      <c r="CC132" s="68"/>
      <c r="CD132" s="68"/>
      <c r="CE132" s="68"/>
      <c r="CF132" s="68"/>
      <c r="CG132" s="68"/>
      <c r="CH132" s="68"/>
      <c r="CI132" s="68"/>
      <c r="CJ132" s="68"/>
      <c r="CK132" s="68"/>
      <c r="CL132" s="68"/>
      <c r="CM132" s="68"/>
      <c r="CN132" s="68"/>
      <c r="CO132" s="68"/>
      <c r="CP132" s="68"/>
      <c r="CQ132" s="68"/>
      <c r="CR132" s="68"/>
      <c r="CS132" s="68"/>
      <c r="CT132" s="68"/>
      <c r="CU132" s="68"/>
      <c r="CV132" s="68"/>
      <c r="CW132" s="68"/>
      <c r="CX132" s="68"/>
      <c r="CY132" s="68"/>
      <c r="CZ132" s="68"/>
      <c r="DA132" s="68"/>
      <c r="DB132" s="68"/>
      <c r="DC132" s="68"/>
      <c r="DD132" s="68"/>
      <c r="DE132" s="68"/>
      <c r="DF132" s="68"/>
      <c r="DG132" s="68"/>
      <c r="DH132" s="68"/>
      <c r="DI132" s="68"/>
      <c r="DJ132" s="68"/>
      <c r="DK132" s="68"/>
      <c r="DL132" s="68"/>
      <c r="DM132" s="68"/>
      <c r="DN132" s="68"/>
      <c r="DO132" s="68"/>
      <c r="DP132" s="68"/>
      <c r="DQ132" s="68"/>
      <c r="DR132" s="68"/>
      <c r="DS132" s="68"/>
      <c r="DT132" s="68"/>
      <c r="DU132" s="68"/>
      <c r="DV132" s="68"/>
      <c r="DW132" s="68"/>
      <c r="DX132" s="68"/>
      <c r="DY132" s="68"/>
      <c r="DZ132" s="68"/>
      <c r="EA132" s="68"/>
      <c r="EB132" s="68"/>
      <c r="EC132" s="68"/>
      <c r="ED132" s="68"/>
      <c r="EE132" s="68"/>
      <c r="EF132" s="68"/>
      <c r="EG132" s="68"/>
      <c r="EH132" s="68"/>
      <c r="EI132" s="68"/>
      <c r="EJ132" s="68"/>
    </row>
    <row r="133" spans="1:140" s="78" customFormat="1">
      <c r="A133" s="83"/>
      <c r="C133" s="74"/>
      <c r="D133" s="71"/>
      <c r="E133" s="71"/>
      <c r="F133" s="71"/>
      <c r="G133" s="71"/>
      <c r="H133" s="71"/>
      <c r="I133" s="71"/>
      <c r="J133" s="71"/>
      <c r="K133" s="84"/>
      <c r="L133" s="71"/>
      <c r="M133" s="71"/>
      <c r="N133" s="71"/>
      <c r="O133" s="71"/>
      <c r="P133" s="71"/>
      <c r="Q133" s="71"/>
      <c r="R133" s="68"/>
      <c r="S133" s="68"/>
      <c r="T133" s="84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  <c r="AO133" s="68"/>
      <c r="AP133" s="68"/>
      <c r="AQ133" s="68"/>
      <c r="AR133" s="68"/>
      <c r="AS133" s="68"/>
      <c r="AT133" s="68"/>
      <c r="AU133" s="68"/>
      <c r="AV133" s="68"/>
      <c r="AW133" s="68"/>
      <c r="AX133" s="68"/>
      <c r="AY133" s="68"/>
      <c r="AZ133" s="68"/>
      <c r="BA133" s="68"/>
      <c r="BB133" s="68"/>
      <c r="BC133" s="68"/>
      <c r="BD133" s="68"/>
      <c r="BE133" s="68"/>
      <c r="BF133" s="68"/>
      <c r="BG133" s="68"/>
      <c r="BH133" s="68"/>
      <c r="BI133" s="68"/>
      <c r="BJ133" s="68"/>
      <c r="BK133" s="68"/>
      <c r="BL133" s="68"/>
      <c r="BM133" s="68"/>
      <c r="BN133" s="68"/>
      <c r="BO133" s="68"/>
      <c r="BP133" s="68"/>
      <c r="BQ133" s="68"/>
      <c r="BR133" s="68"/>
      <c r="BS133" s="68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68"/>
      <c r="DI133" s="68"/>
      <c r="DJ133" s="68"/>
      <c r="DK133" s="68"/>
      <c r="DL133" s="68"/>
      <c r="DM133" s="68"/>
      <c r="DN133" s="68"/>
      <c r="DO133" s="68"/>
      <c r="DP133" s="68"/>
      <c r="DQ133" s="68"/>
      <c r="DR133" s="68"/>
      <c r="DS133" s="68"/>
      <c r="DT133" s="68"/>
      <c r="DU133" s="68"/>
      <c r="DV133" s="68"/>
      <c r="DW133" s="68"/>
      <c r="DX133" s="68"/>
      <c r="DY133" s="68"/>
      <c r="DZ133" s="68"/>
      <c r="EA133" s="68"/>
      <c r="EB133" s="68"/>
      <c r="EC133" s="68"/>
      <c r="ED133" s="68"/>
      <c r="EE133" s="68"/>
      <c r="EF133" s="68"/>
      <c r="EG133" s="68"/>
      <c r="EH133" s="68"/>
      <c r="EI133" s="68"/>
      <c r="EJ133" s="68"/>
    </row>
    <row r="134" spans="1:140" s="78" customFormat="1">
      <c r="A134" s="83">
        <v>11</v>
      </c>
      <c r="B134" s="96" t="s">
        <v>86</v>
      </c>
      <c r="C134" s="74" t="s">
        <v>6</v>
      </c>
      <c r="D134" s="71"/>
      <c r="E134" s="71"/>
      <c r="F134" s="71">
        <f>+'II-H-4.1 Monthly'!P332</f>
        <v>-749.67400150641492</v>
      </c>
      <c r="G134" s="71"/>
      <c r="H134" s="71"/>
      <c r="I134" s="71"/>
      <c r="J134" s="84">
        <f>SUM(D134:I134)</f>
        <v>-749.67400150641492</v>
      </c>
      <c r="K134" s="84"/>
      <c r="L134" s="71"/>
      <c r="M134" s="71"/>
      <c r="N134" s="71"/>
      <c r="O134" s="71"/>
      <c r="P134" s="71"/>
      <c r="Q134" s="71"/>
      <c r="R134" s="84">
        <f>SUM(L134:Q134)</f>
        <v>0</v>
      </c>
      <c r="S134" s="84"/>
      <c r="T134" s="84">
        <f>R134+J134</f>
        <v>-749.67400150641492</v>
      </c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68"/>
      <c r="BN134" s="68"/>
      <c r="BO134" s="68"/>
      <c r="BP134" s="68"/>
      <c r="BQ134" s="68"/>
      <c r="BR134" s="68"/>
      <c r="BS134" s="68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68"/>
      <c r="DI134" s="68"/>
      <c r="DJ134" s="68"/>
      <c r="DK134" s="68"/>
      <c r="DL134" s="68"/>
      <c r="DM134" s="68"/>
      <c r="DN134" s="68"/>
      <c r="DO134" s="68"/>
      <c r="DP134" s="68"/>
      <c r="DQ134" s="68"/>
      <c r="DR134" s="68"/>
      <c r="DS134" s="68"/>
      <c r="DT134" s="68"/>
      <c r="DU134" s="68"/>
      <c r="DV134" s="68"/>
      <c r="DW134" s="68"/>
      <c r="DX134" s="68"/>
      <c r="DY134" s="68"/>
      <c r="DZ134" s="68"/>
      <c r="EA134" s="68"/>
      <c r="EB134" s="68"/>
      <c r="EC134" s="68"/>
      <c r="ED134" s="68"/>
      <c r="EE134" s="68"/>
      <c r="EF134" s="68"/>
      <c r="EG134" s="68"/>
      <c r="EH134" s="68"/>
      <c r="EI134" s="68"/>
      <c r="EJ134" s="68"/>
    </row>
    <row r="135" spans="1:140" s="78" customFormat="1">
      <c r="A135" s="83"/>
      <c r="C135" s="85"/>
      <c r="D135" s="94"/>
      <c r="E135" s="94"/>
      <c r="F135" s="94"/>
      <c r="G135" s="94"/>
      <c r="H135" s="94"/>
      <c r="I135" s="94"/>
      <c r="J135" s="84"/>
      <c r="K135" s="77"/>
      <c r="L135" s="94"/>
      <c r="M135" s="94"/>
      <c r="N135" s="94"/>
      <c r="O135" s="94"/>
      <c r="P135" s="94"/>
      <c r="Q135" s="94"/>
      <c r="R135" s="68"/>
      <c r="S135" s="68"/>
      <c r="T135" s="84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  <c r="AO135" s="68"/>
      <c r="AP135" s="68"/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68"/>
      <c r="BN135" s="68"/>
      <c r="BO135" s="68"/>
      <c r="BP135" s="68"/>
      <c r="BQ135" s="68"/>
      <c r="BR135" s="68"/>
      <c r="BS135" s="68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68"/>
      <c r="DI135" s="68"/>
      <c r="DJ135" s="68"/>
      <c r="DK135" s="68"/>
      <c r="DL135" s="68"/>
      <c r="DM135" s="68"/>
      <c r="DN135" s="68"/>
      <c r="DO135" s="68"/>
      <c r="DP135" s="68"/>
      <c r="DQ135" s="68"/>
      <c r="DR135" s="68"/>
      <c r="DS135" s="68"/>
      <c r="DT135" s="68"/>
      <c r="DU135" s="68"/>
      <c r="DV135" s="68"/>
      <c r="DW135" s="68"/>
      <c r="DX135" s="68"/>
      <c r="DY135" s="68"/>
      <c r="DZ135" s="68"/>
      <c r="EA135" s="68"/>
      <c r="EB135" s="68"/>
      <c r="EC135" s="68"/>
      <c r="ED135" s="68"/>
      <c r="EE135" s="68"/>
      <c r="EF135" s="68"/>
      <c r="EG135" s="68"/>
      <c r="EH135" s="68"/>
      <c r="EI135" s="68"/>
      <c r="EJ135" s="68"/>
    </row>
    <row r="136" spans="1:140" s="78" customFormat="1">
      <c r="A136" s="83">
        <v>12</v>
      </c>
      <c r="B136" s="68" t="s">
        <v>21</v>
      </c>
      <c r="C136" s="74" t="s">
        <v>4</v>
      </c>
      <c r="D136" s="71"/>
      <c r="E136" s="71"/>
      <c r="F136" s="71"/>
      <c r="G136" s="71"/>
      <c r="H136" s="71"/>
      <c r="I136" s="71"/>
      <c r="J136" s="84">
        <f>SUM(D136:I136)</f>
        <v>0</v>
      </c>
      <c r="K136" s="84"/>
      <c r="L136" s="71"/>
      <c r="M136" s="71"/>
      <c r="N136" s="71"/>
      <c r="O136" s="71"/>
      <c r="P136" s="71"/>
      <c r="Q136" s="71"/>
      <c r="R136" s="84">
        <f>SUM(L136:Q136)</f>
        <v>0</v>
      </c>
      <c r="S136" s="84"/>
      <c r="T136" s="84">
        <f>R136+J136</f>
        <v>0</v>
      </c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68"/>
      <c r="BN136" s="68"/>
      <c r="BO136" s="68"/>
      <c r="BP136" s="68"/>
      <c r="BQ136" s="68"/>
      <c r="BR136" s="68"/>
      <c r="BS136" s="68"/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68"/>
      <c r="DI136" s="68"/>
      <c r="DJ136" s="68"/>
      <c r="DK136" s="68"/>
      <c r="DL136" s="68"/>
      <c r="DM136" s="68"/>
      <c r="DN136" s="68"/>
      <c r="DO136" s="68"/>
      <c r="DP136" s="68"/>
      <c r="DQ136" s="68"/>
      <c r="DR136" s="68"/>
      <c r="DS136" s="68"/>
      <c r="DT136" s="68"/>
      <c r="DU136" s="68"/>
      <c r="DV136" s="68"/>
      <c r="DW136" s="68"/>
      <c r="DX136" s="68"/>
      <c r="DY136" s="68"/>
      <c r="DZ136" s="68"/>
      <c r="EA136" s="68"/>
      <c r="EB136" s="68"/>
      <c r="EC136" s="68"/>
      <c r="ED136" s="68"/>
      <c r="EE136" s="68"/>
      <c r="EF136" s="68"/>
      <c r="EG136" s="68"/>
      <c r="EH136" s="68"/>
      <c r="EI136" s="68"/>
      <c r="EJ136" s="68"/>
    </row>
    <row r="137" spans="1:140" s="78" customFormat="1">
      <c r="A137" s="83"/>
      <c r="C137" s="85"/>
      <c r="D137" s="94"/>
      <c r="E137" s="94"/>
      <c r="F137" s="94"/>
      <c r="G137" s="94"/>
      <c r="H137" s="94"/>
      <c r="I137" s="94"/>
      <c r="J137" s="94"/>
      <c r="K137" s="77"/>
      <c r="L137" s="94"/>
      <c r="M137" s="94"/>
      <c r="N137" s="94"/>
      <c r="O137" s="94"/>
      <c r="P137" s="94"/>
      <c r="Q137" s="94"/>
      <c r="R137" s="68"/>
      <c r="S137" s="68"/>
      <c r="T137" s="84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  <c r="AO137" s="68"/>
      <c r="AP137" s="68"/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68"/>
      <c r="BN137" s="68"/>
      <c r="BO137" s="68"/>
      <c r="BP137" s="68"/>
      <c r="BQ137" s="68"/>
      <c r="BR137" s="68"/>
      <c r="BS137" s="68"/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68"/>
      <c r="DI137" s="68"/>
      <c r="DJ137" s="68"/>
      <c r="DK137" s="68"/>
      <c r="DL137" s="68"/>
      <c r="DM137" s="68"/>
      <c r="DN137" s="68"/>
      <c r="DO137" s="68"/>
      <c r="DP137" s="68"/>
      <c r="DQ137" s="68"/>
      <c r="DR137" s="68"/>
      <c r="DS137" s="68"/>
      <c r="DT137" s="68"/>
      <c r="DU137" s="68"/>
      <c r="DV137" s="68"/>
      <c r="DW137" s="68"/>
      <c r="DX137" s="68"/>
      <c r="DY137" s="68"/>
      <c r="DZ137" s="68"/>
      <c r="EA137" s="68"/>
      <c r="EB137" s="68"/>
      <c r="EC137" s="68"/>
      <c r="ED137" s="68"/>
      <c r="EE137" s="68"/>
      <c r="EF137" s="68"/>
      <c r="EG137" s="68"/>
      <c r="EH137" s="68"/>
      <c r="EI137" s="68"/>
      <c r="EJ137" s="68"/>
    </row>
    <row r="138" spans="1:140" s="78" customFormat="1">
      <c r="A138" s="83">
        <v>13</v>
      </c>
      <c r="B138" s="114" t="s">
        <v>22</v>
      </c>
      <c r="C138" s="360"/>
      <c r="D138" s="115">
        <f t="shared" ref="D138:J138" si="61">D136+D134+D132+D126+D122+D120</f>
        <v>0</v>
      </c>
      <c r="E138" s="115">
        <f t="shared" si="61"/>
        <v>0</v>
      </c>
      <c r="F138" s="115">
        <f t="shared" si="61"/>
        <v>-9091572.5309508797</v>
      </c>
      <c r="G138" s="115">
        <f t="shared" si="61"/>
        <v>0</v>
      </c>
      <c r="H138" s="115"/>
      <c r="I138" s="115">
        <f t="shared" si="61"/>
        <v>0</v>
      </c>
      <c r="J138" s="115">
        <f t="shared" si="61"/>
        <v>-9091572.5309508797</v>
      </c>
      <c r="K138" s="76"/>
      <c r="L138" s="115">
        <f t="shared" ref="L138:Q138" si="62">L136+L134+L132+L126+L122+L120</f>
        <v>0</v>
      </c>
      <c r="M138" s="115">
        <f t="shared" si="62"/>
        <v>0</v>
      </c>
      <c r="N138" s="115"/>
      <c r="O138" s="115">
        <f t="shared" si="62"/>
        <v>0</v>
      </c>
      <c r="P138" s="115">
        <f t="shared" si="62"/>
        <v>0</v>
      </c>
      <c r="Q138" s="115">
        <f t="shared" si="62"/>
        <v>0</v>
      </c>
      <c r="R138" s="150">
        <f>SUM(L138:Q138)</f>
        <v>0</v>
      </c>
      <c r="S138" s="86"/>
      <c r="T138" s="129">
        <f>R138+J138</f>
        <v>-9091572.5309508797</v>
      </c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  <c r="AO138" s="68"/>
      <c r="AP138" s="68"/>
      <c r="AQ138" s="68"/>
      <c r="AR138" s="68"/>
      <c r="AS138" s="68"/>
      <c r="AT138" s="68"/>
      <c r="AU138" s="68"/>
      <c r="AV138" s="68"/>
      <c r="AW138" s="68"/>
      <c r="AX138" s="68"/>
      <c r="AY138" s="68"/>
      <c r="AZ138" s="68"/>
      <c r="BA138" s="68"/>
      <c r="BB138" s="68"/>
      <c r="BC138" s="68"/>
      <c r="BD138" s="68"/>
      <c r="BE138" s="68"/>
      <c r="BF138" s="68"/>
      <c r="BG138" s="68"/>
      <c r="BH138" s="68"/>
      <c r="BI138" s="68"/>
      <c r="BJ138" s="68"/>
      <c r="BK138" s="68"/>
      <c r="BL138" s="68"/>
      <c r="BM138" s="68"/>
      <c r="BN138" s="68"/>
      <c r="BO138" s="68"/>
      <c r="BP138" s="68"/>
      <c r="BQ138" s="68"/>
      <c r="BR138" s="68"/>
      <c r="BS138" s="68"/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68"/>
      <c r="DI138" s="68"/>
      <c r="DJ138" s="68"/>
      <c r="DK138" s="68"/>
      <c r="DL138" s="68"/>
      <c r="DM138" s="68"/>
      <c r="DN138" s="68"/>
      <c r="DO138" s="68"/>
      <c r="DP138" s="68"/>
      <c r="DQ138" s="68"/>
      <c r="DR138" s="68"/>
      <c r="DS138" s="68"/>
      <c r="DT138" s="68"/>
      <c r="DU138" s="68"/>
      <c r="DV138" s="68"/>
      <c r="DW138" s="68"/>
      <c r="DX138" s="68"/>
      <c r="DY138" s="68"/>
      <c r="DZ138" s="68"/>
      <c r="EA138" s="68"/>
      <c r="EB138" s="68"/>
      <c r="EC138" s="68"/>
      <c r="ED138" s="68"/>
      <c r="EE138" s="68"/>
      <c r="EF138" s="68"/>
      <c r="EG138" s="68"/>
      <c r="EH138" s="68"/>
      <c r="EI138" s="68"/>
      <c r="EJ138" s="68"/>
    </row>
    <row r="139" spans="1:140" s="78" customFormat="1">
      <c r="A139" s="83"/>
      <c r="B139" s="360"/>
      <c r="C139" s="360"/>
      <c r="D139" s="100"/>
      <c r="E139" s="100"/>
      <c r="F139" s="100"/>
      <c r="G139" s="100"/>
      <c r="H139" s="100"/>
      <c r="I139" s="100"/>
      <c r="J139" s="100"/>
      <c r="K139" s="76"/>
      <c r="L139" s="100"/>
      <c r="M139" s="100"/>
      <c r="N139" s="100"/>
      <c r="O139" s="100"/>
      <c r="P139" s="100"/>
      <c r="Q139" s="100"/>
      <c r="R139" s="86"/>
      <c r="S139" s="86"/>
      <c r="T139" s="84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  <c r="AO139" s="68"/>
      <c r="AP139" s="68"/>
      <c r="AQ139" s="68"/>
      <c r="AR139" s="68"/>
      <c r="AS139" s="68"/>
      <c r="AT139" s="68"/>
      <c r="AU139" s="68"/>
      <c r="AV139" s="68"/>
      <c r="AW139" s="68"/>
      <c r="AX139" s="68"/>
      <c r="AY139" s="68"/>
      <c r="AZ139" s="68"/>
      <c r="BA139" s="68"/>
      <c r="BB139" s="68"/>
      <c r="BC139" s="68"/>
      <c r="BD139" s="68"/>
      <c r="BE139" s="68"/>
      <c r="BF139" s="68"/>
      <c r="BG139" s="68"/>
      <c r="BH139" s="68"/>
      <c r="BI139" s="68"/>
      <c r="BJ139" s="68"/>
      <c r="BK139" s="68"/>
      <c r="BL139" s="68"/>
      <c r="BM139" s="68"/>
      <c r="BN139" s="68"/>
      <c r="BO139" s="68"/>
      <c r="BP139" s="68"/>
      <c r="BQ139" s="68"/>
      <c r="BR139" s="68"/>
      <c r="BS139" s="68"/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68"/>
      <c r="DI139" s="68"/>
      <c r="DJ139" s="68"/>
      <c r="DK139" s="68"/>
      <c r="DL139" s="68"/>
      <c r="DM139" s="68"/>
      <c r="DN139" s="68"/>
      <c r="DO139" s="68"/>
      <c r="DP139" s="68"/>
      <c r="DQ139" s="68"/>
      <c r="DR139" s="68"/>
      <c r="DS139" s="68"/>
      <c r="DT139" s="68"/>
      <c r="DU139" s="68"/>
      <c r="DV139" s="68"/>
      <c r="DW139" s="68"/>
      <c r="DX139" s="68"/>
      <c r="DY139" s="68"/>
      <c r="DZ139" s="68"/>
      <c r="EA139" s="68"/>
      <c r="EB139" s="68"/>
      <c r="EC139" s="68"/>
      <c r="ED139" s="68"/>
      <c r="EE139" s="68"/>
      <c r="EF139" s="68"/>
      <c r="EG139" s="68"/>
      <c r="EH139" s="68"/>
      <c r="EI139" s="68"/>
      <c r="EJ139" s="68"/>
    </row>
    <row r="140" spans="1:140" s="78" customFormat="1">
      <c r="A140" s="83">
        <v>14</v>
      </c>
      <c r="B140" s="89" t="s">
        <v>69</v>
      </c>
      <c r="C140" s="74" t="s">
        <v>5</v>
      </c>
      <c r="D140" s="71"/>
      <c r="E140" s="71"/>
      <c r="F140" s="71"/>
      <c r="G140" s="71"/>
      <c r="H140" s="71"/>
      <c r="I140" s="71"/>
      <c r="J140" s="71">
        <f>SUM(D140:I140)</f>
        <v>0</v>
      </c>
      <c r="K140" s="84"/>
      <c r="L140" s="71"/>
      <c r="M140" s="71"/>
      <c r="N140" s="71"/>
      <c r="O140" s="71"/>
      <c r="P140" s="71"/>
      <c r="Q140" s="71"/>
      <c r="R140" s="84">
        <f>SUM(L140:Q140)</f>
        <v>0</v>
      </c>
      <c r="S140" s="84"/>
      <c r="T140" s="84">
        <f>R140+J140</f>
        <v>0</v>
      </c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  <c r="AO140" s="68"/>
      <c r="AP140" s="68"/>
      <c r="AQ140" s="68"/>
      <c r="AR140" s="68"/>
      <c r="AS140" s="68"/>
      <c r="AT140" s="68"/>
      <c r="AU140" s="68"/>
      <c r="AV140" s="68"/>
      <c r="AW140" s="68"/>
      <c r="AX140" s="68"/>
      <c r="AY140" s="68"/>
      <c r="AZ140" s="68"/>
      <c r="BA140" s="68"/>
      <c r="BB140" s="68"/>
      <c r="BC140" s="68"/>
      <c r="BD140" s="68"/>
      <c r="BE140" s="68"/>
      <c r="BF140" s="68"/>
      <c r="BG140" s="68"/>
      <c r="BH140" s="68"/>
      <c r="BI140" s="68"/>
      <c r="BJ140" s="68"/>
      <c r="BK140" s="68"/>
      <c r="BL140" s="68"/>
      <c r="BM140" s="68"/>
      <c r="BN140" s="68"/>
      <c r="BO140" s="68"/>
      <c r="BP140" s="68"/>
      <c r="BQ140" s="68"/>
      <c r="BR140" s="68"/>
      <c r="BS140" s="68"/>
      <c r="BT140" s="68"/>
      <c r="BU140" s="68"/>
      <c r="BV140" s="68"/>
      <c r="BW140" s="68"/>
      <c r="BX140" s="68"/>
      <c r="BY140" s="68"/>
      <c r="BZ140" s="68"/>
      <c r="CA140" s="68"/>
      <c r="CB140" s="68"/>
      <c r="CC140" s="68"/>
      <c r="CD140" s="68"/>
      <c r="CE140" s="68"/>
      <c r="CF140" s="68"/>
      <c r="CG140" s="68"/>
      <c r="CH140" s="68"/>
      <c r="CI140" s="68"/>
      <c r="CJ140" s="68"/>
      <c r="CK140" s="68"/>
      <c r="CL140" s="68"/>
      <c r="CM140" s="68"/>
      <c r="CN140" s="68"/>
      <c r="CO140" s="68"/>
      <c r="CP140" s="68"/>
      <c r="CQ140" s="68"/>
      <c r="CR140" s="68"/>
      <c r="CS140" s="68"/>
      <c r="CT140" s="68"/>
      <c r="CU140" s="68"/>
      <c r="CV140" s="68"/>
      <c r="CW140" s="68"/>
      <c r="CX140" s="68"/>
      <c r="CY140" s="68"/>
      <c r="CZ140" s="68"/>
      <c r="DA140" s="68"/>
      <c r="DB140" s="68"/>
      <c r="DC140" s="68"/>
      <c r="DD140" s="68"/>
      <c r="DE140" s="68"/>
      <c r="DF140" s="68"/>
      <c r="DG140" s="68"/>
      <c r="DH140" s="68"/>
      <c r="DI140" s="68"/>
      <c r="DJ140" s="68"/>
      <c r="DK140" s="68"/>
      <c r="DL140" s="68"/>
      <c r="DM140" s="68"/>
      <c r="DN140" s="68"/>
      <c r="DO140" s="68"/>
      <c r="DP140" s="68"/>
      <c r="DQ140" s="68"/>
      <c r="DR140" s="68"/>
      <c r="DS140" s="68"/>
      <c r="DT140" s="68"/>
      <c r="DU140" s="68"/>
      <c r="DV140" s="68"/>
      <c r="DW140" s="68"/>
      <c r="DX140" s="68"/>
      <c r="DY140" s="68"/>
      <c r="DZ140" s="68"/>
      <c r="EA140" s="68"/>
      <c r="EB140" s="68"/>
      <c r="EC140" s="68"/>
      <c r="ED140" s="68"/>
      <c r="EE140" s="68"/>
      <c r="EF140" s="68"/>
      <c r="EG140" s="68"/>
      <c r="EH140" s="68"/>
      <c r="EI140" s="68"/>
      <c r="EJ140" s="68"/>
    </row>
    <row r="141" spans="1:140" s="78" customFormat="1">
      <c r="A141" s="83">
        <v>15</v>
      </c>
      <c r="B141" s="89" t="s">
        <v>70</v>
      </c>
      <c r="C141" s="74" t="s">
        <v>6</v>
      </c>
      <c r="D141" s="72"/>
      <c r="E141" s="72"/>
      <c r="F141" s="72"/>
      <c r="G141" s="72"/>
      <c r="H141" s="72"/>
      <c r="I141" s="72"/>
      <c r="J141" s="72">
        <f>SUM(D141:I141)</f>
        <v>0</v>
      </c>
      <c r="K141" s="84"/>
      <c r="L141" s="72"/>
      <c r="M141" s="72"/>
      <c r="N141" s="72"/>
      <c r="O141" s="72"/>
      <c r="P141" s="72"/>
      <c r="Q141" s="72"/>
      <c r="R141" s="151">
        <f>SUM(L141:Q141)</f>
        <v>0</v>
      </c>
      <c r="S141" s="68"/>
      <c r="T141" s="72">
        <f>R141+J141</f>
        <v>0</v>
      </c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  <c r="AV141" s="68"/>
      <c r="AW141" s="68"/>
      <c r="AX141" s="68"/>
      <c r="AY141" s="68"/>
      <c r="AZ141" s="68"/>
      <c r="BA141" s="68"/>
      <c r="BB141" s="68"/>
      <c r="BC141" s="68"/>
      <c r="BD141" s="68"/>
      <c r="BE141" s="68"/>
      <c r="BF141" s="68"/>
      <c r="BG141" s="68"/>
      <c r="BH141" s="68"/>
      <c r="BI141" s="68"/>
      <c r="BJ141" s="68"/>
      <c r="BK141" s="68"/>
      <c r="BL141" s="68"/>
      <c r="BM141" s="68"/>
      <c r="BN141" s="68"/>
      <c r="BO141" s="68"/>
      <c r="BP141" s="68"/>
      <c r="BQ141" s="68"/>
      <c r="BR141" s="68"/>
      <c r="BS141" s="68"/>
      <c r="BT141" s="68"/>
      <c r="BU141" s="68"/>
      <c r="BV141" s="68"/>
      <c r="BW141" s="68"/>
      <c r="BX141" s="68"/>
      <c r="BY141" s="68"/>
      <c r="BZ141" s="68"/>
      <c r="CA141" s="68"/>
      <c r="CB141" s="68"/>
      <c r="CC141" s="68"/>
      <c r="CD141" s="68"/>
      <c r="CE141" s="68"/>
      <c r="CF141" s="68"/>
      <c r="CG141" s="68"/>
      <c r="CH141" s="68"/>
      <c r="CI141" s="68"/>
      <c r="CJ141" s="68"/>
      <c r="CK141" s="68"/>
      <c r="CL141" s="68"/>
      <c r="CM141" s="68"/>
      <c r="CN141" s="68"/>
      <c r="CO141" s="68"/>
      <c r="CP141" s="68"/>
      <c r="CQ141" s="68"/>
      <c r="CR141" s="68"/>
      <c r="CS141" s="68"/>
      <c r="CT141" s="68"/>
      <c r="CU141" s="68"/>
      <c r="CV141" s="68"/>
      <c r="CW141" s="68"/>
      <c r="CX141" s="68"/>
      <c r="CY141" s="68"/>
      <c r="CZ141" s="68"/>
      <c r="DA141" s="68"/>
      <c r="DB141" s="68"/>
      <c r="DC141" s="68"/>
      <c r="DD141" s="68"/>
      <c r="DE141" s="68"/>
      <c r="DF141" s="68"/>
      <c r="DG141" s="68"/>
      <c r="DH141" s="68"/>
      <c r="DI141" s="68"/>
      <c r="DJ141" s="68"/>
      <c r="DK141" s="68"/>
      <c r="DL141" s="68"/>
      <c r="DM141" s="68"/>
      <c r="DN141" s="68"/>
      <c r="DO141" s="68"/>
      <c r="DP141" s="68"/>
      <c r="DQ141" s="68"/>
      <c r="DR141" s="68"/>
      <c r="DS141" s="68"/>
      <c r="DT141" s="68"/>
      <c r="DU141" s="68"/>
      <c r="DV141" s="68"/>
      <c r="DW141" s="68"/>
      <c r="DX141" s="68"/>
      <c r="DY141" s="68"/>
      <c r="DZ141" s="68"/>
      <c r="EA141" s="68"/>
      <c r="EB141" s="68"/>
      <c r="EC141" s="68"/>
      <c r="ED141" s="68"/>
      <c r="EE141" s="68"/>
      <c r="EF141" s="68"/>
      <c r="EG141" s="68"/>
      <c r="EH141" s="68"/>
      <c r="EI141" s="68"/>
      <c r="EJ141" s="68"/>
    </row>
    <row r="142" spans="1:140" s="78" customFormat="1">
      <c r="A142" s="83">
        <v>16</v>
      </c>
      <c r="B142" s="114" t="s">
        <v>23</v>
      </c>
      <c r="C142" s="358"/>
      <c r="D142" s="100">
        <f t="shared" ref="D142:J142" si="63">SUM(D140:D141)</f>
        <v>0</v>
      </c>
      <c r="E142" s="100">
        <f t="shared" si="63"/>
        <v>0</v>
      </c>
      <c r="F142" s="100">
        <f t="shared" si="63"/>
        <v>0</v>
      </c>
      <c r="G142" s="100">
        <f t="shared" si="63"/>
        <v>0</v>
      </c>
      <c r="H142" s="100"/>
      <c r="I142" s="100">
        <f t="shared" si="63"/>
        <v>0</v>
      </c>
      <c r="J142" s="100">
        <f t="shared" si="63"/>
        <v>0</v>
      </c>
      <c r="K142" s="76"/>
      <c r="L142" s="100">
        <f t="shared" ref="L142:Q142" si="64">SUM(L140:L141)</f>
        <v>0</v>
      </c>
      <c r="M142" s="100">
        <f t="shared" si="64"/>
        <v>0</v>
      </c>
      <c r="N142" s="100"/>
      <c r="O142" s="100">
        <f t="shared" si="64"/>
        <v>0</v>
      </c>
      <c r="P142" s="100">
        <f t="shared" si="64"/>
        <v>0</v>
      </c>
      <c r="Q142" s="100">
        <f t="shared" si="64"/>
        <v>0</v>
      </c>
      <c r="R142" s="86">
        <f>SUM(L142:Q142)</f>
        <v>0</v>
      </c>
      <c r="S142" s="86"/>
      <c r="T142" s="84">
        <f>R142+J142</f>
        <v>0</v>
      </c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  <c r="AO142" s="68"/>
      <c r="AP142" s="68"/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68"/>
      <c r="BM142" s="68"/>
      <c r="BN142" s="68"/>
      <c r="BO142" s="68"/>
      <c r="BP142" s="68"/>
      <c r="BQ142" s="68"/>
      <c r="BR142" s="68"/>
      <c r="BS142" s="68"/>
      <c r="BT142" s="68"/>
      <c r="BU142" s="68"/>
      <c r="BV142" s="68"/>
      <c r="BW142" s="68"/>
      <c r="BX142" s="68"/>
      <c r="BY142" s="68"/>
      <c r="BZ142" s="68"/>
      <c r="CA142" s="68"/>
      <c r="CB142" s="68"/>
      <c r="CC142" s="68"/>
      <c r="CD142" s="68"/>
      <c r="CE142" s="68"/>
      <c r="CF142" s="68"/>
      <c r="CG142" s="68"/>
      <c r="CH142" s="68"/>
      <c r="CI142" s="68"/>
      <c r="CJ142" s="68"/>
      <c r="CK142" s="68"/>
      <c r="CL142" s="68"/>
      <c r="CM142" s="68"/>
      <c r="CN142" s="68"/>
      <c r="CO142" s="68"/>
      <c r="CP142" s="68"/>
      <c r="CQ142" s="68"/>
      <c r="CR142" s="68"/>
      <c r="CS142" s="68"/>
      <c r="CT142" s="68"/>
      <c r="CU142" s="68"/>
      <c r="CV142" s="68"/>
      <c r="CW142" s="68"/>
      <c r="CX142" s="68"/>
      <c r="CY142" s="68"/>
      <c r="CZ142" s="68"/>
      <c r="DA142" s="68"/>
      <c r="DB142" s="68"/>
      <c r="DC142" s="68"/>
      <c r="DD142" s="68"/>
      <c r="DE142" s="68"/>
      <c r="DF142" s="68"/>
      <c r="DG142" s="68"/>
      <c r="DH142" s="68"/>
      <c r="DI142" s="68"/>
      <c r="DJ142" s="68"/>
      <c r="DK142" s="68"/>
      <c r="DL142" s="68"/>
      <c r="DM142" s="68"/>
      <c r="DN142" s="68"/>
      <c r="DO142" s="68"/>
      <c r="DP142" s="68"/>
      <c r="DQ142" s="68"/>
      <c r="DR142" s="68"/>
      <c r="DS142" s="68"/>
      <c r="DT142" s="68"/>
      <c r="DU142" s="68"/>
      <c r="DV142" s="68"/>
      <c r="DW142" s="68"/>
      <c r="DX142" s="68"/>
      <c r="DY142" s="68"/>
      <c r="DZ142" s="68"/>
      <c r="EA142" s="68"/>
      <c r="EB142" s="68"/>
      <c r="EC142" s="68"/>
      <c r="ED142" s="68"/>
      <c r="EE142" s="68"/>
      <c r="EF142" s="68"/>
      <c r="EG142" s="68"/>
      <c r="EH142" s="68"/>
      <c r="EI142" s="68"/>
      <c r="EJ142" s="68"/>
    </row>
    <row r="143" spans="1:140" s="78" customFormat="1">
      <c r="A143" s="83"/>
      <c r="C143" s="116"/>
      <c r="D143" s="94"/>
      <c r="E143" s="94"/>
      <c r="F143" s="94"/>
      <c r="G143" s="94"/>
      <c r="H143" s="94"/>
      <c r="I143" s="94"/>
      <c r="J143" s="94"/>
      <c r="K143" s="77"/>
      <c r="L143" s="94"/>
      <c r="M143" s="94"/>
      <c r="N143" s="94"/>
      <c r="O143" s="94"/>
      <c r="P143" s="94"/>
      <c r="Q143" s="94"/>
      <c r="R143" s="68"/>
      <c r="S143" s="68"/>
      <c r="T143" s="84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  <c r="AO143" s="68"/>
      <c r="AP143" s="68"/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68"/>
      <c r="BM143" s="68"/>
      <c r="BN143" s="68"/>
      <c r="BO143" s="68"/>
      <c r="BP143" s="68"/>
      <c r="BQ143" s="68"/>
      <c r="BR143" s="68"/>
      <c r="BS143" s="68"/>
      <c r="BT143" s="68"/>
      <c r="BU143" s="68"/>
      <c r="BV143" s="68"/>
      <c r="BW143" s="68"/>
      <c r="BX143" s="68"/>
      <c r="BY143" s="68"/>
      <c r="BZ143" s="68"/>
      <c r="CA143" s="68"/>
      <c r="CB143" s="68"/>
      <c r="CC143" s="68"/>
      <c r="CD143" s="68"/>
      <c r="CE143" s="68"/>
      <c r="CF143" s="68"/>
      <c r="CG143" s="68"/>
      <c r="CH143" s="68"/>
      <c r="CI143" s="68"/>
      <c r="CJ143" s="68"/>
      <c r="CK143" s="68"/>
      <c r="CL143" s="68"/>
      <c r="CM143" s="68"/>
      <c r="CN143" s="68"/>
      <c r="CO143" s="68"/>
      <c r="CP143" s="68"/>
      <c r="CQ143" s="68"/>
      <c r="CR143" s="68"/>
      <c r="CS143" s="68"/>
      <c r="CT143" s="68"/>
      <c r="CU143" s="68"/>
      <c r="CV143" s="68"/>
      <c r="CW143" s="68"/>
      <c r="CX143" s="68"/>
      <c r="CY143" s="68"/>
      <c r="CZ143" s="68"/>
      <c r="DA143" s="68"/>
      <c r="DB143" s="68"/>
      <c r="DC143" s="68"/>
      <c r="DD143" s="68"/>
      <c r="DE143" s="68"/>
      <c r="DF143" s="68"/>
      <c r="DG143" s="68"/>
      <c r="DH143" s="68"/>
      <c r="DI143" s="68"/>
      <c r="DJ143" s="68"/>
      <c r="DK143" s="68"/>
      <c r="DL143" s="68"/>
      <c r="DM143" s="68"/>
      <c r="DN143" s="68"/>
      <c r="DO143" s="68"/>
      <c r="DP143" s="68"/>
      <c r="DQ143" s="68"/>
      <c r="DR143" s="68"/>
      <c r="DS143" s="68"/>
      <c r="DT143" s="68"/>
      <c r="DU143" s="68"/>
      <c r="DV143" s="68"/>
      <c r="DW143" s="68"/>
      <c r="DX143" s="68"/>
      <c r="DY143" s="68"/>
      <c r="DZ143" s="68"/>
      <c r="EA143" s="68"/>
      <c r="EB143" s="68"/>
      <c r="EC143" s="68"/>
      <c r="ED143" s="68"/>
      <c r="EE143" s="68"/>
      <c r="EF143" s="68"/>
      <c r="EG143" s="68"/>
      <c r="EH143" s="68"/>
      <c r="EI143" s="68"/>
      <c r="EJ143" s="68"/>
    </row>
    <row r="144" spans="1:140" s="78" customFormat="1" ht="12" thickBot="1">
      <c r="A144" s="83">
        <v>17</v>
      </c>
      <c r="B144" s="147" t="s">
        <v>92</v>
      </c>
      <c r="C144" s="358"/>
      <c r="D144" s="117">
        <f t="shared" ref="D144:J144" si="65">+D142+D138</f>
        <v>0</v>
      </c>
      <c r="E144" s="117">
        <f t="shared" si="65"/>
        <v>0</v>
      </c>
      <c r="F144" s="117">
        <f t="shared" si="65"/>
        <v>-9091572.5309508797</v>
      </c>
      <c r="G144" s="117">
        <f t="shared" si="65"/>
        <v>0</v>
      </c>
      <c r="H144" s="117"/>
      <c r="I144" s="117">
        <f t="shared" si="65"/>
        <v>0</v>
      </c>
      <c r="J144" s="117">
        <f t="shared" si="65"/>
        <v>-9091572.5309508797</v>
      </c>
      <c r="K144" s="113"/>
      <c r="L144" s="117">
        <f t="shared" ref="L144:Q144" si="66">+L142+L138</f>
        <v>0</v>
      </c>
      <c r="M144" s="117">
        <f t="shared" si="66"/>
        <v>0</v>
      </c>
      <c r="N144" s="117"/>
      <c r="O144" s="117">
        <f t="shared" si="66"/>
        <v>0</v>
      </c>
      <c r="P144" s="117">
        <f t="shared" si="66"/>
        <v>0</v>
      </c>
      <c r="Q144" s="117">
        <f t="shared" si="66"/>
        <v>0</v>
      </c>
      <c r="R144" s="130">
        <f>SUM(L144:Q144)</f>
        <v>0</v>
      </c>
      <c r="S144" s="124"/>
      <c r="T144" s="130">
        <f>R144+J144</f>
        <v>-9091572.5309508797</v>
      </c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  <c r="AO144" s="68"/>
      <c r="AP144" s="68"/>
      <c r="AQ144" s="68"/>
      <c r="AR144" s="68"/>
      <c r="AS144" s="68"/>
      <c r="AT144" s="68"/>
      <c r="AU144" s="68"/>
      <c r="AV144" s="68"/>
      <c r="AW144" s="68"/>
      <c r="AX144" s="68"/>
      <c r="AY144" s="68"/>
      <c r="AZ144" s="68"/>
      <c r="BA144" s="68"/>
      <c r="BB144" s="68"/>
      <c r="BC144" s="68"/>
      <c r="BD144" s="68"/>
      <c r="BE144" s="68"/>
      <c r="BF144" s="68"/>
      <c r="BG144" s="68"/>
      <c r="BH144" s="68"/>
      <c r="BI144" s="68"/>
      <c r="BJ144" s="68"/>
      <c r="BK144" s="68"/>
      <c r="BL144" s="68"/>
      <c r="BM144" s="68"/>
      <c r="BN144" s="68"/>
      <c r="BO144" s="68"/>
      <c r="BP144" s="68"/>
      <c r="BQ144" s="68"/>
      <c r="BR144" s="68"/>
      <c r="BS144" s="68"/>
      <c r="BT144" s="68"/>
      <c r="BU144" s="68"/>
      <c r="BV144" s="68"/>
      <c r="BW144" s="68"/>
      <c r="BX144" s="68"/>
      <c r="BY144" s="68"/>
      <c r="BZ144" s="68"/>
      <c r="CA144" s="68"/>
      <c r="CB144" s="68"/>
      <c r="CC144" s="68"/>
      <c r="CD144" s="68"/>
      <c r="CE144" s="68"/>
      <c r="CF144" s="68"/>
      <c r="CG144" s="68"/>
      <c r="CH144" s="68"/>
      <c r="CI144" s="68"/>
      <c r="CJ144" s="68"/>
      <c r="CK144" s="68"/>
      <c r="CL144" s="68"/>
      <c r="CM144" s="68"/>
      <c r="CN144" s="68"/>
      <c r="CO144" s="68"/>
      <c r="CP144" s="68"/>
      <c r="CQ144" s="68"/>
      <c r="CR144" s="68"/>
      <c r="CS144" s="68"/>
      <c r="CT144" s="68"/>
      <c r="CU144" s="68"/>
      <c r="CV144" s="68"/>
      <c r="CW144" s="68"/>
      <c r="CX144" s="68"/>
      <c r="CY144" s="68"/>
      <c r="CZ144" s="68"/>
      <c r="DA144" s="68"/>
      <c r="DB144" s="68"/>
      <c r="DC144" s="68"/>
      <c r="DD144" s="68"/>
      <c r="DE144" s="68"/>
      <c r="DF144" s="68"/>
      <c r="DG144" s="68"/>
      <c r="DH144" s="68"/>
      <c r="DI144" s="68"/>
      <c r="DJ144" s="68"/>
      <c r="DK144" s="68"/>
      <c r="DL144" s="68"/>
      <c r="DM144" s="68"/>
      <c r="DN144" s="68"/>
      <c r="DO144" s="68"/>
      <c r="DP144" s="68"/>
      <c r="DQ144" s="68"/>
      <c r="DR144" s="68"/>
      <c r="DS144" s="68"/>
      <c r="DT144" s="68"/>
      <c r="DU144" s="68"/>
      <c r="DV144" s="68"/>
      <c r="DW144" s="68"/>
      <c r="DX144" s="68"/>
      <c r="DY144" s="68"/>
      <c r="DZ144" s="68"/>
      <c r="EA144" s="68"/>
      <c r="EB144" s="68"/>
      <c r="EC144" s="68"/>
      <c r="ED144" s="68"/>
      <c r="EE144" s="68"/>
      <c r="EF144" s="68"/>
      <c r="EG144" s="68"/>
      <c r="EH144" s="68"/>
      <c r="EI144" s="68"/>
      <c r="EJ144" s="68"/>
    </row>
    <row r="145" spans="1:140" s="78" customFormat="1" ht="12" thickTop="1">
      <c r="A145" s="83"/>
      <c r="B145" s="92"/>
      <c r="C145" s="358"/>
      <c r="D145" s="76"/>
      <c r="E145" s="76"/>
      <c r="F145" s="76"/>
      <c r="G145" s="76"/>
      <c r="H145" s="76"/>
      <c r="I145" s="76"/>
      <c r="J145" s="76"/>
      <c r="K145" s="76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  <c r="AO145" s="68"/>
      <c r="AP145" s="68"/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68"/>
      <c r="BN145" s="68"/>
      <c r="BO145" s="68"/>
      <c r="BP145" s="68"/>
      <c r="BQ145" s="68"/>
      <c r="BR145" s="68"/>
      <c r="BS145" s="68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68"/>
      <c r="DI145" s="68"/>
      <c r="DJ145" s="68"/>
      <c r="DK145" s="68"/>
      <c r="DL145" s="68"/>
      <c r="DM145" s="68"/>
      <c r="DN145" s="68"/>
      <c r="DO145" s="68"/>
      <c r="DP145" s="68"/>
      <c r="DQ145" s="68"/>
      <c r="DR145" s="68"/>
      <c r="DS145" s="68"/>
      <c r="DT145" s="68"/>
      <c r="DU145" s="68"/>
      <c r="DV145" s="68"/>
      <c r="DW145" s="68"/>
      <c r="DX145" s="68"/>
      <c r="DY145" s="68"/>
      <c r="DZ145" s="68"/>
      <c r="EA145" s="68"/>
      <c r="EB145" s="68"/>
      <c r="EC145" s="68"/>
      <c r="ED145" s="68"/>
      <c r="EE145" s="68"/>
      <c r="EF145" s="68"/>
      <c r="EG145" s="68"/>
      <c r="EH145" s="68"/>
      <c r="EI145" s="68"/>
      <c r="EJ145" s="68"/>
    </row>
    <row r="146" spans="1:140" s="78" customFormat="1">
      <c r="A146" s="83"/>
      <c r="B146" s="92"/>
      <c r="C146" s="358"/>
      <c r="D146" s="76"/>
      <c r="E146" s="76"/>
      <c r="F146" s="76"/>
      <c r="G146" s="76"/>
      <c r="H146" s="76"/>
      <c r="I146" s="76"/>
      <c r="J146" s="76"/>
      <c r="K146" s="76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  <c r="AO146" s="68"/>
      <c r="AP146" s="68"/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68"/>
      <c r="BN146" s="68"/>
      <c r="BO146" s="68"/>
      <c r="BP146" s="68"/>
      <c r="BQ146" s="68"/>
      <c r="BR146" s="68"/>
      <c r="BS146" s="68"/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68"/>
      <c r="DI146" s="68"/>
      <c r="DJ146" s="68"/>
      <c r="DK146" s="68"/>
      <c r="DL146" s="68"/>
      <c r="DM146" s="68"/>
      <c r="DN146" s="68"/>
      <c r="DO146" s="68"/>
      <c r="DP146" s="68"/>
      <c r="DQ146" s="68"/>
      <c r="DR146" s="68"/>
      <c r="DS146" s="68"/>
      <c r="DT146" s="68"/>
      <c r="DU146" s="68"/>
      <c r="DV146" s="68"/>
      <c r="DW146" s="68"/>
      <c r="DX146" s="68"/>
      <c r="DY146" s="68"/>
      <c r="DZ146" s="68"/>
      <c r="EA146" s="68"/>
      <c r="EB146" s="68"/>
      <c r="EC146" s="68"/>
      <c r="ED146" s="68"/>
      <c r="EE146" s="68"/>
      <c r="EF146" s="68"/>
      <c r="EG146" s="68"/>
      <c r="EH146" s="68"/>
      <c r="EI146" s="68"/>
      <c r="EJ146" s="68"/>
    </row>
    <row r="147" spans="1:140" s="78" customFormat="1">
      <c r="A147" s="83"/>
      <c r="B147" s="92"/>
      <c r="C147" s="358"/>
      <c r="D147" s="76"/>
      <c r="E147" s="76"/>
      <c r="F147" s="76"/>
      <c r="G147" s="76"/>
      <c r="H147" s="76"/>
      <c r="I147" s="76"/>
      <c r="J147" s="76"/>
      <c r="K147" s="76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  <c r="AO147" s="68"/>
      <c r="AP147" s="68"/>
      <c r="AQ147" s="68"/>
      <c r="AR147" s="68"/>
      <c r="AS147" s="68"/>
      <c r="AT147" s="68"/>
      <c r="AU147" s="68"/>
      <c r="AV147" s="68"/>
      <c r="AW147" s="68"/>
      <c r="AX147" s="68"/>
      <c r="AY147" s="68"/>
      <c r="AZ147" s="68"/>
      <c r="BA147" s="68"/>
      <c r="BB147" s="68"/>
      <c r="BC147" s="68"/>
      <c r="BD147" s="68"/>
      <c r="BE147" s="68"/>
      <c r="BF147" s="68"/>
      <c r="BG147" s="68"/>
      <c r="BH147" s="68"/>
      <c r="BI147" s="68"/>
      <c r="BJ147" s="68"/>
      <c r="BK147" s="68"/>
      <c r="BL147" s="68"/>
      <c r="BM147" s="68"/>
      <c r="BN147" s="68"/>
      <c r="BO147" s="68"/>
      <c r="BP147" s="68"/>
      <c r="BQ147" s="68"/>
      <c r="BR147" s="68"/>
      <c r="BS147" s="68"/>
      <c r="BT147" s="68"/>
      <c r="BU147" s="68"/>
      <c r="BV147" s="68"/>
      <c r="BW147" s="68"/>
      <c r="BX147" s="68"/>
      <c r="BY147" s="68"/>
      <c r="BZ147" s="68"/>
      <c r="CA147" s="68"/>
      <c r="CB147" s="68"/>
      <c r="CC147" s="68"/>
      <c r="CD147" s="68"/>
      <c r="CE147" s="68"/>
      <c r="CF147" s="68"/>
      <c r="CG147" s="68"/>
      <c r="CH147" s="68"/>
      <c r="CI147" s="68"/>
      <c r="CJ147" s="68"/>
      <c r="CK147" s="68"/>
      <c r="CL147" s="68"/>
      <c r="CM147" s="68"/>
      <c r="CN147" s="68"/>
      <c r="CO147" s="68"/>
      <c r="CP147" s="68"/>
      <c r="CQ147" s="68"/>
      <c r="CR147" s="68"/>
      <c r="CS147" s="68"/>
      <c r="CT147" s="68"/>
      <c r="CU147" s="68"/>
      <c r="CV147" s="68"/>
      <c r="CW147" s="68"/>
      <c r="CX147" s="68"/>
      <c r="CY147" s="68"/>
      <c r="CZ147" s="68"/>
      <c r="DA147" s="68"/>
      <c r="DB147" s="68"/>
      <c r="DC147" s="68"/>
      <c r="DD147" s="68"/>
      <c r="DE147" s="68"/>
      <c r="DF147" s="68"/>
      <c r="DG147" s="68"/>
      <c r="DH147" s="68"/>
      <c r="DI147" s="68"/>
      <c r="DJ147" s="68"/>
      <c r="DK147" s="68"/>
      <c r="DL147" s="68"/>
      <c r="DM147" s="68"/>
      <c r="DN147" s="68"/>
      <c r="DO147" s="68"/>
      <c r="DP147" s="68"/>
      <c r="DQ147" s="68"/>
      <c r="DR147" s="68"/>
      <c r="DS147" s="68"/>
      <c r="DT147" s="68"/>
      <c r="DU147" s="68"/>
      <c r="DV147" s="68"/>
      <c r="DW147" s="68"/>
      <c r="DX147" s="68"/>
      <c r="DY147" s="68"/>
      <c r="DZ147" s="68"/>
      <c r="EA147" s="68"/>
      <c r="EB147" s="68"/>
      <c r="EC147" s="68"/>
      <c r="ED147" s="68"/>
      <c r="EE147" s="68"/>
      <c r="EF147" s="68"/>
      <c r="EG147" s="68"/>
      <c r="EH147" s="68"/>
      <c r="EI147" s="68"/>
      <c r="EJ147" s="68"/>
    </row>
    <row r="148" spans="1:140" ht="12.75" customHeight="1">
      <c r="A148" s="371" t="str">
        <f>+A8</f>
        <v xml:space="preserve">AEP TEXAS </v>
      </c>
      <c r="B148" s="366"/>
      <c r="C148" s="366"/>
      <c r="D148" s="366"/>
      <c r="E148" s="366"/>
      <c r="F148" s="366"/>
      <c r="G148" s="366"/>
      <c r="H148" s="366"/>
      <c r="I148" s="366"/>
      <c r="J148" s="366"/>
      <c r="K148" s="366"/>
      <c r="L148" s="366"/>
      <c r="M148" s="366"/>
      <c r="N148" s="366"/>
      <c r="O148" s="366"/>
      <c r="P148" s="366"/>
      <c r="Q148" s="366"/>
      <c r="R148" s="366"/>
      <c r="S148" s="366"/>
      <c r="T148" s="366"/>
    </row>
    <row r="149" spans="1:140" ht="12.75" customHeight="1">
      <c r="A149" s="371" t="s">
        <v>71</v>
      </c>
      <c r="B149" s="371"/>
      <c r="C149" s="371"/>
      <c r="D149" s="371"/>
      <c r="E149" s="371"/>
      <c r="F149" s="371"/>
      <c r="G149" s="371"/>
      <c r="H149" s="371"/>
      <c r="I149" s="371"/>
      <c r="J149" s="371"/>
      <c r="K149" s="371"/>
      <c r="L149" s="371"/>
      <c r="M149" s="371"/>
      <c r="N149" s="371"/>
      <c r="O149" s="371"/>
      <c r="P149" s="371"/>
      <c r="Q149" s="371"/>
      <c r="R149" s="371"/>
      <c r="S149" s="371"/>
      <c r="T149" s="371"/>
    </row>
    <row r="150" spans="1:140" ht="12.75" customHeight="1">
      <c r="A150" s="366" t="str">
        <f>A10</f>
        <v>FOR TEST YEAR ENDED SEPTEMBER 30, 2023</v>
      </c>
      <c r="B150" s="366"/>
      <c r="C150" s="366"/>
      <c r="D150" s="366"/>
      <c r="E150" s="366"/>
      <c r="F150" s="366"/>
      <c r="G150" s="366"/>
      <c r="H150" s="366"/>
      <c r="I150" s="366"/>
      <c r="J150" s="366"/>
      <c r="K150" s="366"/>
      <c r="L150" s="366"/>
      <c r="M150" s="366"/>
      <c r="N150" s="366"/>
      <c r="O150" s="366"/>
      <c r="P150" s="366"/>
      <c r="Q150" s="366"/>
      <c r="R150" s="366"/>
      <c r="S150" s="366"/>
      <c r="T150" s="366"/>
    </row>
    <row r="151" spans="1:140">
      <c r="B151" s="73"/>
      <c r="C151" s="358"/>
      <c r="D151" s="358"/>
      <c r="E151" s="358"/>
      <c r="F151" s="358"/>
      <c r="G151" s="358"/>
      <c r="H151" s="358"/>
      <c r="I151" s="358"/>
      <c r="J151" s="358"/>
      <c r="K151" s="360"/>
    </row>
    <row r="152" spans="1:140">
      <c r="B152" s="73"/>
      <c r="D152" s="186"/>
      <c r="E152" s="108"/>
      <c r="F152" s="108"/>
      <c r="G152" s="108"/>
      <c r="H152" s="108"/>
    </row>
    <row r="153" spans="1:140" ht="33.75">
      <c r="A153" s="358" t="s">
        <v>8</v>
      </c>
      <c r="B153" s="361" t="s">
        <v>0</v>
      </c>
      <c r="C153" s="361" t="s">
        <v>7</v>
      </c>
      <c r="D153" s="192" t="str">
        <f>$D$13</f>
        <v>Customer Revenue - Base Tariff</v>
      </c>
      <c r="E153" s="192" t="str">
        <f>$E$13</f>
        <v xml:space="preserve">Meter Revenue - Base Tariff </v>
      </c>
      <c r="F153" s="192" t="str">
        <f>$F$13</f>
        <v>Distribution Service Revenue - Base Tariff</v>
      </c>
      <c r="G153" s="192" t="str">
        <f>$G$13</f>
        <v>Facilities Charge</v>
      </c>
      <c r="H153" s="192" t="str">
        <f>+H13</f>
        <v>DCRF Revenue</v>
      </c>
      <c r="I153" s="192" t="str">
        <f>$I$13</f>
        <v>TCRF Revenue</v>
      </c>
      <c r="J153" s="192" t="str">
        <f>$J$13</f>
        <v>Total Base Tariff Revenue</v>
      </c>
      <c r="K153" s="193"/>
      <c r="L153" s="192" t="str">
        <f>+L13</f>
        <v>TTRAR</v>
      </c>
      <c r="M153" s="192" t="str">
        <f t="shared" ref="M153:Q153" si="67">+M13</f>
        <v>EECR</v>
      </c>
      <c r="N153" s="192" t="str">
        <f t="shared" si="67"/>
        <v>TC3</v>
      </c>
      <c r="O153" s="192" t="str">
        <f t="shared" si="67"/>
        <v>MTEEE</v>
      </c>
      <c r="P153" s="192" t="str">
        <f t="shared" si="67"/>
        <v>SRC</v>
      </c>
      <c r="Q153" s="192" t="str">
        <f t="shared" si="67"/>
        <v>Miscellaneous Riders</v>
      </c>
      <c r="R153" s="192" t="str">
        <f>$R$13</f>
        <v>Total Riders</v>
      </c>
      <c r="S153" s="189"/>
      <c r="T153" s="192" t="str">
        <f>$T$13</f>
        <v>Total Revenue</v>
      </c>
    </row>
    <row r="154" spans="1:140">
      <c r="B154" s="361"/>
      <c r="C154" s="361"/>
      <c r="D154" s="97"/>
      <c r="E154" s="97"/>
      <c r="F154" s="97"/>
      <c r="G154" s="97"/>
      <c r="H154" s="97"/>
      <c r="I154" s="97"/>
      <c r="J154" s="97"/>
      <c r="K154" s="123"/>
    </row>
    <row r="155" spans="1:140" s="78" customFormat="1">
      <c r="A155" s="83" t="s">
        <v>9</v>
      </c>
      <c r="B155" s="78" t="s">
        <v>17</v>
      </c>
      <c r="C155" s="85" t="s">
        <v>4</v>
      </c>
      <c r="D155" s="90"/>
      <c r="E155" s="90"/>
      <c r="F155" s="90"/>
      <c r="G155" s="90"/>
      <c r="H155" s="90"/>
      <c r="I155" s="90"/>
      <c r="J155" s="90">
        <f>SUM(D155:I155)</f>
        <v>0</v>
      </c>
      <c r="K155" s="124"/>
      <c r="L155" s="124"/>
      <c r="M155" s="124"/>
      <c r="N155" s="124"/>
      <c r="O155" s="124"/>
      <c r="P155" s="124"/>
      <c r="Q155" s="124"/>
      <c r="R155" s="124">
        <f>SUM(L155:Q155)</f>
        <v>0</v>
      </c>
      <c r="S155" s="124"/>
      <c r="T155" s="124">
        <f>R155+J155</f>
        <v>0</v>
      </c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 s="68"/>
      <c r="BH155" s="68"/>
      <c r="BI155" s="68"/>
      <c r="BJ155" s="68"/>
      <c r="BK155" s="68"/>
      <c r="BL155" s="68"/>
      <c r="BM155" s="68"/>
      <c r="BN155" s="68"/>
      <c r="BO155" s="68"/>
      <c r="BP155" s="68"/>
      <c r="BQ155" s="68"/>
      <c r="BR155" s="68"/>
      <c r="BS155" s="68"/>
      <c r="BT155" s="68"/>
      <c r="BU155" s="68"/>
      <c r="BV155" s="68"/>
      <c r="BW155" s="68"/>
      <c r="BX155" s="68"/>
      <c r="BY155" s="68"/>
      <c r="BZ155" s="68"/>
      <c r="CA155" s="68"/>
      <c r="CB155" s="68"/>
      <c r="CC155" s="68"/>
      <c r="CD155" s="68"/>
      <c r="CE155" s="68"/>
      <c r="CF155" s="68"/>
      <c r="CG155" s="68"/>
      <c r="CH155" s="68"/>
      <c r="CI155" s="68"/>
      <c r="CJ155" s="68"/>
      <c r="CK155" s="68"/>
      <c r="CL155" s="68"/>
      <c r="CM155" s="68"/>
      <c r="CN155" s="68"/>
      <c r="CO155" s="68"/>
      <c r="CP155" s="68"/>
      <c r="CQ155" s="68"/>
      <c r="CR155" s="68"/>
      <c r="CS155" s="68"/>
      <c r="CT155" s="68"/>
      <c r="CU155" s="68"/>
      <c r="CV155" s="68"/>
      <c r="CW155" s="68"/>
      <c r="CX155" s="68"/>
      <c r="CY155" s="68"/>
      <c r="CZ155" s="68"/>
      <c r="DA155" s="68"/>
      <c r="DB155" s="68"/>
      <c r="DC155" s="68"/>
      <c r="DD155" s="68"/>
      <c r="DE155" s="68"/>
      <c r="DF155" s="68"/>
      <c r="DG155" s="68"/>
      <c r="DH155" s="68"/>
      <c r="DI155" s="68"/>
      <c r="DJ155" s="68"/>
      <c r="DK155" s="68"/>
      <c r="DL155" s="68"/>
      <c r="DM155" s="68"/>
      <c r="DN155" s="68"/>
      <c r="DO155" s="68"/>
      <c r="DP155" s="68"/>
      <c r="DQ155" s="68"/>
      <c r="DR155" s="68"/>
      <c r="DS155" s="68"/>
      <c r="DT155" s="68"/>
      <c r="DU155" s="68"/>
      <c r="DV155" s="68"/>
      <c r="DW155" s="68"/>
      <c r="DX155" s="68"/>
      <c r="DY155" s="68"/>
      <c r="DZ155" s="68"/>
      <c r="EA155" s="68"/>
      <c r="EB155" s="68"/>
      <c r="EC155" s="68"/>
      <c r="ED155" s="68"/>
      <c r="EE155" s="68"/>
      <c r="EF155" s="68"/>
      <c r="EG155" s="68"/>
      <c r="EH155" s="68"/>
      <c r="EI155" s="68"/>
      <c r="EJ155" s="68"/>
    </row>
    <row r="156" spans="1:140" s="78" customFormat="1">
      <c r="C156" s="85"/>
      <c r="D156" s="102"/>
      <c r="E156" s="102"/>
      <c r="F156" s="102"/>
      <c r="G156" s="102"/>
      <c r="H156" s="102"/>
      <c r="I156" s="102"/>
      <c r="J156" s="102"/>
      <c r="K156" s="127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  <c r="AV156" s="68"/>
      <c r="AW156" s="68"/>
      <c r="AX156" s="68"/>
      <c r="AY156" s="68"/>
      <c r="AZ156" s="68"/>
      <c r="BA156" s="68"/>
      <c r="BB156" s="68"/>
      <c r="BC156" s="68"/>
      <c r="BD156" s="68"/>
      <c r="BE156" s="68"/>
      <c r="BF156" s="68"/>
      <c r="BG156" s="68"/>
      <c r="BH156" s="68"/>
      <c r="BI156" s="68"/>
      <c r="BJ156" s="68"/>
      <c r="BK156" s="68"/>
      <c r="BL156" s="68"/>
      <c r="BM156" s="68"/>
      <c r="BN156" s="68"/>
      <c r="BO156" s="68"/>
      <c r="BP156" s="68"/>
      <c r="BQ156" s="68"/>
      <c r="BR156" s="68"/>
      <c r="BS156" s="68"/>
      <c r="BT156" s="68"/>
      <c r="BU156" s="68"/>
      <c r="BV156" s="68"/>
      <c r="BW156" s="68"/>
      <c r="BX156" s="68"/>
      <c r="BY156" s="68"/>
      <c r="BZ156" s="68"/>
      <c r="CA156" s="68"/>
      <c r="CB156" s="68"/>
      <c r="CC156" s="68"/>
      <c r="CD156" s="68"/>
      <c r="CE156" s="68"/>
      <c r="CF156" s="68"/>
      <c r="CG156" s="68"/>
      <c r="CH156" s="68"/>
      <c r="CI156" s="68"/>
      <c r="CJ156" s="68"/>
      <c r="CK156" s="68"/>
      <c r="CL156" s="68"/>
      <c r="CM156" s="68"/>
      <c r="CN156" s="68"/>
      <c r="CO156" s="68"/>
      <c r="CP156" s="68"/>
      <c r="CQ156" s="68"/>
      <c r="CR156" s="68"/>
      <c r="CS156" s="68"/>
      <c r="CT156" s="68"/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68"/>
      <c r="DI156" s="68"/>
      <c r="DJ156" s="68"/>
      <c r="DK156" s="68"/>
      <c r="DL156" s="68"/>
      <c r="DM156" s="68"/>
      <c r="DN156" s="68"/>
      <c r="DO156" s="68"/>
      <c r="DP156" s="68"/>
      <c r="DQ156" s="68"/>
      <c r="DR156" s="68"/>
      <c r="DS156" s="68"/>
      <c r="DT156" s="68"/>
      <c r="DU156" s="68"/>
      <c r="DV156" s="68"/>
      <c r="DW156" s="68"/>
      <c r="DX156" s="68"/>
      <c r="DY156" s="68"/>
      <c r="DZ156" s="68"/>
      <c r="EA156" s="68"/>
      <c r="EB156" s="68"/>
      <c r="EC156" s="68"/>
      <c r="ED156" s="68"/>
      <c r="EE156" s="68"/>
      <c r="EF156" s="68"/>
      <c r="EG156" s="68"/>
      <c r="EH156" s="68"/>
      <c r="EI156" s="68"/>
      <c r="EJ156" s="68"/>
    </row>
    <row r="157" spans="1:140" s="78" customFormat="1">
      <c r="A157" s="83">
        <v>2</v>
      </c>
      <c r="B157" s="78" t="s">
        <v>20</v>
      </c>
      <c r="C157" s="85" t="s">
        <v>4</v>
      </c>
      <c r="D157" s="71"/>
      <c r="E157" s="90"/>
      <c r="F157" s="71"/>
      <c r="G157" s="71"/>
      <c r="H157" s="71"/>
      <c r="I157" s="71"/>
      <c r="J157" s="71">
        <f>SUM(D157:I157)</f>
        <v>0</v>
      </c>
      <c r="K157" s="84"/>
      <c r="L157" s="125"/>
      <c r="M157" s="125"/>
      <c r="N157" s="125"/>
      <c r="O157" s="125"/>
      <c r="P157" s="125"/>
      <c r="Q157" s="125"/>
      <c r="R157" s="84">
        <f>SUM(L157:Q157)</f>
        <v>0</v>
      </c>
      <c r="S157" s="84"/>
      <c r="T157" s="84">
        <f>R157+J157</f>
        <v>0</v>
      </c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  <c r="AO157" s="68"/>
      <c r="AP157" s="68"/>
      <c r="AQ157" s="68"/>
      <c r="AR157" s="68"/>
      <c r="AS157" s="68"/>
      <c r="AT157" s="68"/>
      <c r="AU157" s="68"/>
      <c r="AV157" s="68"/>
      <c r="AW157" s="68"/>
      <c r="AX157" s="68"/>
      <c r="AY157" s="68"/>
      <c r="AZ157" s="68"/>
      <c r="BA157" s="68"/>
      <c r="BB157" s="68"/>
      <c r="BC157" s="68"/>
      <c r="BD157" s="68"/>
      <c r="BE157" s="68"/>
      <c r="BF157" s="68"/>
      <c r="BG157" s="68"/>
      <c r="BH157" s="68"/>
      <c r="BI157" s="68"/>
      <c r="BJ157" s="68"/>
      <c r="BK157" s="68"/>
      <c r="BL157" s="68"/>
      <c r="BM157" s="68"/>
      <c r="BN157" s="68"/>
      <c r="BO157" s="68"/>
      <c r="BP157" s="68"/>
      <c r="BQ157" s="68"/>
      <c r="BR157" s="68"/>
      <c r="BS157" s="68"/>
      <c r="BT157" s="68"/>
      <c r="BU157" s="68"/>
      <c r="BV157" s="68"/>
      <c r="BW157" s="68"/>
      <c r="BX157" s="68"/>
      <c r="BY157" s="68"/>
      <c r="BZ157" s="68"/>
      <c r="CA157" s="68"/>
      <c r="CB157" s="68"/>
      <c r="CC157" s="68"/>
      <c r="CD157" s="68"/>
      <c r="CE157" s="68"/>
      <c r="CF157" s="68"/>
      <c r="CG157" s="68"/>
      <c r="CH157" s="68"/>
      <c r="CI157" s="68"/>
      <c r="CJ157" s="68"/>
      <c r="CK157" s="68"/>
      <c r="CL157" s="68"/>
      <c r="CM157" s="68"/>
      <c r="CN157" s="68"/>
      <c r="CO157" s="68"/>
      <c r="CP157" s="68"/>
      <c r="CQ157" s="68"/>
      <c r="CR157" s="68"/>
      <c r="CS157" s="68"/>
      <c r="CT157" s="68"/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68"/>
      <c r="DI157" s="68"/>
      <c r="DJ157" s="68"/>
      <c r="DK157" s="68"/>
      <c r="DL157" s="68"/>
      <c r="DM157" s="68"/>
      <c r="DN157" s="68"/>
      <c r="DO157" s="68"/>
      <c r="DP157" s="68"/>
      <c r="DQ157" s="68"/>
      <c r="DR157" s="68"/>
      <c r="DS157" s="68"/>
      <c r="DT157" s="68"/>
      <c r="DU157" s="68"/>
      <c r="DV157" s="68"/>
      <c r="DW157" s="68"/>
      <c r="DX157" s="68"/>
      <c r="DY157" s="68"/>
      <c r="DZ157" s="68"/>
      <c r="EA157" s="68"/>
      <c r="EB157" s="68"/>
      <c r="EC157" s="68"/>
      <c r="ED157" s="68"/>
      <c r="EE157" s="68"/>
      <c r="EF157" s="68"/>
      <c r="EG157" s="68"/>
      <c r="EH157" s="68"/>
      <c r="EI157" s="68"/>
      <c r="EJ157" s="68"/>
    </row>
    <row r="158" spans="1:140" s="78" customFormat="1">
      <c r="A158" s="83"/>
      <c r="C158" s="85"/>
      <c r="D158" s="71"/>
      <c r="E158" s="71"/>
      <c r="F158" s="71"/>
      <c r="G158" s="71"/>
      <c r="H158" s="71"/>
      <c r="I158" s="71"/>
      <c r="J158" s="71"/>
      <c r="K158" s="84"/>
      <c r="L158" s="68"/>
      <c r="M158" s="68"/>
      <c r="N158" s="68"/>
      <c r="O158" s="68"/>
      <c r="P158" s="68"/>
      <c r="Q158" s="68"/>
      <c r="R158" s="68"/>
      <c r="S158" s="68"/>
      <c r="T158" s="84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  <c r="AN158" s="68"/>
      <c r="AO158" s="68"/>
      <c r="AP158" s="68"/>
      <c r="AQ158" s="68"/>
      <c r="AR158" s="68"/>
      <c r="AS158" s="68"/>
      <c r="AT158" s="68"/>
      <c r="AU158" s="68"/>
      <c r="AV158" s="68"/>
      <c r="AW158" s="68"/>
      <c r="AX158" s="68"/>
      <c r="AY158" s="68"/>
      <c r="AZ158" s="68"/>
      <c r="BA158" s="68"/>
      <c r="BB158" s="68"/>
      <c r="BC158" s="68"/>
      <c r="BD158" s="68"/>
      <c r="BE158" s="68"/>
      <c r="BF158" s="68"/>
      <c r="BG158" s="68"/>
      <c r="BH158" s="68"/>
      <c r="BI158" s="68"/>
      <c r="BJ158" s="68"/>
      <c r="BK158" s="68"/>
      <c r="BL158" s="68"/>
      <c r="BM158" s="68"/>
      <c r="BN158" s="68"/>
      <c r="BO158" s="68"/>
      <c r="BP158" s="68"/>
      <c r="BQ158" s="68"/>
      <c r="BR158" s="68"/>
      <c r="BS158" s="68"/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68"/>
      <c r="DI158" s="68"/>
      <c r="DJ158" s="68"/>
      <c r="DK158" s="68"/>
      <c r="DL158" s="68"/>
      <c r="DM158" s="68"/>
      <c r="DN158" s="68"/>
      <c r="DO158" s="68"/>
      <c r="DP158" s="68"/>
      <c r="DQ158" s="68"/>
      <c r="DR158" s="68"/>
      <c r="DS158" s="68"/>
      <c r="DT158" s="68"/>
      <c r="DU158" s="68"/>
      <c r="DV158" s="68"/>
      <c r="DW158" s="68"/>
      <c r="DX158" s="68"/>
      <c r="DY158" s="68"/>
      <c r="DZ158" s="68"/>
      <c r="EA158" s="68"/>
      <c r="EB158" s="68"/>
      <c r="EC158" s="68"/>
      <c r="ED158" s="68"/>
      <c r="EE158" s="68"/>
      <c r="EF158" s="68"/>
      <c r="EG158" s="68"/>
      <c r="EH158" s="68"/>
      <c r="EI158" s="68"/>
      <c r="EJ158" s="68"/>
    </row>
    <row r="159" spans="1:140" s="78" customFormat="1">
      <c r="A159" s="83">
        <v>3</v>
      </c>
      <c r="B159" s="87" t="s">
        <v>84</v>
      </c>
      <c r="C159" s="74" t="s">
        <v>4</v>
      </c>
      <c r="D159" s="84"/>
      <c r="E159" s="84"/>
      <c r="F159" s="84"/>
      <c r="G159" s="84">
        <f>-G19</f>
        <v>-4260.12</v>
      </c>
      <c r="H159" s="84"/>
      <c r="I159" s="84"/>
      <c r="J159" s="84">
        <f>SUM(D159:I159)</f>
        <v>-4260.12</v>
      </c>
      <c r="K159" s="84"/>
      <c r="L159" s="125"/>
      <c r="M159" s="125"/>
      <c r="N159" s="125"/>
      <c r="O159" s="125"/>
      <c r="P159" s="125"/>
      <c r="Q159" s="125"/>
      <c r="R159" s="84">
        <f>SUM(L159:Q159)</f>
        <v>0</v>
      </c>
      <c r="S159" s="84"/>
      <c r="T159" s="84">
        <f>R159+J159</f>
        <v>-4260.12</v>
      </c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  <c r="AO159" s="68"/>
      <c r="AP159" s="68"/>
      <c r="AQ159" s="68"/>
      <c r="AR159" s="68"/>
      <c r="AS159" s="68"/>
      <c r="AT159" s="68"/>
      <c r="AU159" s="68"/>
      <c r="AV159" s="68"/>
      <c r="AW159" s="68"/>
      <c r="AX159" s="68"/>
      <c r="AY159" s="68"/>
      <c r="AZ159" s="68"/>
      <c r="BA159" s="68"/>
      <c r="BB159" s="68"/>
      <c r="BC159" s="68"/>
      <c r="BD159" s="68"/>
      <c r="BE159" s="68"/>
      <c r="BF159" s="68"/>
      <c r="BG159" s="68"/>
      <c r="BH159" s="68"/>
      <c r="BI159" s="68"/>
      <c r="BJ159" s="68"/>
      <c r="BK159" s="68"/>
      <c r="BL159" s="68"/>
      <c r="BM159" s="68"/>
      <c r="BN159" s="68"/>
      <c r="BO159" s="68"/>
      <c r="BP159" s="68"/>
      <c r="BQ159" s="68"/>
      <c r="BR159" s="68"/>
      <c r="BS159" s="68"/>
      <c r="BT159" s="68"/>
      <c r="BU159" s="68"/>
      <c r="BV159" s="68"/>
      <c r="BW159" s="68"/>
      <c r="BX159" s="68"/>
      <c r="BY159" s="68"/>
      <c r="BZ159" s="68"/>
      <c r="CA159" s="68"/>
      <c r="CB159" s="68"/>
      <c r="CC159" s="68"/>
      <c r="CD159" s="68"/>
      <c r="CE159" s="68"/>
      <c r="CF159" s="68"/>
      <c r="CG159" s="68"/>
      <c r="CH159" s="68"/>
      <c r="CI159" s="68"/>
      <c r="CJ159" s="68"/>
      <c r="CK159" s="68"/>
      <c r="CL159" s="68"/>
      <c r="CM159" s="68"/>
      <c r="CN159" s="68"/>
      <c r="CO159" s="68"/>
      <c r="CP159" s="68"/>
      <c r="CQ159" s="68"/>
      <c r="CR159" s="68"/>
      <c r="CS159" s="68"/>
      <c r="CT159" s="68"/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68"/>
      <c r="DI159" s="68"/>
      <c r="DJ159" s="68"/>
      <c r="DK159" s="68"/>
      <c r="DL159" s="68"/>
      <c r="DM159" s="68"/>
      <c r="DN159" s="68"/>
      <c r="DO159" s="68"/>
      <c r="DP159" s="68"/>
      <c r="DQ159" s="68"/>
      <c r="DR159" s="68"/>
      <c r="DS159" s="68"/>
      <c r="DT159" s="68"/>
      <c r="DU159" s="68"/>
      <c r="DV159" s="68"/>
      <c r="DW159" s="68"/>
      <c r="DX159" s="68"/>
      <c r="DY159" s="68"/>
      <c r="DZ159" s="68"/>
      <c r="EA159" s="68"/>
      <c r="EB159" s="68"/>
      <c r="EC159" s="68"/>
      <c r="ED159" s="68"/>
      <c r="EE159" s="68"/>
      <c r="EF159" s="68"/>
      <c r="EG159" s="68"/>
      <c r="EH159" s="68"/>
      <c r="EI159" s="68"/>
      <c r="EJ159" s="68"/>
    </row>
    <row r="160" spans="1:140" s="78" customFormat="1">
      <c r="A160" s="83">
        <v>4</v>
      </c>
      <c r="B160" s="87" t="s">
        <v>85</v>
      </c>
      <c r="C160" s="74" t="s">
        <v>4</v>
      </c>
      <c r="D160" s="72"/>
      <c r="E160" s="72"/>
      <c r="F160" s="72"/>
      <c r="G160" s="72"/>
      <c r="H160" s="72"/>
      <c r="I160" s="72"/>
      <c r="J160" s="72">
        <f>SUM(D160:I160)</f>
        <v>0</v>
      </c>
      <c r="K160" s="84"/>
      <c r="L160" s="126"/>
      <c r="M160" s="126"/>
      <c r="N160" s="126"/>
      <c r="O160" s="126"/>
      <c r="P160" s="126"/>
      <c r="Q160" s="126"/>
      <c r="R160" s="72">
        <f>SUM(L160:Q160)</f>
        <v>0</v>
      </c>
      <c r="S160" s="84"/>
      <c r="T160" s="72">
        <f>R160+J160</f>
        <v>0</v>
      </c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  <c r="AV160" s="68"/>
      <c r="AW160" s="68"/>
      <c r="AX160" s="68"/>
      <c r="AY160" s="68"/>
      <c r="AZ160" s="68"/>
      <c r="BA160" s="68"/>
      <c r="BB160" s="68"/>
      <c r="BC160" s="68"/>
      <c r="BD160" s="68"/>
      <c r="BE160" s="68"/>
      <c r="BF160" s="68"/>
      <c r="BG160" s="68"/>
      <c r="BH160" s="68"/>
      <c r="BI160" s="68"/>
      <c r="BJ160" s="68"/>
      <c r="BK160" s="68"/>
      <c r="BL160" s="68"/>
      <c r="BM160" s="68"/>
      <c r="BN160" s="68"/>
      <c r="BO160" s="68"/>
      <c r="BP160" s="68"/>
      <c r="BQ160" s="68"/>
      <c r="BR160" s="68"/>
      <c r="BS160" s="68"/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68"/>
      <c r="DI160" s="68"/>
      <c r="DJ160" s="68"/>
      <c r="DK160" s="68"/>
      <c r="DL160" s="68"/>
      <c r="DM160" s="68"/>
      <c r="DN160" s="68"/>
      <c r="DO160" s="68"/>
      <c r="DP160" s="68"/>
      <c r="DQ160" s="68"/>
      <c r="DR160" s="68"/>
      <c r="DS160" s="68"/>
      <c r="DT160" s="68"/>
      <c r="DU160" s="68"/>
      <c r="DV160" s="68"/>
      <c r="DW160" s="68"/>
      <c r="DX160" s="68"/>
      <c r="DY160" s="68"/>
      <c r="DZ160" s="68"/>
      <c r="EA160" s="68"/>
      <c r="EB160" s="68"/>
      <c r="EC160" s="68"/>
      <c r="ED160" s="68"/>
      <c r="EE160" s="68"/>
      <c r="EF160" s="68"/>
      <c r="EG160" s="68"/>
      <c r="EH160" s="68"/>
      <c r="EI160" s="68"/>
      <c r="EJ160" s="68"/>
    </row>
    <row r="161" spans="1:140" s="78" customFormat="1">
      <c r="A161" s="83">
        <v>5</v>
      </c>
      <c r="B161" s="96" t="s">
        <v>18</v>
      </c>
      <c r="C161" s="85"/>
      <c r="D161" s="94">
        <f>SUM(D159:D160)</f>
        <v>0</v>
      </c>
      <c r="E161" s="94">
        <f>SUM(E159:E160)</f>
        <v>0</v>
      </c>
      <c r="F161" s="94">
        <f>SUM(F159:F160)</f>
        <v>0</v>
      </c>
      <c r="G161" s="94">
        <f>SUM(G159:G160)</f>
        <v>-4260.12</v>
      </c>
      <c r="H161" s="94"/>
      <c r="I161" s="94">
        <f>SUM(I159:I160)</f>
        <v>0</v>
      </c>
      <c r="J161" s="94">
        <f>SUM(D161:I161)</f>
        <v>-4260.12</v>
      </c>
      <c r="K161" s="77"/>
      <c r="L161" s="125">
        <f t="shared" ref="L161:Q161" si="68">SUM(L159:L160)</f>
        <v>0</v>
      </c>
      <c r="M161" s="125">
        <f t="shared" si="68"/>
        <v>0</v>
      </c>
      <c r="N161" s="125"/>
      <c r="O161" s="125">
        <f t="shared" si="68"/>
        <v>0</v>
      </c>
      <c r="P161" s="125">
        <f t="shared" si="68"/>
        <v>0</v>
      </c>
      <c r="Q161" s="125">
        <f t="shared" si="68"/>
        <v>0</v>
      </c>
      <c r="R161" s="86">
        <f>SUM(L161:Q161)</f>
        <v>0</v>
      </c>
      <c r="S161" s="86"/>
      <c r="T161" s="84">
        <f>R161+J161</f>
        <v>-4260.12</v>
      </c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  <c r="BB161" s="68"/>
      <c r="BC161" s="68"/>
      <c r="BD161" s="68"/>
      <c r="BE161" s="68"/>
      <c r="BF161" s="68"/>
      <c r="BG161" s="68"/>
      <c r="BH161" s="68"/>
      <c r="BI161" s="68"/>
      <c r="BJ161" s="68"/>
      <c r="BK161" s="68"/>
      <c r="BL161" s="68"/>
      <c r="BM161" s="68"/>
      <c r="BN161" s="68"/>
      <c r="BO161" s="68"/>
      <c r="BP161" s="68"/>
      <c r="BQ161" s="68"/>
      <c r="BR161" s="68"/>
      <c r="BS161" s="68"/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68"/>
      <c r="DI161" s="68"/>
      <c r="DJ161" s="68"/>
      <c r="DK161" s="68"/>
      <c r="DL161" s="68"/>
      <c r="DM161" s="68"/>
      <c r="DN161" s="68"/>
      <c r="DO161" s="68"/>
      <c r="DP161" s="68"/>
      <c r="DQ161" s="68"/>
      <c r="DR161" s="68"/>
      <c r="DS161" s="68"/>
      <c r="DT161" s="68"/>
      <c r="DU161" s="68"/>
      <c r="DV161" s="68"/>
      <c r="DW161" s="68"/>
      <c r="DX161" s="68"/>
      <c r="DY161" s="68"/>
      <c r="DZ161" s="68"/>
      <c r="EA161" s="68"/>
      <c r="EB161" s="68"/>
      <c r="EC161" s="68"/>
      <c r="ED161" s="68"/>
      <c r="EE161" s="68"/>
      <c r="EF161" s="68"/>
      <c r="EG161" s="68"/>
      <c r="EH161" s="68"/>
      <c r="EI161" s="68"/>
      <c r="EJ161" s="68"/>
    </row>
    <row r="162" spans="1:140" s="78" customFormat="1">
      <c r="B162" s="146"/>
      <c r="C162" s="85"/>
      <c r="D162" s="94"/>
      <c r="E162" s="94"/>
      <c r="F162" s="94"/>
      <c r="G162" s="94"/>
      <c r="H162" s="94"/>
      <c r="I162" s="94"/>
      <c r="J162" s="94"/>
      <c r="K162" s="77"/>
      <c r="L162" s="68"/>
      <c r="M162" s="68"/>
      <c r="N162" s="68"/>
      <c r="O162" s="68"/>
      <c r="P162" s="68"/>
      <c r="Q162" s="68"/>
      <c r="R162" s="68"/>
      <c r="S162" s="68"/>
      <c r="T162" s="84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  <c r="AO162" s="68"/>
      <c r="AP162" s="68"/>
      <c r="AQ162" s="68"/>
      <c r="AR162" s="68"/>
      <c r="AS162" s="68"/>
      <c r="AT162" s="68"/>
      <c r="AU162" s="68"/>
      <c r="AV162" s="68"/>
      <c r="AW162" s="68"/>
      <c r="AX162" s="68"/>
      <c r="AY162" s="68"/>
      <c r="AZ162" s="68"/>
      <c r="BA162" s="68"/>
      <c r="BB162" s="68"/>
      <c r="BC162" s="68"/>
      <c r="BD162" s="68"/>
      <c r="BE162" s="68"/>
      <c r="BF162" s="68"/>
      <c r="BG162" s="68"/>
      <c r="BH162" s="68"/>
      <c r="BI162" s="68"/>
      <c r="BJ162" s="68"/>
      <c r="BK162" s="68"/>
      <c r="BL162" s="68"/>
      <c r="BM162" s="68"/>
      <c r="BN162" s="68"/>
      <c r="BO162" s="68"/>
      <c r="BP162" s="68"/>
      <c r="BQ162" s="68"/>
      <c r="BR162" s="68"/>
      <c r="BS162" s="68"/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68"/>
      <c r="DI162" s="68"/>
      <c r="DJ162" s="68"/>
      <c r="DK162" s="68"/>
      <c r="DL162" s="68"/>
      <c r="DM162" s="68"/>
      <c r="DN162" s="68"/>
      <c r="DO162" s="68"/>
      <c r="DP162" s="68"/>
      <c r="DQ162" s="68"/>
      <c r="DR162" s="68"/>
      <c r="DS162" s="68"/>
      <c r="DT162" s="68"/>
      <c r="DU162" s="68"/>
      <c r="DV162" s="68"/>
      <c r="DW162" s="68"/>
      <c r="DX162" s="68"/>
      <c r="DY162" s="68"/>
      <c r="DZ162" s="68"/>
      <c r="EA162" s="68"/>
      <c r="EB162" s="68"/>
      <c r="EC162" s="68"/>
      <c r="ED162" s="68"/>
      <c r="EE162" s="68"/>
      <c r="EF162" s="68"/>
      <c r="EG162" s="68"/>
      <c r="EH162" s="68"/>
      <c r="EI162" s="68"/>
      <c r="EJ162" s="68"/>
    </row>
    <row r="163" spans="1:140" s="78" customFormat="1">
      <c r="A163" s="83">
        <v>6</v>
      </c>
      <c r="B163" s="87" t="s">
        <v>82</v>
      </c>
      <c r="C163" s="74" t="s">
        <v>5</v>
      </c>
      <c r="D163" s="71">
        <f>3.8*'II-H-3.1-3'!P91</f>
        <v>0</v>
      </c>
      <c r="E163" s="71">
        <f>154.62*'II-H-3.1-3'!P91</f>
        <v>0</v>
      </c>
      <c r="F163" s="71">
        <f>'II-H-4.1 Dist kW'!P121*2.945*(1-$V$23)</f>
        <v>0</v>
      </c>
      <c r="G163" s="71"/>
      <c r="H163" s="71"/>
      <c r="I163" s="71"/>
      <c r="J163" s="71">
        <f>SUM(D163:I163)</f>
        <v>0</v>
      </c>
      <c r="K163" s="84"/>
      <c r="L163" s="125"/>
      <c r="M163" s="125"/>
      <c r="N163" s="125"/>
      <c r="O163" s="125"/>
      <c r="P163" s="125"/>
      <c r="Q163" s="71">
        <f>-7.07*'II-H-3.1-3'!P91</f>
        <v>0</v>
      </c>
      <c r="R163" s="84">
        <f>SUM(L163:Q163)</f>
        <v>0</v>
      </c>
      <c r="S163" s="84"/>
      <c r="T163" s="84">
        <f>R163+J163</f>
        <v>0</v>
      </c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  <c r="AQ163" s="68"/>
      <c r="AR163" s="68"/>
      <c r="AS163" s="68"/>
      <c r="AT163" s="68"/>
      <c r="AU163" s="68"/>
      <c r="AV163" s="68"/>
      <c r="AW163" s="68"/>
      <c r="AX163" s="68"/>
      <c r="AY163" s="68"/>
      <c r="AZ163" s="68"/>
      <c r="BA163" s="68"/>
      <c r="BB163" s="68"/>
      <c r="BC163" s="68"/>
      <c r="BD163" s="68"/>
      <c r="BE163" s="68"/>
      <c r="BF163" s="68"/>
      <c r="BG163" s="68"/>
      <c r="BH163" s="68"/>
      <c r="BI163" s="68"/>
      <c r="BJ163" s="68"/>
      <c r="BK163" s="68"/>
      <c r="BL163" s="68"/>
      <c r="BM163" s="68"/>
      <c r="BN163" s="68"/>
      <c r="BO163" s="68"/>
      <c r="BP163" s="68"/>
      <c r="BQ163" s="68"/>
      <c r="BR163" s="68"/>
      <c r="BS163" s="68"/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68"/>
      <c r="DI163" s="68"/>
      <c r="DJ163" s="68"/>
      <c r="DK163" s="68"/>
      <c r="DL163" s="68"/>
      <c r="DM163" s="68"/>
      <c r="DN163" s="68"/>
      <c r="DO163" s="68"/>
      <c r="DP163" s="68"/>
      <c r="DQ163" s="68"/>
      <c r="DR163" s="68"/>
      <c r="DS163" s="68"/>
      <c r="DT163" s="68"/>
      <c r="DU163" s="68"/>
      <c r="DV163" s="68"/>
      <c r="DW163" s="68"/>
      <c r="DX163" s="68"/>
      <c r="DY163" s="68"/>
      <c r="DZ163" s="68"/>
      <c r="EA163" s="68"/>
      <c r="EB163" s="68"/>
      <c r="EC163" s="68"/>
      <c r="ED163" s="68"/>
      <c r="EE163" s="68"/>
      <c r="EF163" s="68"/>
      <c r="EG163" s="68"/>
      <c r="EH163" s="68"/>
      <c r="EI163" s="68"/>
      <c r="EJ163" s="68"/>
    </row>
    <row r="164" spans="1:140" s="78" customFormat="1">
      <c r="A164" s="83">
        <v>7</v>
      </c>
      <c r="B164" s="87" t="s">
        <v>83</v>
      </c>
      <c r="C164" s="74" t="s">
        <v>5</v>
      </c>
      <c r="D164" s="84">
        <f>28.41*'II-H-3.1-3'!P92</f>
        <v>0</v>
      </c>
      <c r="E164" s="84">
        <f>154.62*'II-H-3.1-3'!P92</f>
        <v>0</v>
      </c>
      <c r="F164" s="84">
        <f>'II-H-4.1 Dist kW'!P122*2.945*(1-$V$24)</f>
        <v>0</v>
      </c>
      <c r="G164" s="84"/>
      <c r="H164" s="84"/>
      <c r="I164" s="84"/>
      <c r="J164" s="84">
        <f>SUM(D164:I164)</f>
        <v>0</v>
      </c>
      <c r="K164" s="84"/>
      <c r="L164" s="125"/>
      <c r="M164" s="125"/>
      <c r="N164" s="125"/>
      <c r="O164" s="125"/>
      <c r="P164" s="125"/>
      <c r="Q164" s="84"/>
      <c r="R164" s="84">
        <f>SUM(L164:Q164)</f>
        <v>0</v>
      </c>
      <c r="S164" s="84"/>
      <c r="T164" s="84">
        <f>R164+J164</f>
        <v>0</v>
      </c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  <c r="AO164" s="68"/>
      <c r="AP164" s="68"/>
      <c r="AQ164" s="68"/>
      <c r="AR164" s="68"/>
      <c r="AS164" s="68"/>
      <c r="AT164" s="68"/>
      <c r="AU164" s="68"/>
      <c r="AV164" s="68"/>
      <c r="AW164" s="68"/>
      <c r="AX164" s="68"/>
      <c r="AY164" s="68"/>
      <c r="AZ164" s="68"/>
      <c r="BA164" s="68"/>
      <c r="BB164" s="68"/>
      <c r="BC164" s="68"/>
      <c r="BD164" s="68"/>
      <c r="BE164" s="68"/>
      <c r="BF164" s="68"/>
      <c r="BG164" s="68"/>
      <c r="BH164" s="68"/>
      <c r="BI164" s="68"/>
      <c r="BJ164" s="68"/>
      <c r="BK164" s="68"/>
      <c r="BL164" s="68"/>
      <c r="BM164" s="68"/>
      <c r="BN164" s="68"/>
      <c r="BO164" s="68"/>
      <c r="BP164" s="68"/>
      <c r="BQ164" s="68"/>
      <c r="BR164" s="68"/>
      <c r="BS164" s="68"/>
      <c r="BT164" s="68"/>
      <c r="BU164" s="68"/>
      <c r="BV164" s="68"/>
      <c r="BW164" s="68"/>
      <c r="BX164" s="68"/>
      <c r="BY164" s="68"/>
      <c r="BZ164" s="68"/>
      <c r="CA164" s="68"/>
      <c r="CB164" s="68"/>
      <c r="CC164" s="68"/>
      <c r="CD164" s="68"/>
      <c r="CE164" s="68"/>
      <c r="CF164" s="68"/>
      <c r="CG164" s="68"/>
      <c r="CH164" s="68"/>
      <c r="CI164" s="68"/>
      <c r="CJ164" s="68"/>
      <c r="CK164" s="68"/>
      <c r="CL164" s="68"/>
      <c r="CM164" s="68"/>
      <c r="CN164" s="68"/>
      <c r="CO164" s="68"/>
      <c r="CP164" s="68"/>
      <c r="CQ164" s="68"/>
      <c r="CR164" s="68"/>
      <c r="CS164" s="68"/>
      <c r="CT164" s="68"/>
      <c r="CU164" s="68"/>
      <c r="CV164" s="68"/>
      <c r="CW164" s="68"/>
      <c r="CX164" s="68"/>
      <c r="CY164" s="68"/>
      <c r="CZ164" s="68"/>
      <c r="DA164" s="68"/>
      <c r="DB164" s="68"/>
      <c r="DC164" s="68"/>
      <c r="DD164" s="68"/>
      <c r="DE164" s="68"/>
      <c r="DF164" s="68"/>
      <c r="DG164" s="68"/>
      <c r="DH164" s="68"/>
      <c r="DI164" s="68"/>
      <c r="DJ164" s="68"/>
      <c r="DK164" s="68"/>
      <c r="DL164" s="68"/>
      <c r="DM164" s="68"/>
      <c r="DN164" s="68"/>
      <c r="DO164" s="68"/>
      <c r="DP164" s="68"/>
      <c r="DQ164" s="68"/>
      <c r="DR164" s="68"/>
      <c r="DS164" s="68"/>
      <c r="DT164" s="68"/>
      <c r="DU164" s="68"/>
      <c r="DV164" s="68"/>
      <c r="DW164" s="68"/>
      <c r="DX164" s="68"/>
      <c r="DY164" s="68"/>
      <c r="DZ164" s="68"/>
      <c r="EA164" s="68"/>
      <c r="EB164" s="68"/>
      <c r="EC164" s="68"/>
      <c r="ED164" s="68"/>
      <c r="EE164" s="68"/>
      <c r="EF164" s="68"/>
      <c r="EG164" s="68"/>
      <c r="EH164" s="68"/>
      <c r="EI164" s="68"/>
      <c r="EJ164" s="68"/>
    </row>
    <row r="165" spans="1:140" s="78" customFormat="1">
      <c r="A165" s="83">
        <v>8</v>
      </c>
      <c r="B165" s="87" t="s">
        <v>148</v>
      </c>
      <c r="C165" s="74" t="s">
        <v>5</v>
      </c>
      <c r="D165" s="84"/>
      <c r="E165" s="84"/>
      <c r="F165" s="84"/>
      <c r="G165" s="84"/>
      <c r="H165" s="84"/>
      <c r="I165" s="84"/>
      <c r="J165" s="84"/>
      <c r="K165" s="84"/>
      <c r="L165" s="125"/>
      <c r="M165" s="125"/>
      <c r="N165" s="125"/>
      <c r="O165" s="125"/>
      <c r="P165" s="125"/>
      <c r="Q165" s="84"/>
      <c r="R165" s="84"/>
      <c r="S165" s="84"/>
      <c r="T165" s="84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  <c r="AO165" s="68"/>
      <c r="AP165" s="68"/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68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68"/>
      <c r="CB165" s="68"/>
      <c r="CC165" s="68"/>
      <c r="CD165" s="68"/>
      <c r="CE165" s="68"/>
      <c r="CF165" s="68"/>
      <c r="CG165" s="68"/>
      <c r="CH165" s="68"/>
      <c r="CI165" s="68"/>
      <c r="CJ165" s="68"/>
      <c r="CK165" s="68"/>
      <c r="CL165" s="68"/>
      <c r="CM165" s="68"/>
      <c r="CN165" s="68"/>
      <c r="CO165" s="68"/>
      <c r="CP165" s="68"/>
      <c r="CQ165" s="68"/>
      <c r="CR165" s="68"/>
      <c r="CS165" s="68"/>
      <c r="CT165" s="68"/>
      <c r="CU165" s="68"/>
      <c r="CV165" s="68"/>
      <c r="CW165" s="68"/>
      <c r="CX165" s="68"/>
      <c r="CY165" s="68"/>
      <c r="CZ165" s="68"/>
      <c r="DA165" s="68"/>
      <c r="DB165" s="68"/>
      <c r="DC165" s="68"/>
      <c r="DD165" s="68"/>
      <c r="DE165" s="68"/>
      <c r="DF165" s="68"/>
      <c r="DG165" s="68"/>
      <c r="DH165" s="68"/>
      <c r="DI165" s="68"/>
      <c r="DJ165" s="68"/>
      <c r="DK165" s="68"/>
      <c r="DL165" s="68"/>
      <c r="DM165" s="68"/>
      <c r="DN165" s="68"/>
      <c r="DO165" s="68"/>
      <c r="DP165" s="68"/>
      <c r="DQ165" s="68"/>
      <c r="DR165" s="68"/>
      <c r="DS165" s="68"/>
      <c r="DT165" s="68"/>
      <c r="DU165" s="68"/>
      <c r="DV165" s="68"/>
      <c r="DW165" s="68"/>
      <c r="DX165" s="68"/>
      <c r="DY165" s="68"/>
      <c r="DZ165" s="68"/>
      <c r="EA165" s="68"/>
      <c r="EB165" s="68"/>
      <c r="EC165" s="68"/>
      <c r="ED165" s="68"/>
      <c r="EE165" s="68"/>
      <c r="EF165" s="68"/>
      <c r="EG165" s="68"/>
      <c r="EH165" s="68"/>
      <c r="EI165" s="68"/>
      <c r="EJ165" s="68"/>
    </row>
    <row r="166" spans="1:140" s="78" customFormat="1">
      <c r="A166" s="83">
        <v>9</v>
      </c>
      <c r="B166" s="87" t="s">
        <v>149</v>
      </c>
      <c r="C166" s="74" t="s">
        <v>5</v>
      </c>
      <c r="D166" s="72"/>
      <c r="E166" s="72"/>
      <c r="F166" s="72"/>
      <c r="G166" s="72"/>
      <c r="H166" s="72"/>
      <c r="I166" s="72"/>
      <c r="J166" s="72"/>
      <c r="K166" s="84"/>
      <c r="L166" s="126"/>
      <c r="M166" s="126"/>
      <c r="N166" s="126"/>
      <c r="O166" s="126"/>
      <c r="P166" s="126"/>
      <c r="Q166" s="72"/>
      <c r="R166" s="72"/>
      <c r="S166" s="84"/>
      <c r="T166" s="72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68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68"/>
      <c r="CB166" s="68"/>
      <c r="CC166" s="68"/>
      <c r="CD166" s="68"/>
      <c r="CE166" s="68"/>
      <c r="CF166" s="68"/>
      <c r="CG166" s="68"/>
      <c r="CH166" s="68"/>
      <c r="CI166" s="68"/>
      <c r="CJ166" s="68"/>
      <c r="CK166" s="68"/>
      <c r="CL166" s="68"/>
      <c r="CM166" s="68"/>
      <c r="CN166" s="68"/>
      <c r="CO166" s="68"/>
      <c r="CP166" s="68"/>
      <c r="CQ166" s="68"/>
      <c r="CR166" s="68"/>
      <c r="CS166" s="68"/>
      <c r="CT166" s="68"/>
      <c r="CU166" s="68"/>
      <c r="CV166" s="68"/>
      <c r="CW166" s="68"/>
      <c r="CX166" s="68"/>
      <c r="CY166" s="68"/>
      <c r="CZ166" s="68"/>
      <c r="DA166" s="68"/>
      <c r="DB166" s="68"/>
      <c r="DC166" s="68"/>
      <c r="DD166" s="68"/>
      <c r="DE166" s="68"/>
      <c r="DF166" s="68"/>
      <c r="DG166" s="68"/>
      <c r="DH166" s="68"/>
      <c r="DI166" s="68"/>
      <c r="DJ166" s="68"/>
      <c r="DK166" s="68"/>
      <c r="DL166" s="68"/>
      <c r="DM166" s="68"/>
      <c r="DN166" s="68"/>
      <c r="DO166" s="68"/>
      <c r="DP166" s="68"/>
      <c r="DQ166" s="68"/>
      <c r="DR166" s="68"/>
      <c r="DS166" s="68"/>
      <c r="DT166" s="68"/>
      <c r="DU166" s="68"/>
      <c r="DV166" s="68"/>
      <c r="DW166" s="68"/>
      <c r="DX166" s="68"/>
      <c r="DY166" s="68"/>
      <c r="DZ166" s="68"/>
      <c r="EA166" s="68"/>
      <c r="EB166" s="68"/>
      <c r="EC166" s="68"/>
      <c r="ED166" s="68"/>
      <c r="EE166" s="68"/>
      <c r="EF166" s="68"/>
      <c r="EG166" s="68"/>
      <c r="EH166" s="68"/>
      <c r="EI166" s="68"/>
      <c r="EJ166" s="68"/>
    </row>
    <row r="167" spans="1:140" s="78" customFormat="1">
      <c r="A167" s="83">
        <v>10</v>
      </c>
      <c r="B167" s="78" t="s">
        <v>19</v>
      </c>
      <c r="C167" s="74"/>
      <c r="D167" s="71">
        <f>SUM(D163:D164)</f>
        <v>0</v>
      </c>
      <c r="E167" s="71">
        <f>SUM(E163:E164)</f>
        <v>0</v>
      </c>
      <c r="F167" s="71">
        <f>SUM(F163:F164)</f>
        <v>0</v>
      </c>
      <c r="G167" s="71">
        <f>SUM(G163:G164)</f>
        <v>0</v>
      </c>
      <c r="H167" s="71"/>
      <c r="I167" s="71">
        <f>SUM(I163:I164)</f>
        <v>0</v>
      </c>
      <c r="J167" s="71">
        <f>SUM(D167:I167)</f>
        <v>0</v>
      </c>
      <c r="K167" s="84"/>
      <c r="L167" s="125">
        <f t="shared" ref="L167:Q167" si="69">SUM(L163:L164)</f>
        <v>0</v>
      </c>
      <c r="M167" s="125">
        <f t="shared" si="69"/>
        <v>0</v>
      </c>
      <c r="N167" s="125"/>
      <c r="O167" s="125">
        <f t="shared" si="69"/>
        <v>0</v>
      </c>
      <c r="P167" s="125">
        <f t="shared" si="69"/>
        <v>0</v>
      </c>
      <c r="Q167" s="125">
        <f t="shared" si="69"/>
        <v>0</v>
      </c>
      <c r="R167" s="86">
        <f>SUM(L167:Q167)</f>
        <v>0</v>
      </c>
      <c r="S167" s="86"/>
      <c r="T167" s="84">
        <f>R167+J167</f>
        <v>0</v>
      </c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  <c r="AO167" s="68"/>
      <c r="AP167" s="68"/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68"/>
      <c r="BN167" s="68"/>
      <c r="BO167" s="68"/>
      <c r="BP167" s="68"/>
      <c r="BQ167" s="68"/>
      <c r="BR167" s="68"/>
      <c r="BS167" s="68"/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68"/>
      <c r="DI167" s="68"/>
      <c r="DJ167" s="68"/>
      <c r="DK167" s="68"/>
      <c r="DL167" s="68"/>
      <c r="DM167" s="68"/>
      <c r="DN167" s="68"/>
      <c r="DO167" s="68"/>
      <c r="DP167" s="68"/>
      <c r="DQ167" s="68"/>
      <c r="DR167" s="68"/>
      <c r="DS167" s="68"/>
      <c r="DT167" s="68"/>
      <c r="DU167" s="68"/>
      <c r="DV167" s="68"/>
      <c r="DW167" s="68"/>
      <c r="DX167" s="68"/>
      <c r="DY167" s="68"/>
      <c r="DZ167" s="68"/>
      <c r="EA167" s="68"/>
      <c r="EB167" s="68"/>
      <c r="EC167" s="68"/>
      <c r="ED167" s="68"/>
      <c r="EE167" s="68"/>
      <c r="EF167" s="68"/>
      <c r="EG167" s="68"/>
      <c r="EH167" s="68"/>
      <c r="EI167" s="68"/>
      <c r="EJ167" s="68"/>
    </row>
    <row r="168" spans="1:140" s="78" customFormat="1">
      <c r="A168" s="83"/>
      <c r="C168" s="74"/>
      <c r="D168" s="71"/>
      <c r="E168" s="71"/>
      <c r="F168" s="71"/>
      <c r="G168" s="71"/>
      <c r="H168" s="71"/>
      <c r="I168" s="71"/>
      <c r="J168" s="71"/>
      <c r="K168" s="84"/>
      <c r="L168" s="68"/>
      <c r="M168" s="68"/>
      <c r="N168" s="68"/>
      <c r="O168" s="68"/>
      <c r="P168" s="68"/>
      <c r="Q168" s="68"/>
      <c r="R168" s="68"/>
      <c r="S168" s="68"/>
      <c r="T168" s="84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  <c r="AO168" s="68"/>
      <c r="AP168" s="68"/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68"/>
      <c r="BN168" s="68"/>
      <c r="BO168" s="68"/>
      <c r="BP168" s="68"/>
      <c r="BQ168" s="68"/>
      <c r="BR168" s="68"/>
      <c r="BS168" s="68"/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68"/>
      <c r="DI168" s="68"/>
      <c r="DJ168" s="68"/>
      <c r="DK168" s="68"/>
      <c r="DL168" s="68"/>
      <c r="DM168" s="68"/>
      <c r="DN168" s="68"/>
      <c r="DO168" s="68"/>
      <c r="DP168" s="68"/>
      <c r="DQ168" s="68"/>
      <c r="DR168" s="68"/>
      <c r="DS168" s="68"/>
      <c r="DT168" s="68"/>
      <c r="DU168" s="68"/>
      <c r="DV168" s="68"/>
      <c r="DW168" s="68"/>
      <c r="DX168" s="68"/>
      <c r="DY168" s="68"/>
      <c r="DZ168" s="68"/>
      <c r="EA168" s="68"/>
      <c r="EB168" s="68"/>
      <c r="EC168" s="68"/>
      <c r="ED168" s="68"/>
      <c r="EE168" s="68"/>
      <c r="EF168" s="68"/>
      <c r="EG168" s="68"/>
      <c r="EH168" s="68"/>
      <c r="EI168" s="68"/>
      <c r="EJ168" s="68"/>
    </row>
    <row r="169" spans="1:140" s="78" customFormat="1">
      <c r="A169" s="83">
        <v>11</v>
      </c>
      <c r="B169" s="96" t="s">
        <v>86</v>
      </c>
      <c r="C169" s="74" t="s">
        <v>6</v>
      </c>
      <c r="D169" s="71"/>
      <c r="E169" s="71"/>
      <c r="F169" s="71"/>
      <c r="G169" s="71"/>
      <c r="H169" s="71"/>
      <c r="I169" s="71"/>
      <c r="J169" s="71">
        <f>SUM(D169:I169)</f>
        <v>0</v>
      </c>
      <c r="K169" s="84"/>
      <c r="L169" s="125"/>
      <c r="M169" s="125"/>
      <c r="N169" s="125"/>
      <c r="O169" s="125"/>
      <c r="P169" s="125"/>
      <c r="Q169" s="125"/>
      <c r="R169" s="84">
        <f>SUM(L169:Q169)</f>
        <v>0</v>
      </c>
      <c r="S169" s="84"/>
      <c r="T169" s="84">
        <f>R169+J169</f>
        <v>0</v>
      </c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  <c r="AO169" s="68"/>
      <c r="AP169" s="68"/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68"/>
      <c r="BN169" s="68"/>
      <c r="BO169" s="68"/>
      <c r="BP169" s="68"/>
      <c r="BQ169" s="68"/>
      <c r="BR169" s="68"/>
      <c r="BS169" s="68"/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68"/>
      <c r="DI169" s="68"/>
      <c r="DJ169" s="68"/>
      <c r="DK169" s="68"/>
      <c r="DL169" s="68"/>
      <c r="DM169" s="68"/>
      <c r="DN169" s="68"/>
      <c r="DO169" s="68"/>
      <c r="DP169" s="68"/>
      <c r="DQ169" s="68"/>
      <c r="DR169" s="68"/>
      <c r="DS169" s="68"/>
      <c r="DT169" s="68"/>
      <c r="DU169" s="68"/>
      <c r="DV169" s="68"/>
      <c r="DW169" s="68"/>
      <c r="DX169" s="68"/>
      <c r="DY169" s="68"/>
      <c r="DZ169" s="68"/>
      <c r="EA169" s="68"/>
      <c r="EB169" s="68"/>
      <c r="EC169" s="68"/>
      <c r="ED169" s="68"/>
      <c r="EE169" s="68"/>
      <c r="EF169" s="68"/>
      <c r="EG169" s="68"/>
      <c r="EH169" s="68"/>
      <c r="EI169" s="68"/>
      <c r="EJ169" s="68"/>
    </row>
    <row r="170" spans="1:140" s="78" customFormat="1">
      <c r="A170" s="83"/>
      <c r="C170" s="85"/>
      <c r="D170" s="132"/>
      <c r="E170" s="132"/>
      <c r="F170" s="132"/>
      <c r="G170" s="132"/>
      <c r="H170" s="132"/>
      <c r="I170" s="132"/>
      <c r="J170" s="94"/>
      <c r="K170" s="77"/>
      <c r="L170" s="68"/>
      <c r="M170" s="68"/>
      <c r="N170" s="68"/>
      <c r="O170" s="68"/>
      <c r="P170" s="68"/>
      <c r="Q170" s="68"/>
      <c r="R170" s="68"/>
      <c r="S170" s="68"/>
      <c r="T170" s="84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  <c r="AN170" s="68"/>
      <c r="AO170" s="68"/>
      <c r="AP170" s="68"/>
      <c r="AQ170" s="68"/>
      <c r="AR170" s="68"/>
      <c r="AS170" s="68"/>
      <c r="AT170" s="68"/>
      <c r="AU170" s="68"/>
      <c r="AV170" s="68"/>
      <c r="AW170" s="68"/>
      <c r="AX170" s="68"/>
      <c r="AY170" s="68"/>
      <c r="AZ170" s="68"/>
      <c r="BA170" s="68"/>
      <c r="BB170" s="68"/>
      <c r="BC170" s="68"/>
      <c r="BD170" s="68"/>
      <c r="BE170" s="68"/>
      <c r="BF170" s="68"/>
      <c r="BG170" s="68"/>
      <c r="BH170" s="68"/>
      <c r="BI170" s="68"/>
      <c r="BJ170" s="68"/>
      <c r="BK170" s="68"/>
      <c r="BL170" s="68"/>
      <c r="BM170" s="68"/>
      <c r="BN170" s="68"/>
      <c r="BO170" s="68"/>
      <c r="BP170" s="68"/>
      <c r="BQ170" s="68"/>
      <c r="BR170" s="68"/>
      <c r="BS170" s="68"/>
      <c r="BT170" s="68"/>
      <c r="BU170" s="68"/>
      <c r="BV170" s="68"/>
      <c r="BW170" s="68"/>
      <c r="BX170" s="68"/>
      <c r="BY170" s="68"/>
      <c r="BZ170" s="68"/>
      <c r="CA170" s="68"/>
      <c r="CB170" s="68"/>
      <c r="CC170" s="68"/>
      <c r="CD170" s="68"/>
      <c r="CE170" s="68"/>
      <c r="CF170" s="68"/>
      <c r="CG170" s="68"/>
      <c r="CH170" s="68"/>
      <c r="CI170" s="68"/>
      <c r="CJ170" s="68"/>
      <c r="CK170" s="68"/>
      <c r="CL170" s="68"/>
      <c r="CM170" s="68"/>
      <c r="CN170" s="68"/>
      <c r="CO170" s="68"/>
      <c r="CP170" s="68"/>
      <c r="CQ170" s="68"/>
      <c r="CR170" s="68"/>
      <c r="CS170" s="68"/>
      <c r="CT170" s="68"/>
      <c r="CU170" s="68"/>
      <c r="CV170" s="68"/>
      <c r="CW170" s="68"/>
      <c r="CX170" s="68"/>
      <c r="CY170" s="68"/>
      <c r="CZ170" s="68"/>
      <c r="DA170" s="68"/>
      <c r="DB170" s="68"/>
      <c r="DC170" s="68"/>
      <c r="DD170" s="68"/>
      <c r="DE170" s="68"/>
      <c r="DF170" s="68"/>
      <c r="DG170" s="68"/>
      <c r="DH170" s="68"/>
      <c r="DI170" s="68"/>
      <c r="DJ170" s="68"/>
      <c r="DK170" s="68"/>
      <c r="DL170" s="68"/>
      <c r="DM170" s="68"/>
      <c r="DN170" s="68"/>
      <c r="DO170" s="68"/>
      <c r="DP170" s="68"/>
      <c r="DQ170" s="68"/>
      <c r="DR170" s="68"/>
      <c r="DS170" s="68"/>
      <c r="DT170" s="68"/>
      <c r="DU170" s="68"/>
      <c r="DV170" s="68"/>
      <c r="DW170" s="68"/>
      <c r="DX170" s="68"/>
      <c r="DY170" s="68"/>
      <c r="DZ170" s="68"/>
      <c r="EA170" s="68"/>
      <c r="EB170" s="68"/>
      <c r="EC170" s="68"/>
      <c r="ED170" s="68"/>
      <c r="EE170" s="68"/>
      <c r="EF170" s="68"/>
      <c r="EG170" s="68"/>
      <c r="EH170" s="68"/>
      <c r="EI170" s="68"/>
      <c r="EJ170" s="68"/>
    </row>
    <row r="171" spans="1:140" s="78" customFormat="1">
      <c r="A171" s="83">
        <v>12</v>
      </c>
      <c r="B171" s="68" t="s">
        <v>21</v>
      </c>
      <c r="C171" s="74" t="s">
        <v>4</v>
      </c>
      <c r="D171" s="71"/>
      <c r="E171" s="71"/>
      <c r="F171" s="71"/>
      <c r="G171" s="71"/>
      <c r="H171" s="71"/>
      <c r="I171" s="71"/>
      <c r="J171" s="71">
        <f>SUM(D171:I171)</f>
        <v>0</v>
      </c>
      <c r="K171" s="84"/>
      <c r="L171" s="125"/>
      <c r="M171" s="125"/>
      <c r="N171" s="125"/>
      <c r="O171" s="125"/>
      <c r="P171" s="125"/>
      <c r="Q171" s="125"/>
      <c r="R171" s="84">
        <f>SUM(L171:Q171)</f>
        <v>0</v>
      </c>
      <c r="S171" s="84"/>
      <c r="T171" s="84">
        <f>R171+J171</f>
        <v>0</v>
      </c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  <c r="AO171" s="68"/>
      <c r="AP171" s="68"/>
      <c r="AQ171" s="68"/>
      <c r="AR171" s="68"/>
      <c r="AS171" s="68"/>
      <c r="AT171" s="68"/>
      <c r="AU171" s="68"/>
      <c r="AV171" s="68"/>
      <c r="AW171" s="68"/>
      <c r="AX171" s="68"/>
      <c r="AY171" s="68"/>
      <c r="AZ171" s="68"/>
      <c r="BA171" s="68"/>
      <c r="BB171" s="68"/>
      <c r="BC171" s="68"/>
      <c r="BD171" s="68"/>
      <c r="BE171" s="68"/>
      <c r="BF171" s="68"/>
      <c r="BG171" s="68"/>
      <c r="BH171" s="68"/>
      <c r="BI171" s="68"/>
      <c r="BJ171" s="68"/>
      <c r="BK171" s="68"/>
      <c r="BL171" s="68"/>
      <c r="BM171" s="68"/>
      <c r="BN171" s="68"/>
      <c r="BO171" s="68"/>
      <c r="BP171" s="68"/>
      <c r="BQ171" s="68"/>
      <c r="BR171" s="68"/>
      <c r="BS171" s="68"/>
      <c r="BT171" s="68"/>
      <c r="BU171" s="68"/>
      <c r="BV171" s="68"/>
      <c r="BW171" s="68"/>
      <c r="BX171" s="68"/>
      <c r="BY171" s="68"/>
      <c r="BZ171" s="68"/>
      <c r="CA171" s="68"/>
      <c r="CB171" s="68"/>
      <c r="CC171" s="68"/>
      <c r="CD171" s="68"/>
      <c r="CE171" s="68"/>
      <c r="CF171" s="68"/>
      <c r="CG171" s="68"/>
      <c r="CH171" s="68"/>
      <c r="CI171" s="68"/>
      <c r="CJ171" s="68"/>
      <c r="CK171" s="68"/>
      <c r="CL171" s="68"/>
      <c r="CM171" s="68"/>
      <c r="CN171" s="68"/>
      <c r="CO171" s="68"/>
      <c r="CP171" s="68"/>
      <c r="CQ171" s="68"/>
      <c r="CR171" s="68"/>
      <c r="CS171" s="68"/>
      <c r="CT171" s="68"/>
      <c r="CU171" s="68"/>
      <c r="CV171" s="68"/>
      <c r="CW171" s="68"/>
      <c r="CX171" s="68"/>
      <c r="CY171" s="68"/>
      <c r="CZ171" s="68"/>
      <c r="DA171" s="68"/>
      <c r="DB171" s="68"/>
      <c r="DC171" s="68"/>
      <c r="DD171" s="68"/>
      <c r="DE171" s="68"/>
      <c r="DF171" s="68"/>
      <c r="DG171" s="68"/>
      <c r="DH171" s="68"/>
      <c r="DI171" s="68"/>
      <c r="DJ171" s="68"/>
      <c r="DK171" s="68"/>
      <c r="DL171" s="68"/>
      <c r="DM171" s="68"/>
      <c r="DN171" s="68"/>
      <c r="DO171" s="68"/>
      <c r="DP171" s="68"/>
      <c r="DQ171" s="68"/>
      <c r="DR171" s="68"/>
      <c r="DS171" s="68"/>
      <c r="DT171" s="68"/>
      <c r="DU171" s="68"/>
      <c r="DV171" s="68"/>
      <c r="DW171" s="68"/>
      <c r="DX171" s="68"/>
      <c r="DY171" s="68"/>
      <c r="DZ171" s="68"/>
      <c r="EA171" s="68"/>
      <c r="EB171" s="68"/>
      <c r="EC171" s="68"/>
      <c r="ED171" s="68"/>
      <c r="EE171" s="68"/>
      <c r="EF171" s="68"/>
      <c r="EG171" s="68"/>
      <c r="EH171" s="68"/>
      <c r="EI171" s="68"/>
      <c r="EJ171" s="68"/>
    </row>
    <row r="172" spans="1:140" s="78" customFormat="1">
      <c r="A172" s="83"/>
      <c r="C172" s="85"/>
      <c r="D172" s="94"/>
      <c r="E172" s="94"/>
      <c r="F172" s="94"/>
      <c r="G172" s="94"/>
      <c r="H172" s="94"/>
      <c r="I172" s="94"/>
      <c r="J172" s="94"/>
      <c r="K172" s="77"/>
      <c r="L172" s="68"/>
      <c r="M172" s="68"/>
      <c r="N172" s="68"/>
      <c r="O172" s="68"/>
      <c r="P172" s="68"/>
      <c r="Q172" s="68"/>
      <c r="R172" s="68"/>
      <c r="S172" s="68"/>
      <c r="T172" s="84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  <c r="AO172" s="68"/>
      <c r="AP172" s="68"/>
      <c r="AQ172" s="68"/>
      <c r="AR172" s="68"/>
      <c r="AS172" s="68"/>
      <c r="AT172" s="68"/>
      <c r="AU172" s="68"/>
      <c r="AV172" s="68"/>
      <c r="AW172" s="68"/>
      <c r="AX172" s="68"/>
      <c r="AY172" s="68"/>
      <c r="AZ172" s="68"/>
      <c r="BA172" s="68"/>
      <c r="BB172" s="68"/>
      <c r="BC172" s="68"/>
      <c r="BD172" s="68"/>
      <c r="BE172" s="68"/>
      <c r="BF172" s="68"/>
      <c r="BG172" s="68"/>
      <c r="BH172" s="68"/>
      <c r="BI172" s="68"/>
      <c r="BJ172" s="68"/>
      <c r="BK172" s="68"/>
      <c r="BL172" s="68"/>
      <c r="BM172" s="68"/>
      <c r="BN172" s="68"/>
      <c r="BO172" s="68"/>
      <c r="BP172" s="68"/>
      <c r="BQ172" s="68"/>
      <c r="BR172" s="68"/>
      <c r="BS172" s="68"/>
      <c r="BT172" s="68"/>
      <c r="BU172" s="68"/>
      <c r="BV172" s="68"/>
      <c r="BW172" s="68"/>
      <c r="BX172" s="68"/>
      <c r="BY172" s="68"/>
      <c r="BZ172" s="68"/>
      <c r="CA172" s="68"/>
      <c r="CB172" s="68"/>
      <c r="CC172" s="68"/>
      <c r="CD172" s="68"/>
      <c r="CE172" s="68"/>
      <c r="CF172" s="68"/>
      <c r="CG172" s="68"/>
      <c r="CH172" s="68"/>
      <c r="CI172" s="68"/>
      <c r="CJ172" s="68"/>
      <c r="CK172" s="68"/>
      <c r="CL172" s="68"/>
      <c r="CM172" s="68"/>
      <c r="CN172" s="68"/>
      <c r="CO172" s="68"/>
      <c r="CP172" s="68"/>
      <c r="CQ172" s="68"/>
      <c r="CR172" s="68"/>
      <c r="CS172" s="68"/>
      <c r="CT172" s="68"/>
      <c r="CU172" s="68"/>
      <c r="CV172" s="68"/>
      <c r="CW172" s="68"/>
      <c r="CX172" s="68"/>
      <c r="CY172" s="68"/>
      <c r="CZ172" s="68"/>
      <c r="DA172" s="68"/>
      <c r="DB172" s="68"/>
      <c r="DC172" s="68"/>
      <c r="DD172" s="68"/>
      <c r="DE172" s="68"/>
      <c r="DF172" s="68"/>
      <c r="DG172" s="68"/>
      <c r="DH172" s="68"/>
      <c r="DI172" s="68"/>
      <c r="DJ172" s="68"/>
      <c r="DK172" s="68"/>
      <c r="DL172" s="68"/>
      <c r="DM172" s="68"/>
      <c r="DN172" s="68"/>
      <c r="DO172" s="68"/>
      <c r="DP172" s="68"/>
      <c r="DQ172" s="68"/>
      <c r="DR172" s="68"/>
      <c r="DS172" s="68"/>
      <c r="DT172" s="68"/>
      <c r="DU172" s="68"/>
      <c r="DV172" s="68"/>
      <c r="DW172" s="68"/>
      <c r="DX172" s="68"/>
      <c r="DY172" s="68"/>
      <c r="DZ172" s="68"/>
      <c r="EA172" s="68"/>
      <c r="EB172" s="68"/>
      <c r="EC172" s="68"/>
      <c r="ED172" s="68"/>
      <c r="EE172" s="68"/>
      <c r="EF172" s="68"/>
      <c r="EG172" s="68"/>
      <c r="EH172" s="68"/>
      <c r="EI172" s="68"/>
      <c r="EJ172" s="68"/>
    </row>
    <row r="173" spans="1:140" s="78" customFormat="1">
      <c r="A173" s="83">
        <v>13</v>
      </c>
      <c r="B173" s="114" t="s">
        <v>22</v>
      </c>
      <c r="C173" s="360"/>
      <c r="D173" s="115">
        <f>D171+D169+D167+D161+D157+D155</f>
        <v>0</v>
      </c>
      <c r="E173" s="115">
        <f>E171+E169+E167+E161+E157+E155</f>
        <v>0</v>
      </c>
      <c r="F173" s="115">
        <f>F171+F169+F167+F161+F157+F155</f>
        <v>0</v>
      </c>
      <c r="G173" s="115">
        <f>G171+G169+G167+G161+G157+G155</f>
        <v>-4260.12</v>
      </c>
      <c r="H173" s="115"/>
      <c r="I173" s="115">
        <f>I171+I169+I167+I161+I157+I155</f>
        <v>0</v>
      </c>
      <c r="J173" s="115">
        <f>SUM(D173:I173)</f>
        <v>-4260.12</v>
      </c>
      <c r="K173" s="76"/>
      <c r="L173" s="115">
        <f t="shared" ref="L173:Q173" si="70">L171+L169+L167+L161+L157+L155</f>
        <v>0</v>
      </c>
      <c r="M173" s="115">
        <f t="shared" si="70"/>
        <v>0</v>
      </c>
      <c r="N173" s="115"/>
      <c r="O173" s="115">
        <f t="shared" si="70"/>
        <v>0</v>
      </c>
      <c r="P173" s="115">
        <f t="shared" si="70"/>
        <v>0</v>
      </c>
      <c r="Q173" s="115">
        <f t="shared" si="70"/>
        <v>0</v>
      </c>
      <c r="R173" s="150">
        <f>SUM(L173:Q173)</f>
        <v>0</v>
      </c>
      <c r="S173" s="86"/>
      <c r="T173" s="129">
        <f>R173+J173</f>
        <v>-4260.12</v>
      </c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  <c r="AO173" s="68"/>
      <c r="AP173" s="68"/>
      <c r="AQ173" s="68"/>
      <c r="AR173" s="68"/>
      <c r="AS173" s="68"/>
      <c r="AT173" s="68"/>
      <c r="AU173" s="68"/>
      <c r="AV173" s="68"/>
      <c r="AW173" s="68"/>
      <c r="AX173" s="68"/>
      <c r="AY173" s="68"/>
      <c r="AZ173" s="68"/>
      <c r="BA173" s="68"/>
      <c r="BB173" s="68"/>
      <c r="BC173" s="68"/>
      <c r="BD173" s="68"/>
      <c r="BE173" s="68"/>
      <c r="BF173" s="68"/>
      <c r="BG173" s="68"/>
      <c r="BH173" s="68"/>
      <c r="BI173" s="68"/>
      <c r="BJ173" s="68"/>
      <c r="BK173" s="68"/>
      <c r="BL173" s="68"/>
      <c r="BM173" s="68"/>
      <c r="BN173" s="68"/>
      <c r="BO173" s="68"/>
      <c r="BP173" s="68"/>
      <c r="BQ173" s="68"/>
      <c r="BR173" s="68"/>
      <c r="BS173" s="68"/>
      <c r="BT173" s="68"/>
      <c r="BU173" s="68"/>
      <c r="BV173" s="68"/>
      <c r="BW173" s="68"/>
      <c r="BX173" s="68"/>
      <c r="BY173" s="68"/>
      <c r="BZ173" s="68"/>
      <c r="CA173" s="68"/>
      <c r="CB173" s="68"/>
      <c r="CC173" s="68"/>
      <c r="CD173" s="68"/>
      <c r="CE173" s="68"/>
      <c r="CF173" s="68"/>
      <c r="CG173" s="68"/>
      <c r="CH173" s="68"/>
      <c r="CI173" s="68"/>
      <c r="CJ173" s="68"/>
      <c r="CK173" s="68"/>
      <c r="CL173" s="68"/>
      <c r="CM173" s="68"/>
      <c r="CN173" s="68"/>
      <c r="CO173" s="68"/>
      <c r="CP173" s="68"/>
      <c r="CQ173" s="68"/>
      <c r="CR173" s="68"/>
      <c r="CS173" s="68"/>
      <c r="CT173" s="68"/>
      <c r="CU173" s="68"/>
      <c r="CV173" s="68"/>
      <c r="CW173" s="68"/>
      <c r="CX173" s="68"/>
      <c r="CY173" s="68"/>
      <c r="CZ173" s="68"/>
      <c r="DA173" s="68"/>
      <c r="DB173" s="68"/>
      <c r="DC173" s="68"/>
      <c r="DD173" s="68"/>
      <c r="DE173" s="68"/>
      <c r="DF173" s="68"/>
      <c r="DG173" s="68"/>
      <c r="DH173" s="68"/>
      <c r="DI173" s="68"/>
      <c r="DJ173" s="68"/>
      <c r="DK173" s="68"/>
      <c r="DL173" s="68"/>
      <c r="DM173" s="68"/>
      <c r="DN173" s="68"/>
      <c r="DO173" s="68"/>
      <c r="DP173" s="68"/>
      <c r="DQ173" s="68"/>
      <c r="DR173" s="68"/>
      <c r="DS173" s="68"/>
      <c r="DT173" s="68"/>
      <c r="DU173" s="68"/>
      <c r="DV173" s="68"/>
      <c r="DW173" s="68"/>
      <c r="DX173" s="68"/>
      <c r="DY173" s="68"/>
      <c r="DZ173" s="68"/>
      <c r="EA173" s="68"/>
      <c r="EB173" s="68"/>
      <c r="EC173" s="68"/>
      <c r="ED173" s="68"/>
      <c r="EE173" s="68"/>
      <c r="EF173" s="68"/>
      <c r="EG173" s="68"/>
      <c r="EH173" s="68"/>
      <c r="EI173" s="68"/>
      <c r="EJ173" s="68"/>
    </row>
    <row r="174" spans="1:140" s="78" customFormat="1">
      <c r="A174" s="83"/>
      <c r="B174" s="360"/>
      <c r="C174" s="360"/>
      <c r="D174" s="100"/>
      <c r="E174" s="100"/>
      <c r="F174" s="100"/>
      <c r="G174" s="100"/>
      <c r="H174" s="100"/>
      <c r="I174" s="100"/>
      <c r="J174" s="100"/>
      <c r="K174" s="76"/>
      <c r="L174" s="68"/>
      <c r="M174" s="68"/>
      <c r="N174" s="68"/>
      <c r="O174" s="68"/>
      <c r="P174" s="68"/>
      <c r="Q174" s="68"/>
      <c r="R174" s="86"/>
      <c r="S174" s="86"/>
      <c r="T174" s="84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  <c r="AO174" s="68"/>
      <c r="AP174" s="68"/>
      <c r="AQ174" s="68"/>
      <c r="AR174" s="68"/>
      <c r="AS174" s="68"/>
      <c r="AT174" s="68"/>
      <c r="AU174" s="68"/>
      <c r="AV174" s="68"/>
      <c r="AW174" s="68"/>
      <c r="AX174" s="68"/>
      <c r="AY174" s="68"/>
      <c r="AZ174" s="68"/>
      <c r="BA174" s="68"/>
      <c r="BB174" s="68"/>
      <c r="BC174" s="68"/>
      <c r="BD174" s="68"/>
      <c r="BE174" s="68"/>
      <c r="BF174" s="68"/>
      <c r="BG174" s="68"/>
      <c r="BH174" s="68"/>
      <c r="BI174" s="68"/>
      <c r="BJ174" s="68"/>
      <c r="BK174" s="68"/>
      <c r="BL174" s="68"/>
      <c r="BM174" s="68"/>
      <c r="BN174" s="68"/>
      <c r="BO174" s="68"/>
      <c r="BP174" s="68"/>
      <c r="BQ174" s="68"/>
      <c r="BR174" s="68"/>
      <c r="BS174" s="68"/>
      <c r="BT174" s="68"/>
      <c r="BU174" s="68"/>
      <c r="BV174" s="68"/>
      <c r="BW174" s="68"/>
      <c r="BX174" s="68"/>
      <c r="BY174" s="68"/>
      <c r="BZ174" s="68"/>
      <c r="CA174" s="68"/>
      <c r="CB174" s="68"/>
      <c r="CC174" s="68"/>
      <c r="CD174" s="68"/>
      <c r="CE174" s="68"/>
      <c r="CF174" s="68"/>
      <c r="CG174" s="68"/>
      <c r="CH174" s="68"/>
      <c r="CI174" s="68"/>
      <c r="CJ174" s="68"/>
      <c r="CK174" s="68"/>
      <c r="CL174" s="68"/>
      <c r="CM174" s="68"/>
      <c r="CN174" s="68"/>
      <c r="CO174" s="68"/>
      <c r="CP174" s="68"/>
      <c r="CQ174" s="68"/>
      <c r="CR174" s="68"/>
      <c r="CS174" s="68"/>
      <c r="CT174" s="68"/>
      <c r="CU174" s="68"/>
      <c r="CV174" s="68"/>
      <c r="CW174" s="68"/>
      <c r="CX174" s="68"/>
      <c r="CY174" s="68"/>
      <c r="CZ174" s="68"/>
      <c r="DA174" s="68"/>
      <c r="DB174" s="68"/>
      <c r="DC174" s="68"/>
      <c r="DD174" s="68"/>
      <c r="DE174" s="68"/>
      <c r="DF174" s="68"/>
      <c r="DG174" s="68"/>
      <c r="DH174" s="68"/>
      <c r="DI174" s="68"/>
      <c r="DJ174" s="68"/>
      <c r="DK174" s="68"/>
      <c r="DL174" s="68"/>
      <c r="DM174" s="68"/>
      <c r="DN174" s="68"/>
      <c r="DO174" s="68"/>
      <c r="DP174" s="68"/>
      <c r="DQ174" s="68"/>
      <c r="DR174" s="68"/>
      <c r="DS174" s="68"/>
      <c r="DT174" s="68"/>
      <c r="DU174" s="68"/>
      <c r="DV174" s="68"/>
      <c r="DW174" s="68"/>
      <c r="DX174" s="68"/>
      <c r="DY174" s="68"/>
      <c r="DZ174" s="68"/>
      <c r="EA174" s="68"/>
      <c r="EB174" s="68"/>
      <c r="EC174" s="68"/>
      <c r="ED174" s="68"/>
      <c r="EE174" s="68"/>
      <c r="EF174" s="68"/>
      <c r="EG174" s="68"/>
      <c r="EH174" s="68"/>
      <c r="EI174" s="68"/>
      <c r="EJ174" s="68"/>
    </row>
    <row r="175" spans="1:140" s="78" customFormat="1">
      <c r="A175" s="83">
        <v>14</v>
      </c>
      <c r="B175" s="89" t="s">
        <v>69</v>
      </c>
      <c r="C175" s="74" t="s">
        <v>5</v>
      </c>
      <c r="D175" s="71"/>
      <c r="E175" s="71"/>
      <c r="F175" s="71"/>
      <c r="G175" s="71"/>
      <c r="H175" s="71"/>
      <c r="I175" s="71"/>
      <c r="J175" s="71">
        <f>SUM(D175:I175)</f>
        <v>0</v>
      </c>
      <c r="K175" s="84"/>
      <c r="L175" s="125"/>
      <c r="M175" s="125"/>
      <c r="N175" s="125"/>
      <c r="O175" s="125"/>
      <c r="P175" s="125"/>
      <c r="Q175" s="125"/>
      <c r="R175" s="84">
        <f>SUM(L175:Q175)</f>
        <v>0</v>
      </c>
      <c r="S175" s="84"/>
      <c r="T175" s="84">
        <f>R175+J175</f>
        <v>0</v>
      </c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  <c r="AO175" s="68"/>
      <c r="AP175" s="68"/>
      <c r="AQ175" s="68"/>
      <c r="AR175" s="68"/>
      <c r="AS175" s="68"/>
      <c r="AT175" s="68"/>
      <c r="AU175" s="68"/>
      <c r="AV175" s="68"/>
      <c r="AW175" s="68"/>
      <c r="AX175" s="68"/>
      <c r="AY175" s="68"/>
      <c r="AZ175" s="68"/>
      <c r="BA175" s="68"/>
      <c r="BB175" s="68"/>
      <c r="BC175" s="68"/>
      <c r="BD175" s="68"/>
      <c r="BE175" s="68"/>
      <c r="BF175" s="68"/>
      <c r="BG175" s="68"/>
      <c r="BH175" s="68"/>
      <c r="BI175" s="68"/>
      <c r="BJ175" s="68"/>
      <c r="BK175" s="68"/>
      <c r="BL175" s="68"/>
      <c r="BM175" s="68"/>
      <c r="BN175" s="68"/>
      <c r="BO175" s="68"/>
      <c r="BP175" s="68"/>
      <c r="BQ175" s="68"/>
      <c r="BR175" s="68"/>
      <c r="BS175" s="68"/>
      <c r="BT175" s="68"/>
      <c r="BU175" s="68"/>
      <c r="BV175" s="68"/>
      <c r="BW175" s="68"/>
      <c r="BX175" s="68"/>
      <c r="BY175" s="68"/>
      <c r="BZ175" s="68"/>
      <c r="CA175" s="68"/>
      <c r="CB175" s="68"/>
      <c r="CC175" s="68"/>
      <c r="CD175" s="68"/>
      <c r="CE175" s="68"/>
      <c r="CF175" s="68"/>
      <c r="CG175" s="68"/>
      <c r="CH175" s="68"/>
      <c r="CI175" s="68"/>
      <c r="CJ175" s="68"/>
      <c r="CK175" s="68"/>
      <c r="CL175" s="68"/>
      <c r="CM175" s="68"/>
      <c r="CN175" s="68"/>
      <c r="CO175" s="68"/>
      <c r="CP175" s="68"/>
      <c r="CQ175" s="68"/>
      <c r="CR175" s="68"/>
      <c r="CS175" s="68"/>
      <c r="CT175" s="68"/>
      <c r="CU175" s="68"/>
      <c r="CV175" s="68"/>
      <c r="CW175" s="68"/>
      <c r="CX175" s="68"/>
      <c r="CY175" s="68"/>
      <c r="CZ175" s="68"/>
      <c r="DA175" s="68"/>
      <c r="DB175" s="68"/>
      <c r="DC175" s="68"/>
      <c r="DD175" s="68"/>
      <c r="DE175" s="68"/>
      <c r="DF175" s="68"/>
      <c r="DG175" s="68"/>
      <c r="DH175" s="68"/>
      <c r="DI175" s="68"/>
      <c r="DJ175" s="68"/>
      <c r="DK175" s="68"/>
      <c r="DL175" s="68"/>
      <c r="DM175" s="68"/>
      <c r="DN175" s="68"/>
      <c r="DO175" s="68"/>
      <c r="DP175" s="68"/>
      <c r="DQ175" s="68"/>
      <c r="DR175" s="68"/>
      <c r="DS175" s="68"/>
      <c r="DT175" s="68"/>
      <c r="DU175" s="68"/>
      <c r="DV175" s="68"/>
      <c r="DW175" s="68"/>
      <c r="DX175" s="68"/>
      <c r="DY175" s="68"/>
      <c r="DZ175" s="68"/>
      <c r="EA175" s="68"/>
      <c r="EB175" s="68"/>
      <c r="EC175" s="68"/>
      <c r="ED175" s="68"/>
      <c r="EE175" s="68"/>
      <c r="EF175" s="68"/>
      <c r="EG175" s="68"/>
      <c r="EH175" s="68"/>
      <c r="EI175" s="68"/>
      <c r="EJ175" s="68"/>
    </row>
    <row r="176" spans="1:140" s="78" customFormat="1">
      <c r="A176" s="83">
        <v>15</v>
      </c>
      <c r="B176" s="89" t="s">
        <v>70</v>
      </c>
      <c r="C176" s="74" t="s">
        <v>6</v>
      </c>
      <c r="D176" s="72"/>
      <c r="E176" s="72"/>
      <c r="F176" s="72"/>
      <c r="G176" s="72"/>
      <c r="H176" s="72"/>
      <c r="I176" s="72"/>
      <c r="J176" s="72">
        <f>SUM(D176:I176)</f>
        <v>0</v>
      </c>
      <c r="K176" s="84"/>
      <c r="L176" s="72"/>
      <c r="M176" s="72"/>
      <c r="N176" s="72"/>
      <c r="O176" s="72"/>
      <c r="P176" s="72"/>
      <c r="Q176" s="72"/>
      <c r="R176" s="151">
        <f>SUM(L176:Q176)</f>
        <v>0</v>
      </c>
      <c r="S176" s="68"/>
      <c r="T176" s="72">
        <f>R176+J176</f>
        <v>0</v>
      </c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  <c r="AO176" s="68"/>
      <c r="AP176" s="68"/>
      <c r="AQ176" s="68"/>
      <c r="AR176" s="68"/>
      <c r="AS176" s="68"/>
      <c r="AT176" s="68"/>
      <c r="AU176" s="68"/>
      <c r="AV176" s="68"/>
      <c r="AW176" s="68"/>
      <c r="AX176" s="68"/>
      <c r="AY176" s="68"/>
      <c r="AZ176" s="68"/>
      <c r="BA176" s="68"/>
      <c r="BB176" s="68"/>
      <c r="BC176" s="68"/>
      <c r="BD176" s="68"/>
      <c r="BE176" s="68"/>
      <c r="BF176" s="68"/>
      <c r="BG176" s="68"/>
      <c r="BH176" s="68"/>
      <c r="BI176" s="68"/>
      <c r="BJ176" s="68"/>
      <c r="BK176" s="68"/>
      <c r="BL176" s="68"/>
      <c r="BM176" s="68"/>
      <c r="BN176" s="68"/>
      <c r="BO176" s="68"/>
      <c r="BP176" s="68"/>
      <c r="BQ176" s="68"/>
      <c r="BR176" s="68"/>
      <c r="BS176" s="68"/>
      <c r="BT176" s="68"/>
      <c r="BU176" s="68"/>
      <c r="BV176" s="68"/>
      <c r="BW176" s="68"/>
      <c r="BX176" s="68"/>
      <c r="BY176" s="68"/>
      <c r="BZ176" s="68"/>
      <c r="CA176" s="68"/>
      <c r="CB176" s="68"/>
      <c r="CC176" s="68"/>
      <c r="CD176" s="68"/>
      <c r="CE176" s="68"/>
      <c r="CF176" s="68"/>
      <c r="CG176" s="68"/>
      <c r="CH176" s="68"/>
      <c r="CI176" s="68"/>
      <c r="CJ176" s="68"/>
      <c r="CK176" s="68"/>
      <c r="CL176" s="68"/>
      <c r="CM176" s="68"/>
      <c r="CN176" s="68"/>
      <c r="CO176" s="68"/>
      <c r="CP176" s="68"/>
      <c r="CQ176" s="68"/>
      <c r="CR176" s="68"/>
      <c r="CS176" s="68"/>
      <c r="CT176" s="68"/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68"/>
      <c r="DI176" s="68"/>
      <c r="DJ176" s="68"/>
      <c r="DK176" s="68"/>
      <c r="DL176" s="68"/>
      <c r="DM176" s="68"/>
      <c r="DN176" s="68"/>
      <c r="DO176" s="68"/>
      <c r="DP176" s="68"/>
      <c r="DQ176" s="68"/>
      <c r="DR176" s="68"/>
      <c r="DS176" s="68"/>
      <c r="DT176" s="68"/>
      <c r="DU176" s="68"/>
      <c r="DV176" s="68"/>
      <c r="DW176" s="68"/>
      <c r="DX176" s="68"/>
      <c r="DY176" s="68"/>
      <c r="DZ176" s="68"/>
      <c r="EA176" s="68"/>
      <c r="EB176" s="68"/>
      <c r="EC176" s="68"/>
      <c r="ED176" s="68"/>
      <c r="EE176" s="68"/>
      <c r="EF176" s="68"/>
      <c r="EG176" s="68"/>
      <c r="EH176" s="68"/>
      <c r="EI176" s="68"/>
      <c r="EJ176" s="68"/>
    </row>
    <row r="177" spans="1:140" s="78" customFormat="1">
      <c r="A177" s="83">
        <v>16</v>
      </c>
      <c r="B177" s="114" t="s">
        <v>23</v>
      </c>
      <c r="C177" s="358"/>
      <c r="D177" s="100">
        <f>SUM(D175:D176)</f>
        <v>0</v>
      </c>
      <c r="E177" s="100">
        <f>SUM(E175:E176)</f>
        <v>0</v>
      </c>
      <c r="F177" s="100">
        <f>SUM(F175:F176)</f>
        <v>0</v>
      </c>
      <c r="G177" s="100">
        <f>SUM(G175:G176)</f>
        <v>0</v>
      </c>
      <c r="H177" s="100"/>
      <c r="I177" s="100">
        <f>SUM(I175:I176)</f>
        <v>0</v>
      </c>
      <c r="J177" s="100">
        <f>SUM(D177:I177)</f>
        <v>0</v>
      </c>
      <c r="K177" s="76"/>
      <c r="L177" s="125">
        <f t="shared" ref="L177:Q177" si="71">SUM(L175:L176)</f>
        <v>0</v>
      </c>
      <c r="M177" s="125">
        <f t="shared" si="71"/>
        <v>0</v>
      </c>
      <c r="N177" s="125"/>
      <c r="O177" s="125">
        <f t="shared" si="71"/>
        <v>0</v>
      </c>
      <c r="P177" s="125">
        <f t="shared" si="71"/>
        <v>0</v>
      </c>
      <c r="Q177" s="125">
        <f t="shared" si="71"/>
        <v>0</v>
      </c>
      <c r="R177" s="86">
        <f>SUM(L177:Q177)</f>
        <v>0</v>
      </c>
      <c r="S177" s="86"/>
      <c r="T177" s="84">
        <f>R177+J177</f>
        <v>0</v>
      </c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  <c r="AO177" s="68"/>
      <c r="AP177" s="68"/>
      <c r="AQ177" s="68"/>
      <c r="AR177" s="68"/>
      <c r="AS177" s="68"/>
      <c r="AT177" s="68"/>
      <c r="AU177" s="68"/>
      <c r="AV177" s="68"/>
      <c r="AW177" s="68"/>
      <c r="AX177" s="68"/>
      <c r="AY177" s="68"/>
      <c r="AZ177" s="68"/>
      <c r="BA177" s="68"/>
      <c r="BB177" s="68"/>
      <c r="BC177" s="68"/>
      <c r="BD177" s="68"/>
      <c r="BE177" s="68"/>
      <c r="BF177" s="68"/>
      <c r="BG177" s="68"/>
      <c r="BH177" s="68"/>
      <c r="BI177" s="68"/>
      <c r="BJ177" s="68"/>
      <c r="BK177" s="68"/>
      <c r="BL177" s="68"/>
      <c r="BM177" s="68"/>
      <c r="BN177" s="68"/>
      <c r="BO177" s="68"/>
      <c r="BP177" s="68"/>
      <c r="BQ177" s="68"/>
      <c r="BR177" s="68"/>
      <c r="BS177" s="68"/>
      <c r="BT177" s="68"/>
      <c r="BU177" s="68"/>
      <c r="BV177" s="68"/>
      <c r="BW177" s="68"/>
      <c r="BX177" s="68"/>
      <c r="BY177" s="68"/>
      <c r="BZ177" s="68"/>
      <c r="CA177" s="68"/>
      <c r="CB177" s="68"/>
      <c r="CC177" s="68"/>
      <c r="CD177" s="68"/>
      <c r="CE177" s="68"/>
      <c r="CF177" s="68"/>
      <c r="CG177" s="68"/>
      <c r="CH177" s="68"/>
      <c r="CI177" s="68"/>
      <c r="CJ177" s="68"/>
      <c r="CK177" s="68"/>
      <c r="CL177" s="68"/>
      <c r="CM177" s="68"/>
      <c r="CN177" s="68"/>
      <c r="CO177" s="68"/>
      <c r="CP177" s="68"/>
      <c r="CQ177" s="68"/>
      <c r="CR177" s="68"/>
      <c r="CS177" s="68"/>
      <c r="CT177" s="68"/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68"/>
      <c r="DI177" s="68"/>
      <c r="DJ177" s="68"/>
      <c r="DK177" s="68"/>
      <c r="DL177" s="68"/>
      <c r="DM177" s="68"/>
      <c r="DN177" s="68"/>
      <c r="DO177" s="68"/>
      <c r="DP177" s="68"/>
      <c r="DQ177" s="68"/>
      <c r="DR177" s="68"/>
      <c r="DS177" s="68"/>
      <c r="DT177" s="68"/>
      <c r="DU177" s="68"/>
      <c r="DV177" s="68"/>
      <c r="DW177" s="68"/>
      <c r="DX177" s="68"/>
      <c r="DY177" s="68"/>
      <c r="DZ177" s="68"/>
      <c r="EA177" s="68"/>
      <c r="EB177" s="68"/>
      <c r="EC177" s="68"/>
      <c r="ED177" s="68"/>
      <c r="EE177" s="68"/>
      <c r="EF177" s="68"/>
      <c r="EG177" s="68"/>
      <c r="EH177" s="68"/>
      <c r="EI177" s="68"/>
      <c r="EJ177" s="68"/>
    </row>
    <row r="178" spans="1:140" s="78" customFormat="1">
      <c r="A178" s="83"/>
      <c r="C178" s="116"/>
      <c r="D178" s="94"/>
      <c r="E178" s="94"/>
      <c r="F178" s="94"/>
      <c r="G178" s="94"/>
      <c r="H178" s="94"/>
      <c r="I178" s="94"/>
      <c r="J178" s="94"/>
      <c r="K178" s="77"/>
      <c r="L178" s="68"/>
      <c r="M178" s="68"/>
      <c r="N178" s="68"/>
      <c r="O178" s="68"/>
      <c r="P178" s="68"/>
      <c r="Q178" s="68"/>
      <c r="R178" s="68"/>
      <c r="S178" s="68"/>
      <c r="T178" s="84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  <c r="AO178" s="68"/>
      <c r="AP178" s="68"/>
      <c r="AQ178" s="68"/>
      <c r="AR178" s="68"/>
      <c r="AS178" s="68"/>
      <c r="AT178" s="68"/>
      <c r="AU178" s="68"/>
      <c r="AV178" s="68"/>
      <c r="AW178" s="68"/>
      <c r="AX178" s="68"/>
      <c r="AY178" s="68"/>
      <c r="AZ178" s="68"/>
      <c r="BA178" s="68"/>
      <c r="BB178" s="68"/>
      <c r="BC178" s="68"/>
      <c r="BD178" s="68"/>
      <c r="BE178" s="68"/>
      <c r="BF178" s="68"/>
      <c r="BG178" s="68"/>
      <c r="BH178" s="68"/>
      <c r="BI178" s="68"/>
      <c r="BJ178" s="68"/>
      <c r="BK178" s="68"/>
      <c r="BL178" s="68"/>
      <c r="BM178" s="68"/>
      <c r="BN178" s="68"/>
      <c r="BO178" s="68"/>
      <c r="BP178" s="68"/>
      <c r="BQ178" s="68"/>
      <c r="BR178" s="68"/>
      <c r="BS178" s="68"/>
      <c r="BT178" s="68"/>
      <c r="BU178" s="68"/>
      <c r="BV178" s="68"/>
      <c r="BW178" s="68"/>
      <c r="BX178" s="68"/>
      <c r="BY178" s="68"/>
      <c r="BZ178" s="68"/>
      <c r="CA178" s="68"/>
      <c r="CB178" s="68"/>
      <c r="CC178" s="68"/>
      <c r="CD178" s="68"/>
      <c r="CE178" s="68"/>
      <c r="CF178" s="68"/>
      <c r="CG178" s="68"/>
      <c r="CH178" s="68"/>
      <c r="CI178" s="68"/>
      <c r="CJ178" s="68"/>
      <c r="CK178" s="68"/>
      <c r="CL178" s="68"/>
      <c r="CM178" s="68"/>
      <c r="CN178" s="68"/>
      <c r="CO178" s="68"/>
      <c r="CP178" s="68"/>
      <c r="CQ178" s="68"/>
      <c r="CR178" s="68"/>
      <c r="CS178" s="68"/>
      <c r="CT178" s="68"/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68"/>
      <c r="DI178" s="68"/>
      <c r="DJ178" s="68"/>
      <c r="DK178" s="68"/>
      <c r="DL178" s="68"/>
      <c r="DM178" s="68"/>
      <c r="DN178" s="68"/>
      <c r="DO178" s="68"/>
      <c r="DP178" s="68"/>
      <c r="DQ178" s="68"/>
      <c r="DR178" s="68"/>
      <c r="DS178" s="68"/>
      <c r="DT178" s="68"/>
      <c r="DU178" s="68"/>
      <c r="DV178" s="68"/>
      <c r="DW178" s="68"/>
      <c r="DX178" s="68"/>
      <c r="DY178" s="68"/>
      <c r="DZ178" s="68"/>
      <c r="EA178" s="68"/>
      <c r="EB178" s="68"/>
      <c r="EC178" s="68"/>
      <c r="ED178" s="68"/>
      <c r="EE178" s="68"/>
      <c r="EF178" s="68"/>
      <c r="EG178" s="68"/>
      <c r="EH178" s="68"/>
      <c r="EI178" s="68"/>
      <c r="EJ178" s="68"/>
    </row>
    <row r="179" spans="1:140" s="78" customFormat="1" ht="12" thickBot="1">
      <c r="A179" s="83">
        <v>17</v>
      </c>
      <c r="B179" s="147" t="s">
        <v>92</v>
      </c>
      <c r="C179" s="358"/>
      <c r="D179" s="117">
        <f>+D177+D173</f>
        <v>0</v>
      </c>
      <c r="E179" s="117">
        <f>+E177+E173</f>
        <v>0</v>
      </c>
      <c r="F179" s="117">
        <f>+F177+F173</f>
        <v>0</v>
      </c>
      <c r="G179" s="117">
        <f>+G177+G173</f>
        <v>-4260.12</v>
      </c>
      <c r="H179" s="117"/>
      <c r="I179" s="117">
        <f>+I177+I173</f>
        <v>0</v>
      </c>
      <c r="J179" s="117">
        <f>SUM(D179:I179)</f>
        <v>-4260.12</v>
      </c>
      <c r="K179" s="113"/>
      <c r="L179" s="117">
        <f t="shared" ref="L179:Q179" si="72">+L177+L173</f>
        <v>0</v>
      </c>
      <c r="M179" s="117">
        <f t="shared" si="72"/>
        <v>0</v>
      </c>
      <c r="N179" s="117"/>
      <c r="O179" s="117">
        <f t="shared" si="72"/>
        <v>0</v>
      </c>
      <c r="P179" s="117">
        <f t="shared" si="72"/>
        <v>0</v>
      </c>
      <c r="Q179" s="117">
        <f t="shared" si="72"/>
        <v>0</v>
      </c>
      <c r="R179" s="130">
        <f>SUM(L179:Q179)</f>
        <v>0</v>
      </c>
      <c r="S179" s="124"/>
      <c r="T179" s="130">
        <f>R179+J179</f>
        <v>-4260.12</v>
      </c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  <c r="AO179" s="68"/>
      <c r="AP179" s="68"/>
      <c r="AQ179" s="68"/>
      <c r="AR179" s="68"/>
      <c r="AS179" s="68"/>
      <c r="AT179" s="68"/>
      <c r="AU179" s="68"/>
      <c r="AV179" s="68"/>
      <c r="AW179" s="68"/>
      <c r="AX179" s="68"/>
      <c r="AY179" s="68"/>
      <c r="AZ179" s="68"/>
      <c r="BA179" s="68"/>
      <c r="BB179" s="68"/>
      <c r="BC179" s="68"/>
      <c r="BD179" s="68"/>
      <c r="BE179" s="68"/>
      <c r="BF179" s="68"/>
      <c r="BG179" s="68"/>
      <c r="BH179" s="68"/>
      <c r="BI179" s="68"/>
      <c r="BJ179" s="68"/>
      <c r="BK179" s="68"/>
      <c r="BL179" s="68"/>
      <c r="BM179" s="68"/>
      <c r="BN179" s="68"/>
      <c r="BO179" s="68"/>
      <c r="BP179" s="68"/>
      <c r="BQ179" s="68"/>
      <c r="BR179" s="68"/>
      <c r="BS179" s="68"/>
      <c r="BT179" s="68"/>
      <c r="BU179" s="68"/>
      <c r="BV179" s="68"/>
      <c r="BW179" s="68"/>
      <c r="BX179" s="68"/>
      <c r="BY179" s="68"/>
      <c r="BZ179" s="68"/>
      <c r="CA179" s="68"/>
      <c r="CB179" s="68"/>
      <c r="CC179" s="68"/>
      <c r="CD179" s="68"/>
      <c r="CE179" s="68"/>
      <c r="CF179" s="68"/>
      <c r="CG179" s="68"/>
      <c r="CH179" s="68"/>
      <c r="CI179" s="68"/>
      <c r="CJ179" s="68"/>
      <c r="CK179" s="68"/>
      <c r="CL179" s="68"/>
      <c r="CM179" s="68"/>
      <c r="CN179" s="68"/>
      <c r="CO179" s="68"/>
      <c r="CP179" s="68"/>
      <c r="CQ179" s="68"/>
      <c r="CR179" s="68"/>
      <c r="CS179" s="68"/>
      <c r="CT179" s="68"/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68"/>
      <c r="DI179" s="68"/>
      <c r="DJ179" s="68"/>
      <c r="DK179" s="68"/>
      <c r="DL179" s="68"/>
      <c r="DM179" s="68"/>
      <c r="DN179" s="68"/>
      <c r="DO179" s="68"/>
      <c r="DP179" s="68"/>
      <c r="DQ179" s="68"/>
      <c r="DR179" s="68"/>
      <c r="DS179" s="68"/>
      <c r="DT179" s="68"/>
      <c r="DU179" s="68"/>
      <c r="DV179" s="68"/>
      <c r="DW179" s="68"/>
      <c r="DX179" s="68"/>
      <c r="DY179" s="68"/>
      <c r="DZ179" s="68"/>
      <c r="EA179" s="68"/>
      <c r="EB179" s="68"/>
      <c r="EC179" s="68"/>
      <c r="ED179" s="68"/>
      <c r="EE179" s="68"/>
      <c r="EF179" s="68"/>
      <c r="EG179" s="68"/>
      <c r="EH179" s="68"/>
      <c r="EI179" s="68"/>
      <c r="EJ179" s="68"/>
    </row>
    <row r="180" spans="1:140" s="78" customFormat="1" ht="12" thickTop="1">
      <c r="A180" s="83"/>
      <c r="B180" s="92"/>
      <c r="C180" s="358"/>
      <c r="D180" s="76"/>
      <c r="E180" s="76"/>
      <c r="F180" s="76"/>
      <c r="G180" s="76"/>
      <c r="H180" s="76"/>
      <c r="I180" s="76"/>
      <c r="J180" s="76"/>
      <c r="K180" s="76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  <c r="AO180" s="68"/>
      <c r="AP180" s="68"/>
      <c r="AQ180" s="68"/>
      <c r="AR180" s="68"/>
      <c r="AS180" s="68"/>
      <c r="AT180" s="68"/>
      <c r="AU180" s="68"/>
      <c r="AV180" s="68"/>
      <c r="AW180" s="68"/>
      <c r="AX180" s="68"/>
      <c r="AY180" s="68"/>
      <c r="AZ180" s="68"/>
      <c r="BA180" s="68"/>
      <c r="BB180" s="68"/>
      <c r="BC180" s="68"/>
      <c r="BD180" s="68"/>
      <c r="BE180" s="68"/>
      <c r="BF180" s="68"/>
      <c r="BG180" s="68"/>
      <c r="BH180" s="68"/>
      <c r="BI180" s="68"/>
      <c r="BJ180" s="68"/>
      <c r="BK180" s="68"/>
      <c r="BL180" s="68"/>
      <c r="BM180" s="68"/>
      <c r="BN180" s="68"/>
      <c r="BO180" s="68"/>
      <c r="BP180" s="68"/>
      <c r="BQ180" s="68"/>
      <c r="BR180" s="68"/>
      <c r="BS180" s="68"/>
      <c r="BT180" s="68"/>
      <c r="BU180" s="68"/>
      <c r="BV180" s="68"/>
      <c r="BW180" s="68"/>
      <c r="BX180" s="68"/>
      <c r="BY180" s="68"/>
      <c r="BZ180" s="68"/>
      <c r="CA180" s="68"/>
      <c r="CB180" s="68"/>
      <c r="CC180" s="68"/>
      <c r="CD180" s="68"/>
      <c r="CE180" s="68"/>
      <c r="CF180" s="68"/>
      <c r="CG180" s="68"/>
      <c r="CH180" s="68"/>
      <c r="CI180" s="68"/>
      <c r="CJ180" s="68"/>
      <c r="CK180" s="68"/>
      <c r="CL180" s="68"/>
      <c r="CM180" s="68"/>
      <c r="CN180" s="68"/>
      <c r="CO180" s="68"/>
      <c r="CP180" s="68"/>
      <c r="CQ180" s="68"/>
      <c r="CR180" s="68"/>
      <c r="CS180" s="68"/>
      <c r="CT180" s="68"/>
      <c r="CU180" s="68"/>
      <c r="CV180" s="68"/>
      <c r="CW180" s="68"/>
      <c r="CX180" s="68"/>
      <c r="CY180" s="68"/>
      <c r="CZ180" s="68"/>
      <c r="DA180" s="68"/>
      <c r="DB180" s="68"/>
      <c r="DC180" s="68"/>
      <c r="DD180" s="68"/>
      <c r="DE180" s="68"/>
      <c r="DF180" s="68"/>
      <c r="DG180" s="68"/>
      <c r="DH180" s="68"/>
      <c r="DI180" s="68"/>
      <c r="DJ180" s="68"/>
      <c r="DK180" s="68"/>
      <c r="DL180" s="68"/>
      <c r="DM180" s="68"/>
      <c r="DN180" s="68"/>
      <c r="DO180" s="68"/>
      <c r="DP180" s="68"/>
      <c r="DQ180" s="68"/>
      <c r="DR180" s="68"/>
      <c r="DS180" s="68"/>
      <c r="DT180" s="68"/>
      <c r="DU180" s="68"/>
      <c r="DV180" s="68"/>
      <c r="DW180" s="68"/>
      <c r="DX180" s="68"/>
      <c r="DY180" s="68"/>
      <c r="DZ180" s="68"/>
      <c r="EA180" s="68"/>
      <c r="EB180" s="68"/>
      <c r="EC180" s="68"/>
      <c r="ED180" s="68"/>
      <c r="EE180" s="68"/>
      <c r="EF180" s="68"/>
      <c r="EG180" s="68"/>
      <c r="EH180" s="68"/>
      <c r="EI180" s="68"/>
      <c r="EJ180" s="68"/>
    </row>
    <row r="181" spans="1:140" s="75" customFormat="1" ht="12.75">
      <c r="K181" s="122"/>
      <c r="S181" s="122"/>
    </row>
    <row r="182" spans="1:140" ht="12" customHeight="1">
      <c r="A182" s="366" t="str">
        <f>+A8</f>
        <v xml:space="preserve">AEP TEXAS </v>
      </c>
      <c r="B182" s="366"/>
      <c r="C182" s="366"/>
      <c r="D182" s="366"/>
      <c r="E182" s="366"/>
      <c r="F182" s="366"/>
      <c r="G182" s="366"/>
      <c r="H182" s="366"/>
      <c r="I182" s="366"/>
      <c r="J182" s="366"/>
      <c r="K182" s="366"/>
      <c r="L182" s="366"/>
      <c r="M182" s="366"/>
      <c r="N182" s="366"/>
      <c r="O182" s="366"/>
      <c r="P182" s="366"/>
      <c r="Q182" s="366"/>
      <c r="R182" s="366"/>
      <c r="S182" s="366"/>
      <c r="T182" s="366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  <c r="AN182" s="87"/>
      <c r="AO182" s="87"/>
      <c r="AP182" s="87"/>
      <c r="AQ182" s="87"/>
      <c r="AR182" s="87"/>
      <c r="AS182" s="87"/>
      <c r="AT182" s="87"/>
      <c r="AU182" s="87"/>
      <c r="AV182" s="87"/>
      <c r="AW182" s="87"/>
      <c r="AX182" s="87"/>
      <c r="AY182" s="87"/>
      <c r="AZ182" s="87"/>
      <c r="BA182" s="87"/>
      <c r="BB182" s="87"/>
      <c r="BC182" s="87"/>
      <c r="BD182" s="87"/>
      <c r="BE182" s="87"/>
      <c r="BF182" s="87"/>
      <c r="BG182" s="87"/>
      <c r="BH182" s="87"/>
      <c r="BI182" s="87"/>
      <c r="BJ182" s="87"/>
      <c r="BK182" s="87"/>
      <c r="BL182" s="87"/>
      <c r="BM182" s="87"/>
      <c r="BN182" s="87"/>
      <c r="BO182" s="87"/>
      <c r="BP182" s="87"/>
      <c r="BQ182" s="87"/>
      <c r="BR182" s="87"/>
      <c r="BS182" s="87"/>
      <c r="BT182" s="87"/>
      <c r="BU182" s="87"/>
      <c r="BV182" s="87"/>
      <c r="BW182" s="87"/>
      <c r="BX182" s="87"/>
      <c r="BY182" s="87"/>
      <c r="BZ182" s="87"/>
      <c r="CA182" s="87"/>
      <c r="CB182" s="87"/>
      <c r="CC182" s="87"/>
      <c r="CD182" s="87"/>
      <c r="CE182" s="87"/>
      <c r="CF182" s="87"/>
      <c r="CG182" s="87"/>
      <c r="CH182" s="87"/>
      <c r="CI182" s="87"/>
      <c r="CJ182" s="87"/>
      <c r="CK182" s="87"/>
      <c r="CL182" s="87"/>
      <c r="CM182" s="87"/>
      <c r="CN182" s="87"/>
      <c r="CO182" s="87"/>
      <c r="CP182" s="87"/>
      <c r="CQ182" s="87"/>
      <c r="CR182" s="87"/>
      <c r="CS182" s="87"/>
      <c r="CT182" s="87"/>
      <c r="CU182" s="87"/>
      <c r="CV182" s="87"/>
      <c r="CW182" s="87"/>
      <c r="CX182" s="87"/>
      <c r="CY182" s="87"/>
      <c r="CZ182" s="87"/>
      <c r="DA182" s="87"/>
      <c r="DB182" s="87"/>
      <c r="DC182" s="87"/>
      <c r="DD182" s="87"/>
      <c r="DE182" s="87"/>
      <c r="DF182" s="87"/>
      <c r="DG182" s="87"/>
      <c r="DH182" s="87"/>
      <c r="DI182" s="87"/>
      <c r="DJ182" s="87"/>
      <c r="DK182" s="87"/>
      <c r="DL182" s="87"/>
      <c r="DM182" s="87"/>
      <c r="DN182" s="87"/>
      <c r="DO182" s="87"/>
      <c r="DP182" s="87"/>
      <c r="DQ182" s="87"/>
      <c r="DR182" s="87"/>
      <c r="DS182" s="87"/>
      <c r="DT182" s="87"/>
      <c r="DU182" s="87"/>
      <c r="DV182" s="87"/>
      <c r="DW182" s="87"/>
      <c r="DX182" s="87"/>
      <c r="DY182" s="87"/>
      <c r="DZ182" s="87"/>
      <c r="EA182" s="87"/>
      <c r="EB182" s="87"/>
      <c r="EC182" s="87"/>
      <c r="ED182" s="87"/>
      <c r="EE182" s="87"/>
      <c r="EF182" s="87"/>
      <c r="EG182" s="87"/>
      <c r="EH182" s="87"/>
      <c r="EI182" s="87"/>
      <c r="EJ182" s="87"/>
    </row>
    <row r="183" spans="1:140" ht="12.75" customHeight="1">
      <c r="A183" s="371" t="s">
        <v>68</v>
      </c>
      <c r="B183" s="366"/>
      <c r="C183" s="366"/>
      <c r="D183" s="366"/>
      <c r="E183" s="366"/>
      <c r="F183" s="36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366"/>
      <c r="S183" s="366"/>
      <c r="T183" s="366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  <c r="AN183" s="87"/>
      <c r="AO183" s="87"/>
      <c r="AP183" s="87"/>
      <c r="AQ183" s="87"/>
      <c r="AR183" s="87"/>
      <c r="AS183" s="87"/>
      <c r="AT183" s="87"/>
      <c r="AU183" s="87"/>
      <c r="AV183" s="87"/>
      <c r="AW183" s="87"/>
      <c r="AX183" s="87"/>
      <c r="AY183" s="87"/>
      <c r="AZ183" s="87"/>
      <c r="BA183" s="87"/>
      <c r="BB183" s="87"/>
      <c r="BC183" s="87"/>
      <c r="BD183" s="87"/>
      <c r="BE183" s="87"/>
      <c r="BF183" s="87"/>
      <c r="BG183" s="87"/>
      <c r="BH183" s="87"/>
      <c r="BI183" s="87"/>
      <c r="BJ183" s="87"/>
      <c r="BK183" s="87"/>
      <c r="BL183" s="87"/>
      <c r="BM183" s="87"/>
      <c r="BN183" s="87"/>
      <c r="BO183" s="87"/>
      <c r="BP183" s="87"/>
      <c r="BQ183" s="87"/>
      <c r="BR183" s="87"/>
      <c r="BS183" s="87"/>
      <c r="BT183" s="87"/>
      <c r="BU183" s="87"/>
      <c r="BV183" s="87"/>
      <c r="BW183" s="87"/>
      <c r="BX183" s="87"/>
      <c r="BY183" s="87"/>
      <c r="BZ183" s="87"/>
      <c r="CA183" s="87"/>
      <c r="CB183" s="87"/>
      <c r="CC183" s="87"/>
      <c r="CD183" s="87"/>
      <c r="CE183" s="87"/>
      <c r="CF183" s="87"/>
      <c r="CG183" s="87"/>
      <c r="CH183" s="87"/>
      <c r="CI183" s="87"/>
      <c r="CJ183" s="87"/>
      <c r="CK183" s="87"/>
      <c r="CL183" s="87"/>
      <c r="CM183" s="87"/>
      <c r="CN183" s="87"/>
      <c r="CO183" s="87"/>
      <c r="CP183" s="87"/>
      <c r="CQ183" s="87"/>
      <c r="CR183" s="87"/>
      <c r="CS183" s="87"/>
      <c r="CT183" s="87"/>
      <c r="CU183" s="87"/>
      <c r="CV183" s="87"/>
      <c r="CW183" s="87"/>
      <c r="CX183" s="87"/>
      <c r="CY183" s="87"/>
      <c r="CZ183" s="87"/>
      <c r="DA183" s="87"/>
      <c r="DB183" s="87"/>
      <c r="DC183" s="87"/>
      <c r="DD183" s="87"/>
      <c r="DE183" s="87"/>
      <c r="DF183" s="87"/>
      <c r="DG183" s="87"/>
      <c r="DH183" s="87"/>
      <c r="DI183" s="87"/>
      <c r="DJ183" s="87"/>
      <c r="DK183" s="87"/>
      <c r="DL183" s="87"/>
      <c r="DM183" s="87"/>
      <c r="DN183" s="87"/>
      <c r="DO183" s="87"/>
      <c r="DP183" s="87"/>
      <c r="DQ183" s="87"/>
      <c r="DR183" s="87"/>
      <c r="DS183" s="87"/>
      <c r="DT183" s="87"/>
      <c r="DU183" s="87"/>
      <c r="DV183" s="87"/>
      <c r="DW183" s="87"/>
      <c r="DX183" s="87"/>
      <c r="DY183" s="87"/>
      <c r="DZ183" s="87"/>
      <c r="EA183" s="87"/>
      <c r="EB183" s="87"/>
      <c r="EC183" s="87"/>
      <c r="ED183" s="87"/>
      <c r="EE183" s="87"/>
      <c r="EF183" s="87"/>
      <c r="EG183" s="87"/>
      <c r="EH183" s="87"/>
      <c r="EI183" s="87"/>
      <c r="EJ183" s="87"/>
    </row>
    <row r="184" spans="1:140" ht="12.75" customHeight="1">
      <c r="A184" s="366" t="str">
        <f>A10</f>
        <v>FOR TEST YEAR ENDED SEPTEMBER 30, 2023</v>
      </c>
      <c r="B184" s="366"/>
      <c r="C184" s="366"/>
      <c r="D184" s="366"/>
      <c r="E184" s="366"/>
      <c r="F184" s="366"/>
      <c r="G184" s="366"/>
      <c r="H184" s="366"/>
      <c r="I184" s="366"/>
      <c r="J184" s="366"/>
      <c r="K184" s="366"/>
      <c r="L184" s="366"/>
      <c r="M184" s="366"/>
      <c r="N184" s="366"/>
      <c r="O184" s="366"/>
      <c r="P184" s="366"/>
      <c r="Q184" s="366"/>
      <c r="R184" s="366"/>
      <c r="S184" s="366"/>
      <c r="T184" s="366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  <c r="AN184" s="87"/>
      <c r="AO184" s="87"/>
      <c r="AP184" s="87"/>
      <c r="AQ184" s="87"/>
      <c r="AR184" s="87"/>
      <c r="AS184" s="87"/>
      <c r="AT184" s="87"/>
      <c r="AU184" s="87"/>
      <c r="AV184" s="87"/>
      <c r="AW184" s="87"/>
      <c r="AX184" s="87"/>
      <c r="AY184" s="87"/>
      <c r="AZ184" s="87"/>
      <c r="BA184" s="87"/>
      <c r="BB184" s="87"/>
      <c r="BC184" s="87"/>
      <c r="BD184" s="87"/>
      <c r="BE184" s="87"/>
      <c r="BF184" s="87"/>
      <c r="BG184" s="87"/>
      <c r="BH184" s="87"/>
      <c r="BI184" s="87"/>
      <c r="BJ184" s="87"/>
      <c r="BK184" s="87"/>
      <c r="BL184" s="87"/>
      <c r="BM184" s="87"/>
      <c r="BN184" s="87"/>
      <c r="BO184" s="87"/>
      <c r="BP184" s="87"/>
      <c r="BQ184" s="87"/>
      <c r="BR184" s="87"/>
      <c r="BS184" s="87"/>
      <c r="BT184" s="87"/>
      <c r="BU184" s="87"/>
      <c r="BV184" s="87"/>
      <c r="BW184" s="87"/>
      <c r="BX184" s="87"/>
      <c r="BY184" s="87"/>
      <c r="BZ184" s="87"/>
      <c r="CA184" s="87"/>
      <c r="CB184" s="87"/>
      <c r="CC184" s="87"/>
      <c r="CD184" s="87"/>
      <c r="CE184" s="87"/>
      <c r="CF184" s="87"/>
      <c r="CG184" s="87"/>
      <c r="CH184" s="87"/>
      <c r="CI184" s="87"/>
      <c r="CJ184" s="87"/>
      <c r="CK184" s="87"/>
      <c r="CL184" s="87"/>
      <c r="CM184" s="87"/>
      <c r="CN184" s="87"/>
      <c r="CO184" s="87"/>
      <c r="CP184" s="87"/>
      <c r="CQ184" s="87"/>
      <c r="CR184" s="87"/>
      <c r="CS184" s="87"/>
      <c r="CT184" s="87"/>
      <c r="CU184" s="87"/>
      <c r="CV184" s="87"/>
      <c r="CW184" s="87"/>
      <c r="CX184" s="87"/>
      <c r="CY184" s="87"/>
      <c r="CZ184" s="87"/>
      <c r="DA184" s="87"/>
      <c r="DB184" s="87"/>
      <c r="DC184" s="87"/>
      <c r="DD184" s="87"/>
      <c r="DE184" s="87"/>
      <c r="DF184" s="87"/>
      <c r="DG184" s="87"/>
      <c r="DH184" s="87"/>
      <c r="DI184" s="87"/>
      <c r="DJ184" s="87"/>
      <c r="DK184" s="87"/>
      <c r="DL184" s="87"/>
      <c r="DM184" s="87"/>
      <c r="DN184" s="87"/>
      <c r="DO184" s="87"/>
      <c r="DP184" s="87"/>
      <c r="DQ184" s="87"/>
      <c r="DR184" s="87"/>
      <c r="DS184" s="87"/>
      <c r="DT184" s="87"/>
      <c r="DU184" s="87"/>
      <c r="DV184" s="87"/>
      <c r="DW184" s="87"/>
      <c r="DX184" s="87"/>
      <c r="DY184" s="87"/>
      <c r="DZ184" s="87"/>
      <c r="EA184" s="87"/>
      <c r="EB184" s="87"/>
      <c r="EC184" s="87"/>
      <c r="ED184" s="87"/>
      <c r="EE184" s="87"/>
      <c r="EF184" s="87"/>
      <c r="EG184" s="87"/>
      <c r="EH184" s="87"/>
      <c r="EI184" s="87"/>
      <c r="EJ184" s="87"/>
    </row>
    <row r="185" spans="1:140" s="75" customFormat="1" ht="12.75">
      <c r="K185" s="122"/>
      <c r="S185" s="122"/>
    </row>
    <row r="186" spans="1:140">
      <c r="B186" s="106"/>
      <c r="C186" s="105"/>
      <c r="D186" s="107"/>
      <c r="E186" s="108"/>
      <c r="F186" s="108"/>
      <c r="G186" s="108"/>
      <c r="H186" s="108"/>
      <c r="L186" s="87"/>
      <c r="M186" s="87"/>
      <c r="N186" s="87"/>
      <c r="O186" s="87"/>
      <c r="P186" s="87"/>
      <c r="Q186" s="87"/>
      <c r="R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  <c r="AO186" s="87"/>
      <c r="AP186" s="87"/>
      <c r="AQ186" s="87"/>
      <c r="AR186" s="87"/>
      <c r="AS186" s="87"/>
      <c r="AT186" s="87"/>
      <c r="AU186" s="87"/>
      <c r="AV186" s="87"/>
      <c r="AW186" s="87"/>
      <c r="AX186" s="87"/>
      <c r="AY186" s="87"/>
      <c r="AZ186" s="87"/>
      <c r="BA186" s="87"/>
      <c r="BB186" s="87"/>
      <c r="BC186" s="87"/>
      <c r="BD186" s="87"/>
      <c r="BE186" s="87"/>
      <c r="BF186" s="87"/>
      <c r="BG186" s="87"/>
      <c r="BH186" s="87"/>
      <c r="BI186" s="87"/>
      <c r="BJ186" s="87"/>
      <c r="BK186" s="87"/>
      <c r="BL186" s="87"/>
      <c r="BM186" s="87"/>
      <c r="BN186" s="87"/>
      <c r="BO186" s="87"/>
      <c r="BP186" s="87"/>
      <c r="BQ186" s="87"/>
      <c r="BR186" s="87"/>
      <c r="BS186" s="87"/>
      <c r="BT186" s="87"/>
      <c r="BU186" s="87"/>
      <c r="BV186" s="87"/>
      <c r="BW186" s="87"/>
      <c r="BX186" s="87"/>
      <c r="BY186" s="87"/>
      <c r="BZ186" s="87"/>
      <c r="CA186" s="87"/>
      <c r="CB186" s="87"/>
      <c r="CC186" s="87"/>
      <c r="CD186" s="87"/>
      <c r="CE186" s="87"/>
      <c r="CF186" s="87"/>
      <c r="CG186" s="87"/>
      <c r="CH186" s="87"/>
      <c r="CI186" s="87"/>
      <c r="CJ186" s="87"/>
      <c r="CK186" s="87"/>
      <c r="CL186" s="87"/>
      <c r="CM186" s="87"/>
      <c r="CN186" s="87"/>
      <c r="CO186" s="87"/>
      <c r="CP186" s="87"/>
      <c r="CQ186" s="87"/>
      <c r="CR186" s="87"/>
      <c r="CS186" s="87"/>
      <c r="CT186" s="87"/>
      <c r="CU186" s="87"/>
      <c r="CV186" s="87"/>
      <c r="CW186" s="87"/>
      <c r="CX186" s="87"/>
      <c r="CY186" s="87"/>
      <c r="CZ186" s="87"/>
      <c r="DA186" s="87"/>
      <c r="DB186" s="87"/>
      <c r="DC186" s="87"/>
      <c r="DD186" s="87"/>
      <c r="DE186" s="87"/>
      <c r="DF186" s="87"/>
      <c r="DG186" s="87"/>
      <c r="DH186" s="87"/>
      <c r="DI186" s="87"/>
      <c r="DJ186" s="87"/>
      <c r="DK186" s="87"/>
      <c r="DL186" s="87"/>
      <c r="DM186" s="87"/>
      <c r="DN186" s="87"/>
      <c r="DO186" s="87"/>
      <c r="DP186" s="87"/>
      <c r="DQ186" s="87"/>
      <c r="DR186" s="87"/>
      <c r="DS186" s="87"/>
      <c r="DT186" s="87"/>
      <c r="DU186" s="87"/>
      <c r="DV186" s="87"/>
      <c r="DW186" s="87"/>
      <c r="DX186" s="87"/>
      <c r="DY186" s="87"/>
      <c r="DZ186" s="87"/>
      <c r="EA186" s="87"/>
      <c r="EB186" s="87"/>
      <c r="EC186" s="87"/>
      <c r="ED186" s="87"/>
      <c r="EE186" s="87"/>
      <c r="EF186" s="87"/>
      <c r="EG186" s="87"/>
      <c r="EH186" s="87"/>
      <c r="EI186" s="87"/>
      <c r="EJ186" s="87"/>
    </row>
    <row r="187" spans="1:140" ht="33.75">
      <c r="A187" s="358" t="s">
        <v>8</v>
      </c>
      <c r="B187" s="361" t="s">
        <v>0</v>
      </c>
      <c r="C187" s="361" t="s">
        <v>7</v>
      </c>
      <c r="D187" s="192" t="str">
        <f>$D$13</f>
        <v>Customer Revenue - Base Tariff</v>
      </c>
      <c r="E187" s="192" t="str">
        <f>$E$13</f>
        <v xml:space="preserve">Meter Revenue - Base Tariff </v>
      </c>
      <c r="F187" s="192" t="str">
        <f>$F$13</f>
        <v>Distribution Service Revenue - Base Tariff</v>
      </c>
      <c r="G187" s="192" t="str">
        <f>$G$13</f>
        <v>Facilities Charge</v>
      </c>
      <c r="H187" s="192" t="str">
        <f>+H13</f>
        <v>DCRF Revenue</v>
      </c>
      <c r="I187" s="192" t="str">
        <f>$I$13</f>
        <v>TCRF Revenue</v>
      </c>
      <c r="J187" s="192" t="str">
        <f>$J$13</f>
        <v>Total Base Tariff Revenue</v>
      </c>
      <c r="K187" s="193"/>
      <c r="L187" s="192" t="str">
        <f>+L13</f>
        <v>TTRAR</v>
      </c>
      <c r="M187" s="192" t="str">
        <f t="shared" ref="M187:Q187" si="73">+M13</f>
        <v>EECR</v>
      </c>
      <c r="N187" s="192" t="str">
        <f t="shared" si="73"/>
        <v>TC3</v>
      </c>
      <c r="O187" s="192" t="str">
        <f t="shared" si="73"/>
        <v>MTEEE</v>
      </c>
      <c r="P187" s="192" t="str">
        <f t="shared" si="73"/>
        <v>SRC</v>
      </c>
      <c r="Q187" s="192" t="str">
        <f t="shared" si="73"/>
        <v>Miscellaneous Riders</v>
      </c>
      <c r="R187" s="192" t="str">
        <f>$R$13</f>
        <v>Total Riders</v>
      </c>
      <c r="S187" s="189"/>
      <c r="T187" s="192" t="str">
        <f>$T$13</f>
        <v>Total Revenue</v>
      </c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  <c r="AN187" s="87"/>
      <c r="AO187" s="87"/>
      <c r="AP187" s="87"/>
      <c r="AQ187" s="87"/>
      <c r="AR187" s="87"/>
      <c r="AS187" s="87"/>
      <c r="AT187" s="87"/>
      <c r="AU187" s="87"/>
      <c r="AV187" s="87"/>
      <c r="AW187" s="87"/>
      <c r="AX187" s="87"/>
      <c r="AY187" s="87"/>
      <c r="AZ187" s="87"/>
      <c r="BA187" s="87"/>
      <c r="BB187" s="87"/>
      <c r="BC187" s="87"/>
      <c r="BD187" s="87"/>
      <c r="BE187" s="87"/>
      <c r="BF187" s="87"/>
      <c r="BG187" s="87"/>
      <c r="BH187" s="87"/>
      <c r="BI187" s="87"/>
      <c r="BJ187" s="87"/>
      <c r="BK187" s="87"/>
      <c r="BL187" s="87"/>
      <c r="BM187" s="87"/>
      <c r="BN187" s="87"/>
      <c r="BO187" s="87"/>
      <c r="BP187" s="87"/>
      <c r="BQ187" s="87"/>
      <c r="BR187" s="87"/>
      <c r="BS187" s="87"/>
      <c r="BT187" s="87"/>
      <c r="BU187" s="87"/>
      <c r="BV187" s="87"/>
      <c r="BW187" s="87"/>
      <c r="BX187" s="87"/>
      <c r="BY187" s="87"/>
      <c r="BZ187" s="87"/>
      <c r="CA187" s="87"/>
      <c r="CB187" s="87"/>
      <c r="CC187" s="87"/>
      <c r="CD187" s="87"/>
      <c r="CE187" s="87"/>
      <c r="CF187" s="87"/>
      <c r="CG187" s="87"/>
      <c r="CH187" s="87"/>
      <c r="CI187" s="87"/>
      <c r="CJ187" s="87"/>
      <c r="CK187" s="87"/>
      <c r="CL187" s="87"/>
      <c r="CM187" s="87"/>
      <c r="CN187" s="87"/>
      <c r="CO187" s="87"/>
      <c r="CP187" s="87"/>
      <c r="CQ187" s="87"/>
      <c r="CR187" s="87"/>
      <c r="CS187" s="87"/>
      <c r="CT187" s="87"/>
      <c r="CU187" s="87"/>
      <c r="CV187" s="87"/>
      <c r="CW187" s="87"/>
      <c r="CX187" s="87"/>
      <c r="CY187" s="87"/>
      <c r="CZ187" s="87"/>
      <c r="DA187" s="87"/>
      <c r="DB187" s="87"/>
      <c r="DC187" s="87"/>
      <c r="DD187" s="87"/>
      <c r="DE187" s="87"/>
      <c r="DF187" s="87"/>
      <c r="DG187" s="87"/>
      <c r="DH187" s="87"/>
      <c r="DI187" s="87"/>
      <c r="DJ187" s="87"/>
      <c r="DK187" s="87"/>
      <c r="DL187" s="87"/>
      <c r="DM187" s="87"/>
      <c r="DN187" s="87"/>
      <c r="DO187" s="87"/>
      <c r="DP187" s="87"/>
      <c r="DQ187" s="87"/>
      <c r="DR187" s="87"/>
      <c r="DS187" s="87"/>
      <c r="DT187" s="87"/>
      <c r="DU187" s="87"/>
      <c r="DV187" s="87"/>
      <c r="DW187" s="87"/>
      <c r="DX187" s="87"/>
      <c r="DY187" s="87"/>
      <c r="DZ187" s="87"/>
      <c r="EA187" s="87"/>
      <c r="EB187" s="87"/>
      <c r="EC187" s="87"/>
      <c r="ED187" s="87"/>
      <c r="EE187" s="87"/>
      <c r="EF187" s="87"/>
      <c r="EG187" s="87"/>
      <c r="EH187" s="87"/>
      <c r="EI187" s="87"/>
      <c r="EJ187" s="87"/>
    </row>
    <row r="188" spans="1:140" s="78" customFormat="1">
      <c r="A188" s="83"/>
      <c r="B188" s="111"/>
      <c r="C188" s="112"/>
      <c r="D188" s="97"/>
      <c r="E188" s="97"/>
      <c r="F188" s="97"/>
      <c r="G188" s="97"/>
      <c r="H188" s="97"/>
      <c r="I188" s="97"/>
      <c r="J188" s="97"/>
      <c r="K188" s="76"/>
      <c r="L188" s="89"/>
      <c r="M188" s="89"/>
      <c r="N188" s="89"/>
      <c r="O188" s="89"/>
      <c r="P188" s="89"/>
      <c r="Q188" s="89"/>
      <c r="R188" s="89"/>
      <c r="S188" s="89"/>
      <c r="T188" s="89"/>
    </row>
    <row r="189" spans="1:140" s="78" customFormat="1">
      <c r="A189" s="83" t="s">
        <v>9</v>
      </c>
      <c r="B189" s="78" t="s">
        <v>17</v>
      </c>
      <c r="C189" s="85" t="s">
        <v>4</v>
      </c>
      <c r="D189" s="90">
        <f>D155+D120+D86+D51+D15</f>
        <v>15708279.328989297</v>
      </c>
      <c r="E189" s="90">
        <f t="shared" ref="E189:I189" si="74">E155+E120+E86+E51+E15</f>
        <v>38036476.375195511</v>
      </c>
      <c r="F189" s="90">
        <f t="shared" si="74"/>
        <v>274280246.75195694</v>
      </c>
      <c r="G189" s="90">
        <f t="shared" si="74"/>
        <v>0</v>
      </c>
      <c r="H189" s="90">
        <f t="shared" ref="H189" si="75">H155+H120+H86+H51+H15</f>
        <v>0</v>
      </c>
      <c r="I189" s="90">
        <f t="shared" si="74"/>
        <v>0</v>
      </c>
      <c r="J189" s="90">
        <f>SUM(D189:I189)</f>
        <v>328025002.45614177</v>
      </c>
      <c r="K189" s="124"/>
      <c r="L189" s="90">
        <f t="shared" ref="L189:Q189" si="76">L155+L120+L86+L51+L15</f>
        <v>0</v>
      </c>
      <c r="M189" s="90">
        <f t="shared" si="76"/>
        <v>0</v>
      </c>
      <c r="N189" s="90">
        <f t="shared" si="76"/>
        <v>0</v>
      </c>
      <c r="O189" s="90">
        <f t="shared" si="76"/>
        <v>0</v>
      </c>
      <c r="P189" s="90">
        <f t="shared" si="76"/>
        <v>0</v>
      </c>
      <c r="Q189" s="90">
        <f t="shared" si="76"/>
        <v>0</v>
      </c>
      <c r="R189" s="90">
        <f>R120+R86+R51+R15</f>
        <v>0</v>
      </c>
      <c r="S189" s="128"/>
      <c r="T189" s="128">
        <f>R189+J189</f>
        <v>328025002.45614177</v>
      </c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  <c r="AN189" s="68"/>
      <c r="AO189" s="68"/>
      <c r="AP189" s="68"/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68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68"/>
      <c r="CY189" s="68"/>
      <c r="CZ189" s="68"/>
      <c r="DA189" s="68"/>
      <c r="DB189" s="68"/>
      <c r="DC189" s="68"/>
      <c r="DD189" s="68"/>
      <c r="DE189" s="68"/>
      <c r="DF189" s="68"/>
      <c r="DG189" s="68"/>
      <c r="DH189" s="68"/>
      <c r="DI189" s="68"/>
      <c r="DJ189" s="68"/>
      <c r="DK189" s="68"/>
      <c r="DL189" s="68"/>
      <c r="DM189" s="68"/>
      <c r="DN189" s="68"/>
      <c r="DO189" s="68"/>
      <c r="DP189" s="68"/>
      <c r="DQ189" s="68"/>
      <c r="DR189" s="68"/>
      <c r="DS189" s="68"/>
      <c r="DT189" s="68"/>
      <c r="DU189" s="68"/>
      <c r="DV189" s="68"/>
      <c r="DW189" s="68"/>
      <c r="DX189" s="68"/>
      <c r="DY189" s="68"/>
      <c r="DZ189" s="68"/>
      <c r="EA189" s="68"/>
      <c r="EB189" s="68"/>
      <c r="EC189" s="68"/>
      <c r="ED189" s="68"/>
      <c r="EE189" s="68"/>
      <c r="EF189" s="68"/>
      <c r="EG189" s="68"/>
      <c r="EH189" s="68"/>
      <c r="EI189" s="68"/>
    </row>
    <row r="190" spans="1:140" s="78" customFormat="1">
      <c r="C190" s="85"/>
      <c r="D190" s="102"/>
      <c r="E190" s="102"/>
      <c r="F190" s="102"/>
      <c r="G190" s="102"/>
      <c r="H190" s="102"/>
      <c r="I190" s="102"/>
      <c r="J190" s="102"/>
      <c r="K190" s="84"/>
      <c r="L190" s="102"/>
      <c r="M190" s="102"/>
      <c r="N190" s="102"/>
      <c r="O190" s="102"/>
      <c r="P190" s="102"/>
      <c r="Q190" s="102"/>
      <c r="R190" s="102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  <c r="AO190" s="68"/>
      <c r="AP190" s="68"/>
      <c r="AQ190" s="68"/>
      <c r="AR190" s="68"/>
      <c r="AS190" s="68"/>
      <c r="AT190" s="68"/>
      <c r="AU190" s="68"/>
      <c r="AV190" s="68"/>
      <c r="AW190" s="68"/>
      <c r="AX190" s="68"/>
      <c r="AY190" s="68"/>
      <c r="AZ190" s="68"/>
      <c r="BA190" s="68"/>
      <c r="BB190" s="68"/>
      <c r="BC190" s="68"/>
      <c r="BD190" s="68"/>
      <c r="BE190" s="68"/>
      <c r="BF190" s="68"/>
      <c r="BG190" s="68"/>
      <c r="BH190" s="68"/>
      <c r="BI190" s="68"/>
      <c r="BJ190" s="68"/>
      <c r="BK190" s="68"/>
      <c r="BL190" s="68"/>
      <c r="BM190" s="68"/>
      <c r="BN190" s="68"/>
      <c r="BO190" s="68"/>
      <c r="BP190" s="68"/>
      <c r="BQ190" s="68"/>
      <c r="BR190" s="68"/>
      <c r="BS190" s="68"/>
      <c r="BT190" s="68"/>
      <c r="BU190" s="68"/>
      <c r="BV190" s="68"/>
      <c r="BW190" s="68"/>
      <c r="BX190" s="68"/>
      <c r="BY190" s="68"/>
      <c r="BZ190" s="68"/>
      <c r="CA190" s="68"/>
      <c r="CB190" s="68"/>
      <c r="CC190" s="68"/>
      <c r="CD190" s="68"/>
      <c r="CE190" s="68"/>
      <c r="CF190" s="68"/>
      <c r="CG190" s="68"/>
      <c r="CH190" s="68"/>
      <c r="CI190" s="68"/>
      <c r="CJ190" s="68"/>
      <c r="CK190" s="68"/>
      <c r="CL190" s="68"/>
      <c r="CM190" s="68"/>
      <c r="CN190" s="68"/>
      <c r="CO190" s="68"/>
      <c r="CP190" s="68"/>
      <c r="CQ190" s="68"/>
      <c r="CR190" s="68"/>
      <c r="CS190" s="68"/>
      <c r="CT190" s="68"/>
      <c r="CU190" s="68"/>
      <c r="CV190" s="68"/>
      <c r="CW190" s="68"/>
      <c r="CX190" s="68"/>
      <c r="CY190" s="68"/>
      <c r="CZ190" s="68"/>
      <c r="DA190" s="68"/>
      <c r="DB190" s="68"/>
      <c r="DC190" s="68"/>
      <c r="DD190" s="68"/>
      <c r="DE190" s="68"/>
      <c r="DF190" s="68"/>
      <c r="DG190" s="68"/>
      <c r="DH190" s="68"/>
      <c r="DI190" s="68"/>
      <c r="DJ190" s="68"/>
      <c r="DK190" s="68"/>
      <c r="DL190" s="68"/>
      <c r="DM190" s="68"/>
      <c r="DN190" s="68"/>
      <c r="DO190" s="68"/>
      <c r="DP190" s="68"/>
      <c r="DQ190" s="68"/>
      <c r="DR190" s="68"/>
      <c r="DS190" s="68"/>
      <c r="DT190" s="68"/>
      <c r="DU190" s="68"/>
      <c r="DV190" s="68"/>
      <c r="DW190" s="68"/>
      <c r="DX190" s="68"/>
      <c r="DY190" s="68"/>
      <c r="DZ190" s="68"/>
      <c r="EA190" s="68"/>
      <c r="EB190" s="68"/>
      <c r="EC190" s="68"/>
      <c r="ED190" s="68"/>
      <c r="EE190" s="68"/>
      <c r="EF190" s="68"/>
      <c r="EG190" s="68"/>
      <c r="EH190" s="68"/>
      <c r="EI190" s="68"/>
    </row>
    <row r="191" spans="1:140" s="78" customFormat="1">
      <c r="A191" s="83">
        <v>2</v>
      </c>
      <c r="B191" s="78" t="s">
        <v>20</v>
      </c>
      <c r="C191" s="85" t="s">
        <v>4</v>
      </c>
      <c r="D191" s="71">
        <f t="shared" ref="D191:I191" si="77">D157+D122+D88+D53+D17</f>
        <v>1667059.1296076565</v>
      </c>
      <c r="E191" s="71">
        <f t="shared" si="77"/>
        <v>5099900.9656802686</v>
      </c>
      <c r="F191" s="71">
        <f t="shared" si="77"/>
        <v>14156857.073246393</v>
      </c>
      <c r="G191" s="71">
        <f t="shared" si="77"/>
        <v>0</v>
      </c>
      <c r="H191" s="71">
        <f t="shared" ref="H191" si="78">H157+H122+H88+H53+H17</f>
        <v>0</v>
      </c>
      <c r="I191" s="71">
        <f t="shared" si="77"/>
        <v>0</v>
      </c>
      <c r="J191" s="71">
        <f>SUM(D191:I191)</f>
        <v>20923817.168534316</v>
      </c>
      <c r="K191" s="84"/>
      <c r="L191" s="71">
        <f t="shared" ref="L191:Q191" si="79">L157+L122+L88+L53+L17</f>
        <v>0</v>
      </c>
      <c r="M191" s="71">
        <f t="shared" si="79"/>
        <v>0</v>
      </c>
      <c r="N191" s="84">
        <f>N157+N122+N88+N53+N17</f>
        <v>0</v>
      </c>
      <c r="O191" s="71">
        <f t="shared" si="79"/>
        <v>0</v>
      </c>
      <c r="P191" s="71">
        <f t="shared" si="79"/>
        <v>0</v>
      </c>
      <c r="Q191" s="71">
        <f t="shared" si="79"/>
        <v>0</v>
      </c>
      <c r="R191" s="71">
        <f>R122+R88+R53+R17</f>
        <v>0</v>
      </c>
      <c r="S191" s="84"/>
      <c r="T191" s="84">
        <f>R191+J191</f>
        <v>20923817.168534316</v>
      </c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  <c r="AO191" s="68"/>
      <c r="AP191" s="68"/>
      <c r="AQ191" s="68"/>
      <c r="AR191" s="68"/>
      <c r="AS191" s="68"/>
      <c r="AT191" s="68"/>
      <c r="AU191" s="68"/>
      <c r="AV191" s="68"/>
      <c r="AW191" s="68"/>
      <c r="AX191" s="68"/>
      <c r="AY191" s="68"/>
      <c r="AZ191" s="68"/>
      <c r="BA191" s="68"/>
      <c r="BB191" s="68"/>
      <c r="BC191" s="68"/>
      <c r="BD191" s="68"/>
      <c r="BE191" s="68"/>
      <c r="BF191" s="68"/>
      <c r="BG191" s="68"/>
      <c r="BH191" s="68"/>
      <c r="BI191" s="68"/>
      <c r="BJ191" s="68"/>
      <c r="BK191" s="68"/>
      <c r="BL191" s="68"/>
      <c r="BM191" s="68"/>
      <c r="BN191" s="68"/>
      <c r="BO191" s="68"/>
      <c r="BP191" s="68"/>
      <c r="BQ191" s="68"/>
      <c r="BR191" s="68"/>
      <c r="BS191" s="68"/>
      <c r="BT191" s="68"/>
      <c r="BU191" s="68"/>
      <c r="BV191" s="68"/>
      <c r="BW191" s="68"/>
      <c r="BX191" s="68"/>
      <c r="BY191" s="68"/>
      <c r="BZ191" s="68"/>
      <c r="CA191" s="68"/>
      <c r="CB191" s="68"/>
      <c r="CC191" s="68"/>
      <c r="CD191" s="68"/>
      <c r="CE191" s="68"/>
      <c r="CF191" s="68"/>
      <c r="CG191" s="68"/>
      <c r="CH191" s="68"/>
      <c r="CI191" s="68"/>
      <c r="CJ191" s="68"/>
      <c r="CK191" s="68"/>
      <c r="CL191" s="68"/>
      <c r="CM191" s="68"/>
      <c r="CN191" s="68"/>
      <c r="CO191" s="68"/>
      <c r="CP191" s="68"/>
      <c r="CQ191" s="68"/>
      <c r="CR191" s="68"/>
      <c r="CS191" s="68"/>
      <c r="CT191" s="68"/>
      <c r="CU191" s="68"/>
      <c r="CV191" s="68"/>
      <c r="CW191" s="68"/>
      <c r="CX191" s="68"/>
      <c r="CY191" s="68"/>
      <c r="CZ191" s="68"/>
      <c r="DA191" s="68"/>
      <c r="DB191" s="68"/>
      <c r="DC191" s="68"/>
      <c r="DD191" s="68"/>
      <c r="DE191" s="68"/>
      <c r="DF191" s="68"/>
      <c r="DG191" s="68"/>
      <c r="DH191" s="68"/>
      <c r="DI191" s="68"/>
      <c r="DJ191" s="68"/>
      <c r="DK191" s="68"/>
      <c r="DL191" s="68"/>
      <c r="DM191" s="68"/>
      <c r="DN191" s="68"/>
      <c r="DO191" s="68"/>
      <c r="DP191" s="68"/>
      <c r="DQ191" s="68"/>
      <c r="DR191" s="68"/>
      <c r="DS191" s="68"/>
      <c r="DT191" s="68"/>
      <c r="DU191" s="68"/>
      <c r="DV191" s="68"/>
      <c r="DW191" s="68"/>
      <c r="DX191" s="68"/>
      <c r="DY191" s="68"/>
      <c r="DZ191" s="68"/>
      <c r="EA191" s="68"/>
      <c r="EB191" s="68"/>
      <c r="EC191" s="68"/>
      <c r="ED191" s="68"/>
      <c r="EE191" s="68"/>
      <c r="EF191" s="68"/>
      <c r="EG191" s="68"/>
      <c r="EH191" s="68"/>
      <c r="EI191" s="68"/>
    </row>
    <row r="192" spans="1:140" s="78" customFormat="1">
      <c r="A192" s="83"/>
      <c r="C192" s="85"/>
      <c r="D192" s="71"/>
      <c r="E192" s="71"/>
      <c r="F192" s="71"/>
      <c r="G192" s="71"/>
      <c r="H192" s="71"/>
      <c r="I192" s="71"/>
      <c r="J192" s="71"/>
      <c r="K192" s="84"/>
      <c r="L192" s="71"/>
      <c r="M192" s="71"/>
      <c r="N192" s="71"/>
      <c r="O192" s="71"/>
      <c r="P192" s="71"/>
      <c r="Q192" s="71"/>
      <c r="R192" s="71"/>
      <c r="S192" s="68"/>
      <c r="T192" s="84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  <c r="AO192" s="68"/>
      <c r="AP192" s="68"/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68"/>
      <c r="BN192" s="68"/>
      <c r="BO192" s="68"/>
      <c r="BP192" s="68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68"/>
      <c r="CY192" s="68"/>
      <c r="CZ192" s="68"/>
      <c r="DA192" s="68"/>
      <c r="DB192" s="68"/>
      <c r="DC192" s="68"/>
      <c r="DD192" s="68"/>
      <c r="DE192" s="68"/>
      <c r="DF192" s="68"/>
      <c r="DG192" s="68"/>
      <c r="DH192" s="68"/>
      <c r="DI192" s="68"/>
      <c r="DJ192" s="68"/>
      <c r="DK192" s="68"/>
      <c r="DL192" s="68"/>
      <c r="DM192" s="68"/>
      <c r="DN192" s="68"/>
      <c r="DO192" s="68"/>
      <c r="DP192" s="68"/>
      <c r="DQ192" s="68"/>
      <c r="DR192" s="68"/>
      <c r="DS192" s="68"/>
      <c r="DT192" s="68"/>
      <c r="DU192" s="68"/>
      <c r="DV192" s="68"/>
      <c r="DW192" s="68"/>
      <c r="DX192" s="68"/>
      <c r="DY192" s="68"/>
      <c r="DZ192" s="68"/>
      <c r="EA192" s="68"/>
      <c r="EB192" s="68"/>
      <c r="EC192" s="68"/>
      <c r="ED192" s="68"/>
      <c r="EE192" s="68"/>
      <c r="EF192" s="68"/>
      <c r="EG192" s="68"/>
      <c r="EH192" s="68"/>
      <c r="EI192" s="68"/>
    </row>
    <row r="193" spans="1:139" s="78" customFormat="1">
      <c r="A193" s="83">
        <v>3</v>
      </c>
      <c r="B193" s="87" t="s">
        <v>84</v>
      </c>
      <c r="C193" s="74" t="s">
        <v>4</v>
      </c>
      <c r="D193" s="84">
        <f t="shared" ref="D193:I193" si="80">+D159+D124+D90+D55+D19</f>
        <v>1732845.1714566941</v>
      </c>
      <c r="E193" s="84">
        <f t="shared" si="80"/>
        <v>10869131.79138026</v>
      </c>
      <c r="F193" s="84">
        <f t="shared" si="80"/>
        <v>135448206.66073191</v>
      </c>
      <c r="G193" s="84">
        <f t="shared" si="80"/>
        <v>0</v>
      </c>
      <c r="H193" s="84">
        <f t="shared" ref="H193" si="81">+H159+H124+H90+H55+H19</f>
        <v>0</v>
      </c>
      <c r="I193" s="84">
        <f t="shared" si="80"/>
        <v>0</v>
      </c>
      <c r="J193" s="84">
        <f>SUM(D193:I193)</f>
        <v>148050183.62356886</v>
      </c>
      <c r="K193" s="84"/>
      <c r="L193" s="84">
        <f t="shared" ref="L193:Q193" si="82">+L159+L124+L90+L55+L19</f>
        <v>0</v>
      </c>
      <c r="M193" s="84">
        <f t="shared" si="82"/>
        <v>0</v>
      </c>
      <c r="N193" s="84">
        <f t="shared" si="82"/>
        <v>0</v>
      </c>
      <c r="O193" s="84">
        <f t="shared" si="82"/>
        <v>0</v>
      </c>
      <c r="P193" s="84">
        <f t="shared" si="82"/>
        <v>0</v>
      </c>
      <c r="Q193" s="84">
        <f t="shared" si="82"/>
        <v>0</v>
      </c>
      <c r="R193" s="84">
        <f>R124+R90+R55+R19</f>
        <v>0</v>
      </c>
      <c r="S193" s="84"/>
      <c r="T193" s="84">
        <f>R193+J193</f>
        <v>148050183.62356886</v>
      </c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68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68"/>
      <c r="CY193" s="68"/>
      <c r="CZ193" s="68"/>
      <c r="DA193" s="68"/>
      <c r="DB193" s="68"/>
      <c r="DC193" s="68"/>
      <c r="DD193" s="68"/>
      <c r="DE193" s="68"/>
      <c r="DF193" s="68"/>
      <c r="DG193" s="68"/>
      <c r="DH193" s="68"/>
      <c r="DI193" s="68"/>
      <c r="DJ193" s="68"/>
      <c r="DK193" s="68"/>
      <c r="DL193" s="68"/>
      <c r="DM193" s="68"/>
      <c r="DN193" s="68"/>
      <c r="DO193" s="68"/>
      <c r="DP193" s="68"/>
      <c r="DQ193" s="68"/>
      <c r="DR193" s="68"/>
      <c r="DS193" s="68"/>
      <c r="DT193" s="68"/>
      <c r="DU193" s="68"/>
      <c r="DV193" s="68"/>
      <c r="DW193" s="68"/>
      <c r="DX193" s="68"/>
      <c r="DY193" s="68"/>
      <c r="DZ193" s="68"/>
      <c r="EA193" s="68"/>
      <c r="EB193" s="68"/>
      <c r="EC193" s="68"/>
      <c r="ED193" s="68"/>
      <c r="EE193" s="68"/>
      <c r="EF193" s="68"/>
      <c r="EG193" s="68"/>
      <c r="EH193" s="68"/>
      <c r="EI193" s="68"/>
    </row>
    <row r="194" spans="1:139" s="78" customFormat="1">
      <c r="A194" s="83">
        <v>4</v>
      </c>
      <c r="B194" s="87" t="s">
        <v>85</v>
      </c>
      <c r="C194" s="74" t="s">
        <v>4</v>
      </c>
      <c r="D194" s="72">
        <f t="shared" ref="D194:I194" si="83">D160+D125+D91+D56+D20</f>
        <v>13996.627843947808</v>
      </c>
      <c r="E194" s="72">
        <f t="shared" si="83"/>
        <v>87790.730090504308</v>
      </c>
      <c r="F194" s="72">
        <f t="shared" si="83"/>
        <v>17640817.432595063</v>
      </c>
      <c r="G194" s="72">
        <f t="shared" si="83"/>
        <v>0</v>
      </c>
      <c r="H194" s="72">
        <f t="shared" ref="H194" si="84">H160+H125+H91+H56+H20</f>
        <v>0</v>
      </c>
      <c r="I194" s="72">
        <f t="shared" si="83"/>
        <v>0</v>
      </c>
      <c r="J194" s="72">
        <f>SUM(D194:I194)</f>
        <v>17742604.790529516</v>
      </c>
      <c r="K194" s="84"/>
      <c r="L194" s="72">
        <f t="shared" ref="L194:Q194" si="85">L160+L125+L91+L56+L20</f>
        <v>0</v>
      </c>
      <c r="M194" s="72">
        <f t="shared" si="85"/>
        <v>0</v>
      </c>
      <c r="N194" s="72">
        <f>N160+N125+N91+N56+N20</f>
        <v>0</v>
      </c>
      <c r="O194" s="72">
        <f t="shared" si="85"/>
        <v>0</v>
      </c>
      <c r="P194" s="72">
        <f t="shared" si="85"/>
        <v>0</v>
      </c>
      <c r="Q194" s="72">
        <f t="shared" si="85"/>
        <v>0</v>
      </c>
      <c r="R194" s="72">
        <f>R125+R91+R56+R20</f>
        <v>0</v>
      </c>
      <c r="S194" s="84"/>
      <c r="T194" s="72">
        <f>R194+J194</f>
        <v>17742604.790529516</v>
      </c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  <c r="AO194" s="68"/>
      <c r="AP194" s="68"/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68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68"/>
      <c r="CY194" s="68"/>
      <c r="CZ194" s="68"/>
      <c r="DA194" s="68"/>
      <c r="DB194" s="68"/>
      <c r="DC194" s="68"/>
      <c r="DD194" s="68"/>
      <c r="DE194" s="68"/>
      <c r="DF194" s="68"/>
      <c r="DG194" s="68"/>
      <c r="DH194" s="68"/>
      <c r="DI194" s="68"/>
      <c r="DJ194" s="68"/>
      <c r="DK194" s="68"/>
      <c r="DL194" s="68"/>
      <c r="DM194" s="68"/>
      <c r="DN194" s="68"/>
      <c r="DO194" s="68"/>
      <c r="DP194" s="68"/>
      <c r="DQ194" s="68"/>
      <c r="DR194" s="68"/>
      <c r="DS194" s="68"/>
      <c r="DT194" s="68"/>
      <c r="DU194" s="68"/>
      <c r="DV194" s="68"/>
      <c r="DW194" s="68"/>
      <c r="DX194" s="68"/>
      <c r="DY194" s="68"/>
      <c r="DZ194" s="68"/>
      <c r="EA194" s="68"/>
      <c r="EB194" s="68"/>
      <c r="EC194" s="68"/>
      <c r="ED194" s="68"/>
      <c r="EE194" s="68"/>
      <c r="EF194" s="68"/>
      <c r="EG194" s="68"/>
      <c r="EH194" s="68"/>
      <c r="EI194" s="68"/>
    </row>
    <row r="195" spans="1:139" s="78" customFormat="1">
      <c r="A195" s="83">
        <v>5</v>
      </c>
      <c r="B195" s="96" t="s">
        <v>18</v>
      </c>
      <c r="C195" s="85"/>
      <c r="D195" s="94">
        <f t="shared" ref="D195:J195" si="86">SUM(D193:D194)</f>
        <v>1746841.799300642</v>
      </c>
      <c r="E195" s="94">
        <f t="shared" si="86"/>
        <v>10956922.521470765</v>
      </c>
      <c r="F195" s="94">
        <f t="shared" si="86"/>
        <v>153089024.09332699</v>
      </c>
      <c r="G195" s="94">
        <f t="shared" si="86"/>
        <v>0</v>
      </c>
      <c r="H195" s="94">
        <f t="shared" ref="H195" si="87">SUM(H193:H194)</f>
        <v>0</v>
      </c>
      <c r="I195" s="94">
        <f t="shared" si="86"/>
        <v>0</v>
      </c>
      <c r="J195" s="94">
        <f t="shared" si="86"/>
        <v>165792788.41409838</v>
      </c>
      <c r="K195" s="77"/>
      <c r="L195" s="94">
        <f t="shared" ref="L195:Q195" si="88">SUM(L193:L194)</f>
        <v>0</v>
      </c>
      <c r="M195" s="94">
        <f t="shared" si="88"/>
        <v>0</v>
      </c>
      <c r="N195" s="94">
        <f>SUM(N193:N194)</f>
        <v>0</v>
      </c>
      <c r="O195" s="94">
        <f t="shared" si="88"/>
        <v>0</v>
      </c>
      <c r="P195" s="94">
        <f t="shared" si="88"/>
        <v>0</v>
      </c>
      <c r="Q195" s="94">
        <f t="shared" si="88"/>
        <v>0</v>
      </c>
      <c r="R195" s="94">
        <f>SUM(R193:R194)</f>
        <v>0</v>
      </c>
      <c r="S195" s="86"/>
      <c r="T195" s="84">
        <f>R195+J195</f>
        <v>165792788.41409838</v>
      </c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  <c r="AO195" s="68"/>
      <c r="AP195" s="68"/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68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68"/>
      <c r="CY195" s="68"/>
      <c r="CZ195" s="68"/>
      <c r="DA195" s="68"/>
      <c r="DB195" s="68"/>
      <c r="DC195" s="68"/>
      <c r="DD195" s="68"/>
      <c r="DE195" s="68"/>
      <c r="DF195" s="68"/>
      <c r="DG195" s="68"/>
      <c r="DH195" s="68"/>
      <c r="DI195" s="68"/>
      <c r="DJ195" s="68"/>
      <c r="DK195" s="68"/>
      <c r="DL195" s="68"/>
      <c r="DM195" s="68"/>
      <c r="DN195" s="68"/>
      <c r="DO195" s="68"/>
      <c r="DP195" s="68"/>
      <c r="DQ195" s="68"/>
      <c r="DR195" s="68"/>
      <c r="DS195" s="68"/>
      <c r="DT195" s="68"/>
      <c r="DU195" s="68"/>
      <c r="DV195" s="68"/>
      <c r="DW195" s="68"/>
      <c r="DX195" s="68"/>
      <c r="DY195" s="68"/>
      <c r="DZ195" s="68"/>
      <c r="EA195" s="68"/>
      <c r="EB195" s="68"/>
      <c r="EC195" s="68"/>
      <c r="ED195" s="68"/>
      <c r="EE195" s="68"/>
      <c r="EF195" s="68"/>
      <c r="EG195" s="68"/>
      <c r="EH195" s="68"/>
      <c r="EI195" s="68"/>
    </row>
    <row r="196" spans="1:139" s="78" customFormat="1">
      <c r="B196" s="146"/>
      <c r="C196" s="85"/>
      <c r="D196" s="94"/>
      <c r="E196" s="94"/>
      <c r="F196" s="94"/>
      <c r="G196" s="94"/>
      <c r="H196" s="94"/>
      <c r="I196" s="94"/>
      <c r="J196" s="94"/>
      <c r="K196" s="77"/>
      <c r="L196" s="94"/>
      <c r="M196" s="94"/>
      <c r="N196" s="94"/>
      <c r="O196" s="94"/>
      <c r="P196" s="94"/>
      <c r="Q196" s="94"/>
      <c r="R196" s="94"/>
      <c r="S196" s="68"/>
      <c r="T196" s="84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  <c r="AO196" s="68"/>
      <c r="AP196" s="68"/>
      <c r="AQ196" s="68"/>
      <c r="AR196" s="68"/>
      <c r="AS196" s="68"/>
      <c r="AT196" s="68"/>
      <c r="AU196" s="68"/>
      <c r="AV196" s="68"/>
      <c r="AW196" s="68"/>
      <c r="AX196" s="68"/>
      <c r="AY196" s="68"/>
      <c r="AZ196" s="68"/>
      <c r="BA196" s="68"/>
      <c r="BB196" s="68"/>
      <c r="BC196" s="68"/>
      <c r="BD196" s="68"/>
      <c r="BE196" s="68"/>
      <c r="BF196" s="68"/>
      <c r="BG196" s="68"/>
      <c r="BH196" s="68"/>
      <c r="BI196" s="68"/>
      <c r="BJ196" s="68"/>
      <c r="BK196" s="68"/>
      <c r="BL196" s="68"/>
      <c r="BM196" s="68"/>
      <c r="BN196" s="68"/>
      <c r="BO196" s="68"/>
      <c r="BP196" s="68"/>
      <c r="BQ196" s="68"/>
      <c r="BR196" s="68"/>
      <c r="BS196" s="68"/>
      <c r="BT196" s="68"/>
      <c r="BU196" s="68"/>
      <c r="BV196" s="68"/>
      <c r="BW196" s="68"/>
      <c r="BX196" s="68"/>
      <c r="BY196" s="68"/>
      <c r="BZ196" s="68"/>
      <c r="CA196" s="68"/>
      <c r="CB196" s="68"/>
      <c r="CC196" s="68"/>
      <c r="CD196" s="68"/>
      <c r="CE196" s="68"/>
      <c r="CF196" s="68"/>
      <c r="CG196" s="68"/>
      <c r="CH196" s="68"/>
      <c r="CI196" s="68"/>
      <c r="CJ196" s="68"/>
      <c r="CK196" s="68"/>
      <c r="CL196" s="68"/>
      <c r="CM196" s="68"/>
      <c r="CN196" s="68"/>
      <c r="CO196" s="68"/>
      <c r="CP196" s="68"/>
      <c r="CQ196" s="68"/>
      <c r="CR196" s="68"/>
      <c r="CS196" s="68"/>
      <c r="CT196" s="68"/>
      <c r="CU196" s="68"/>
      <c r="CV196" s="68"/>
      <c r="CW196" s="68"/>
      <c r="CX196" s="68"/>
      <c r="CY196" s="68"/>
      <c r="CZ196" s="68"/>
      <c r="DA196" s="68"/>
      <c r="DB196" s="68"/>
      <c r="DC196" s="68"/>
      <c r="DD196" s="68"/>
      <c r="DE196" s="68"/>
      <c r="DF196" s="68"/>
      <c r="DG196" s="68"/>
      <c r="DH196" s="68"/>
      <c r="DI196" s="68"/>
      <c r="DJ196" s="68"/>
      <c r="DK196" s="68"/>
      <c r="DL196" s="68"/>
      <c r="DM196" s="68"/>
      <c r="DN196" s="68"/>
      <c r="DO196" s="68"/>
      <c r="DP196" s="68"/>
      <c r="DQ196" s="68"/>
      <c r="DR196" s="68"/>
      <c r="DS196" s="68"/>
      <c r="DT196" s="68"/>
      <c r="DU196" s="68"/>
      <c r="DV196" s="68"/>
      <c r="DW196" s="68"/>
      <c r="DX196" s="68"/>
      <c r="DY196" s="68"/>
      <c r="DZ196" s="68"/>
      <c r="EA196" s="68"/>
      <c r="EB196" s="68"/>
      <c r="EC196" s="68"/>
      <c r="ED196" s="68"/>
      <c r="EE196" s="68"/>
      <c r="EF196" s="68"/>
      <c r="EG196" s="68"/>
      <c r="EH196" s="68"/>
      <c r="EI196" s="68"/>
    </row>
    <row r="197" spans="1:139" s="78" customFormat="1">
      <c r="A197" s="83">
        <v>6</v>
      </c>
      <c r="B197" s="87" t="s">
        <v>82</v>
      </c>
      <c r="C197" s="74" t="s">
        <v>5</v>
      </c>
      <c r="D197" s="84">
        <f t="shared" ref="D197:G198" si="89">D163+D128+D94+D59+D23</f>
        <v>48140.819437943675</v>
      </c>
      <c r="E197" s="84">
        <f t="shared" si="89"/>
        <v>830965.62931467756</v>
      </c>
      <c r="F197" s="84">
        <f t="shared" si="89"/>
        <v>2304334.5364451767</v>
      </c>
      <c r="G197" s="84">
        <f t="shared" si="89"/>
        <v>0</v>
      </c>
      <c r="H197" s="84">
        <f t="shared" ref="H197" si="90">H163+H128+H94+H59+H23</f>
        <v>0</v>
      </c>
      <c r="I197" s="84">
        <f>I163+I128+I94+I59+I23</f>
        <v>0</v>
      </c>
      <c r="J197" s="84">
        <f>SUM(D197:I197)</f>
        <v>3183440.9851977979</v>
      </c>
      <c r="K197" s="84"/>
      <c r="L197" s="84">
        <f t="shared" ref="L197:Q198" si="91">L163+L128+L94+L59+L23</f>
        <v>0</v>
      </c>
      <c r="M197" s="84">
        <f t="shared" si="91"/>
        <v>0</v>
      </c>
      <c r="N197" s="84">
        <f t="shared" si="91"/>
        <v>0</v>
      </c>
      <c r="O197" s="84">
        <f t="shared" si="91"/>
        <v>0</v>
      </c>
      <c r="P197" s="84">
        <f t="shared" si="91"/>
        <v>0</v>
      </c>
      <c r="Q197" s="84">
        <f t="shared" si="91"/>
        <v>0</v>
      </c>
      <c r="R197" s="84">
        <f>R128+R94+R59+R23</f>
        <v>0</v>
      </c>
      <c r="S197" s="84"/>
      <c r="T197" s="84">
        <f>R197+J197</f>
        <v>3183440.9851977979</v>
      </c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  <c r="AO197" s="68"/>
      <c r="AP197" s="68"/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68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68"/>
      <c r="CY197" s="68"/>
      <c r="CZ197" s="68"/>
      <c r="DA197" s="68"/>
      <c r="DB197" s="68"/>
      <c r="DC197" s="68"/>
      <c r="DD197" s="68"/>
      <c r="DE197" s="68"/>
      <c r="DF197" s="68"/>
      <c r="DG197" s="68"/>
      <c r="DH197" s="68"/>
      <c r="DI197" s="68"/>
      <c r="DJ197" s="68"/>
      <c r="DK197" s="68"/>
      <c r="DL197" s="68"/>
      <c r="DM197" s="68"/>
      <c r="DN197" s="68"/>
      <c r="DO197" s="68"/>
      <c r="DP197" s="68"/>
      <c r="DQ197" s="68"/>
      <c r="DR197" s="68"/>
      <c r="DS197" s="68"/>
      <c r="DT197" s="68"/>
      <c r="DU197" s="68"/>
      <c r="DV197" s="68"/>
      <c r="DW197" s="68"/>
      <c r="DX197" s="68"/>
      <c r="DY197" s="68"/>
      <c r="DZ197" s="68"/>
      <c r="EA197" s="68"/>
      <c r="EB197" s="68"/>
      <c r="EC197" s="68"/>
      <c r="ED197" s="68"/>
      <c r="EE197" s="68"/>
      <c r="EF197" s="68"/>
      <c r="EG197" s="68"/>
      <c r="EH197" s="68"/>
      <c r="EI197" s="68"/>
    </row>
    <row r="198" spans="1:139" s="78" customFormat="1">
      <c r="A198" s="83">
        <v>7</v>
      </c>
      <c r="B198" s="87" t="s">
        <v>83</v>
      </c>
      <c r="C198" s="74" t="s">
        <v>5</v>
      </c>
      <c r="D198" s="84">
        <f t="shared" si="89"/>
        <v>41315.412650891303</v>
      </c>
      <c r="E198" s="84">
        <f t="shared" si="89"/>
        <v>713143.33128456166</v>
      </c>
      <c r="F198" s="84">
        <f t="shared" si="89"/>
        <v>25236654.615626764</v>
      </c>
      <c r="G198" s="84">
        <f t="shared" si="89"/>
        <v>0</v>
      </c>
      <c r="H198" s="84">
        <f t="shared" ref="H198" si="92">H164+H129+H95+H60+H24</f>
        <v>0</v>
      </c>
      <c r="I198" s="84">
        <f>I164+I129+I95+I60+I24</f>
        <v>0</v>
      </c>
      <c r="J198" s="84">
        <f>SUM(D198:I198)</f>
        <v>25991113.359562218</v>
      </c>
      <c r="K198" s="84"/>
      <c r="L198" s="84">
        <f t="shared" si="91"/>
        <v>0</v>
      </c>
      <c r="M198" s="84">
        <f t="shared" si="91"/>
        <v>0</v>
      </c>
      <c r="N198" s="84">
        <f t="shared" si="91"/>
        <v>0</v>
      </c>
      <c r="O198" s="84">
        <f t="shared" si="91"/>
        <v>0</v>
      </c>
      <c r="P198" s="84">
        <f t="shared" si="91"/>
        <v>0</v>
      </c>
      <c r="Q198" s="84">
        <f t="shared" si="91"/>
        <v>0</v>
      </c>
      <c r="R198" s="84">
        <f>R129+R95+R60+R24</f>
        <v>0</v>
      </c>
      <c r="S198" s="84"/>
      <c r="T198" s="84">
        <f>R198+J198</f>
        <v>25991113.359562218</v>
      </c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  <c r="AO198" s="68"/>
      <c r="AP198" s="68"/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68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68"/>
      <c r="CY198" s="68"/>
      <c r="CZ198" s="68"/>
      <c r="DA198" s="68"/>
      <c r="DB198" s="68"/>
      <c r="DC198" s="68"/>
      <c r="DD198" s="68"/>
      <c r="DE198" s="68"/>
      <c r="DF198" s="68"/>
      <c r="DG198" s="68"/>
      <c r="DH198" s="68"/>
      <c r="DI198" s="68"/>
      <c r="DJ198" s="68"/>
      <c r="DK198" s="68"/>
      <c r="DL198" s="68"/>
      <c r="DM198" s="68"/>
      <c r="DN198" s="68"/>
      <c r="DO198" s="68"/>
      <c r="DP198" s="68"/>
      <c r="DQ198" s="68"/>
      <c r="DR198" s="68"/>
      <c r="DS198" s="68"/>
      <c r="DT198" s="68"/>
      <c r="DU198" s="68"/>
      <c r="DV198" s="68"/>
      <c r="DW198" s="68"/>
      <c r="DX198" s="68"/>
      <c r="DY198" s="68"/>
      <c r="DZ198" s="68"/>
      <c r="EA198" s="68"/>
      <c r="EB198" s="68"/>
      <c r="EC198" s="68"/>
      <c r="ED198" s="68"/>
      <c r="EE198" s="68"/>
      <c r="EF198" s="68"/>
      <c r="EG198" s="68"/>
      <c r="EH198" s="68"/>
      <c r="EI198" s="68"/>
    </row>
    <row r="199" spans="1:139" s="78" customFormat="1">
      <c r="A199" s="83">
        <v>8</v>
      </c>
      <c r="B199" s="87" t="s">
        <v>148</v>
      </c>
      <c r="C199" s="74" t="s">
        <v>5</v>
      </c>
      <c r="D199" s="84">
        <f t="shared" ref="D199:G199" si="93">D165+D130+D96+D61+D25</f>
        <v>792.43187978194953</v>
      </c>
      <c r="E199" s="84">
        <f t="shared" si="93"/>
        <v>13678.344569787201</v>
      </c>
      <c r="F199" s="84">
        <f t="shared" si="93"/>
        <v>58063.963550430926</v>
      </c>
      <c r="G199" s="84">
        <f t="shared" si="93"/>
        <v>0</v>
      </c>
      <c r="H199" s="84">
        <f t="shared" ref="H199" si="94">H165+H130+H96+H61+H25</f>
        <v>0</v>
      </c>
      <c r="I199" s="84">
        <f t="shared" ref="I199:I200" si="95">I165+I130+I96+I61+I25</f>
        <v>0</v>
      </c>
      <c r="J199" s="84">
        <f t="shared" ref="J199:J200" si="96">SUM(D199:I199)</f>
        <v>72534.740000000078</v>
      </c>
      <c r="K199" s="84"/>
      <c r="L199" s="84">
        <f t="shared" ref="L199:Q199" si="97">L165+L130+L96+L61+L25</f>
        <v>0</v>
      </c>
      <c r="M199" s="84">
        <f t="shared" si="97"/>
        <v>0</v>
      </c>
      <c r="N199" s="84">
        <f t="shared" si="97"/>
        <v>0</v>
      </c>
      <c r="O199" s="84">
        <f t="shared" si="97"/>
        <v>0</v>
      </c>
      <c r="P199" s="84">
        <f t="shared" si="97"/>
        <v>0</v>
      </c>
      <c r="Q199" s="84">
        <f t="shared" si="97"/>
        <v>0</v>
      </c>
      <c r="R199" s="84">
        <f t="shared" ref="R199:R200" si="98">R130+R96+R61+R25</f>
        <v>0</v>
      </c>
      <c r="S199" s="84"/>
      <c r="T199" s="84">
        <f>R199+J199</f>
        <v>72534.740000000078</v>
      </c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  <c r="AO199" s="68"/>
      <c r="AP199" s="68"/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68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68"/>
      <c r="CY199" s="68"/>
      <c r="CZ199" s="68"/>
      <c r="DA199" s="68"/>
      <c r="DB199" s="68"/>
      <c r="DC199" s="68"/>
      <c r="DD199" s="68"/>
      <c r="DE199" s="68"/>
      <c r="DF199" s="68"/>
      <c r="DG199" s="68"/>
      <c r="DH199" s="68"/>
      <c r="DI199" s="68"/>
      <c r="DJ199" s="68"/>
      <c r="DK199" s="68"/>
      <c r="DL199" s="68"/>
      <c r="DM199" s="68"/>
      <c r="DN199" s="68"/>
      <c r="DO199" s="68"/>
      <c r="DP199" s="68"/>
      <c r="DQ199" s="68"/>
      <c r="DR199" s="68"/>
      <c r="DS199" s="68"/>
      <c r="DT199" s="68"/>
      <c r="DU199" s="68"/>
      <c r="DV199" s="68"/>
      <c r="DW199" s="68"/>
      <c r="DX199" s="68"/>
      <c r="DY199" s="68"/>
      <c r="DZ199" s="68"/>
      <c r="EA199" s="68"/>
      <c r="EB199" s="68"/>
      <c r="EC199" s="68"/>
      <c r="ED199" s="68"/>
      <c r="EE199" s="68"/>
      <c r="EF199" s="68"/>
      <c r="EG199" s="68"/>
      <c r="EH199" s="68"/>
      <c r="EI199" s="68"/>
    </row>
    <row r="200" spans="1:139" s="78" customFormat="1">
      <c r="A200" s="83">
        <v>9</v>
      </c>
      <c r="B200" s="87" t="s">
        <v>149</v>
      </c>
      <c r="C200" s="74" t="s">
        <v>5</v>
      </c>
      <c r="D200" s="72">
        <f t="shared" ref="D200:G200" si="99">D166+D131+D97+D62+D26</f>
        <v>5088.5361879984439</v>
      </c>
      <c r="E200" s="72">
        <f t="shared" si="99"/>
        <v>87834.365465491515</v>
      </c>
      <c r="F200" s="72">
        <f t="shared" si="99"/>
        <v>6556304.3483465342</v>
      </c>
      <c r="G200" s="72">
        <f t="shared" si="99"/>
        <v>0</v>
      </c>
      <c r="H200" s="72">
        <f t="shared" ref="H200" si="100">H166+H131+H97+H62+H26</f>
        <v>0</v>
      </c>
      <c r="I200" s="72">
        <f t="shared" si="95"/>
        <v>0</v>
      </c>
      <c r="J200" s="72">
        <f t="shared" si="96"/>
        <v>6649227.2500000242</v>
      </c>
      <c r="K200" s="84"/>
      <c r="L200" s="72">
        <f t="shared" ref="L200:Q200" si="101">L166+L131+L97+L62+L26</f>
        <v>0</v>
      </c>
      <c r="M200" s="72">
        <f t="shared" si="101"/>
        <v>0</v>
      </c>
      <c r="N200" s="72">
        <f t="shared" si="101"/>
        <v>0</v>
      </c>
      <c r="O200" s="72">
        <f t="shared" si="101"/>
        <v>0</v>
      </c>
      <c r="P200" s="72">
        <f t="shared" si="101"/>
        <v>0</v>
      </c>
      <c r="Q200" s="72">
        <f t="shared" si="101"/>
        <v>0</v>
      </c>
      <c r="R200" s="72">
        <f t="shared" si="98"/>
        <v>0</v>
      </c>
      <c r="S200" s="84"/>
      <c r="T200" s="72">
        <f>R200+J200</f>
        <v>6649227.2500000242</v>
      </c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  <c r="AO200" s="68"/>
      <c r="AP200" s="68"/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68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68"/>
      <c r="CY200" s="68"/>
      <c r="CZ200" s="68"/>
      <c r="DA200" s="68"/>
      <c r="DB200" s="68"/>
      <c r="DC200" s="68"/>
      <c r="DD200" s="68"/>
      <c r="DE200" s="68"/>
      <c r="DF200" s="68"/>
      <c r="DG200" s="68"/>
      <c r="DH200" s="68"/>
      <c r="DI200" s="68"/>
      <c r="DJ200" s="68"/>
      <c r="DK200" s="68"/>
      <c r="DL200" s="68"/>
      <c r="DM200" s="68"/>
      <c r="DN200" s="68"/>
      <c r="DO200" s="68"/>
      <c r="DP200" s="68"/>
      <c r="DQ200" s="68"/>
      <c r="DR200" s="68"/>
      <c r="DS200" s="68"/>
      <c r="DT200" s="68"/>
      <c r="DU200" s="68"/>
      <c r="DV200" s="68"/>
      <c r="DW200" s="68"/>
      <c r="DX200" s="68"/>
      <c r="DY200" s="68"/>
      <c r="DZ200" s="68"/>
      <c r="EA200" s="68"/>
      <c r="EB200" s="68"/>
      <c r="EC200" s="68"/>
      <c r="ED200" s="68"/>
      <c r="EE200" s="68"/>
      <c r="EF200" s="68"/>
      <c r="EG200" s="68"/>
      <c r="EH200" s="68"/>
      <c r="EI200" s="68"/>
    </row>
    <row r="201" spans="1:139" s="78" customFormat="1">
      <c r="A201" s="83">
        <v>10</v>
      </c>
      <c r="B201" s="78" t="s">
        <v>19</v>
      </c>
      <c r="C201" s="74"/>
      <c r="D201" s="71">
        <f>SUM(D197:D200)</f>
        <v>95337.200156615363</v>
      </c>
      <c r="E201" s="71">
        <f t="shared" ref="E201:J201" si="102">SUM(E197:E200)</f>
        <v>1645621.6706345179</v>
      </c>
      <c r="F201" s="71">
        <f t="shared" si="102"/>
        <v>34155357.463968903</v>
      </c>
      <c r="G201" s="71">
        <f t="shared" si="102"/>
        <v>0</v>
      </c>
      <c r="H201" s="71">
        <f t="shared" ref="H201" si="103">SUM(H197:H200)</f>
        <v>0</v>
      </c>
      <c r="I201" s="71">
        <f t="shared" si="102"/>
        <v>0</v>
      </c>
      <c r="J201" s="71">
        <f t="shared" si="102"/>
        <v>35896316.33476004</v>
      </c>
      <c r="K201" s="84"/>
      <c r="L201" s="71">
        <f>SUM(L197:L200)</f>
        <v>0</v>
      </c>
      <c r="M201" s="71">
        <f t="shared" ref="M201:R201" si="104">SUM(M197:M200)</f>
        <v>0</v>
      </c>
      <c r="N201" s="84">
        <f t="shared" si="104"/>
        <v>0</v>
      </c>
      <c r="O201" s="71">
        <f t="shared" si="104"/>
        <v>0</v>
      </c>
      <c r="P201" s="71">
        <f t="shared" si="104"/>
        <v>0</v>
      </c>
      <c r="Q201" s="71">
        <f t="shared" si="104"/>
        <v>0</v>
      </c>
      <c r="R201" s="71">
        <f t="shared" si="104"/>
        <v>0</v>
      </c>
      <c r="S201" s="86"/>
      <c r="T201" s="84">
        <f>R201+J201</f>
        <v>35896316.33476004</v>
      </c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  <c r="AO201" s="68"/>
      <c r="AP201" s="68"/>
      <c r="AQ201" s="68"/>
      <c r="AR201" s="68"/>
      <c r="AS201" s="68"/>
      <c r="AT201" s="68"/>
      <c r="AU201" s="68"/>
      <c r="AV201" s="68"/>
      <c r="AW201" s="68"/>
      <c r="AX201" s="68"/>
      <c r="AY201" s="68"/>
      <c r="AZ201" s="68"/>
      <c r="BA201" s="68"/>
      <c r="BB201" s="68"/>
      <c r="BC201" s="68"/>
      <c r="BD201" s="68"/>
      <c r="BE201" s="68"/>
      <c r="BF201" s="68"/>
      <c r="BG201" s="68"/>
      <c r="BH201" s="68"/>
      <c r="BI201" s="68"/>
      <c r="BJ201" s="68"/>
      <c r="BK201" s="68"/>
      <c r="BL201" s="68"/>
      <c r="BM201" s="68"/>
      <c r="BN201" s="68"/>
      <c r="BO201" s="68"/>
      <c r="BP201" s="68"/>
      <c r="BQ201" s="68"/>
      <c r="BR201" s="68"/>
      <c r="BS201" s="68"/>
      <c r="BT201" s="68"/>
      <c r="BU201" s="68"/>
      <c r="BV201" s="68"/>
      <c r="BW201" s="68"/>
      <c r="BX201" s="68"/>
      <c r="BY201" s="68"/>
      <c r="BZ201" s="68"/>
      <c r="CA201" s="68"/>
      <c r="CB201" s="68"/>
      <c r="CC201" s="68"/>
      <c r="CD201" s="68"/>
      <c r="CE201" s="68"/>
      <c r="CF201" s="68"/>
      <c r="CG201" s="68"/>
      <c r="CH201" s="68"/>
      <c r="CI201" s="68"/>
      <c r="CJ201" s="68"/>
      <c r="CK201" s="68"/>
      <c r="CL201" s="68"/>
      <c r="CM201" s="68"/>
      <c r="CN201" s="68"/>
      <c r="CO201" s="68"/>
      <c r="CP201" s="68"/>
      <c r="CQ201" s="68"/>
      <c r="CR201" s="68"/>
      <c r="CS201" s="68"/>
      <c r="CT201" s="68"/>
      <c r="CU201" s="68"/>
      <c r="CV201" s="68"/>
      <c r="CW201" s="68"/>
      <c r="CX201" s="68"/>
      <c r="CY201" s="68"/>
      <c r="CZ201" s="68"/>
      <c r="DA201" s="68"/>
      <c r="DB201" s="68"/>
      <c r="DC201" s="68"/>
      <c r="DD201" s="68"/>
      <c r="DE201" s="68"/>
      <c r="DF201" s="68"/>
      <c r="DG201" s="68"/>
      <c r="DH201" s="68"/>
      <c r="DI201" s="68"/>
      <c r="DJ201" s="68"/>
      <c r="DK201" s="68"/>
      <c r="DL201" s="68"/>
      <c r="DM201" s="68"/>
      <c r="DN201" s="68"/>
      <c r="DO201" s="68"/>
      <c r="DP201" s="68"/>
      <c r="DQ201" s="68"/>
      <c r="DR201" s="68"/>
      <c r="DS201" s="68"/>
      <c r="DT201" s="68"/>
      <c r="DU201" s="68"/>
      <c r="DV201" s="68"/>
      <c r="DW201" s="68"/>
      <c r="DX201" s="68"/>
      <c r="DY201" s="68"/>
      <c r="DZ201" s="68"/>
      <c r="EA201" s="68"/>
      <c r="EB201" s="68"/>
      <c r="EC201" s="68"/>
      <c r="ED201" s="68"/>
      <c r="EE201" s="68"/>
      <c r="EF201" s="68"/>
      <c r="EG201" s="68"/>
      <c r="EH201" s="68"/>
      <c r="EI201" s="68"/>
    </row>
    <row r="202" spans="1:139" s="78" customFormat="1">
      <c r="A202" s="83"/>
      <c r="C202" s="74"/>
      <c r="D202" s="71"/>
      <c r="E202" s="71"/>
      <c r="F202" s="71"/>
      <c r="G202" s="71"/>
      <c r="H202" s="71"/>
      <c r="I202" s="71"/>
      <c r="J202" s="71"/>
      <c r="K202" s="84"/>
      <c r="L202" s="71"/>
      <c r="M202" s="71"/>
      <c r="N202" s="84"/>
      <c r="O202" s="71"/>
      <c r="P202" s="71"/>
      <c r="Q202" s="71"/>
      <c r="R202" s="71"/>
      <c r="S202" s="68"/>
      <c r="T202" s="84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  <c r="AO202" s="68"/>
      <c r="AP202" s="68"/>
      <c r="AQ202" s="68"/>
      <c r="AR202" s="68"/>
      <c r="AS202" s="68"/>
      <c r="AT202" s="68"/>
      <c r="AU202" s="68"/>
      <c r="AV202" s="68"/>
      <c r="AW202" s="68"/>
      <c r="AX202" s="68"/>
      <c r="AY202" s="68"/>
      <c r="AZ202" s="68"/>
      <c r="BA202" s="68"/>
      <c r="BB202" s="68"/>
      <c r="BC202" s="68"/>
      <c r="BD202" s="68"/>
      <c r="BE202" s="68"/>
      <c r="BF202" s="68"/>
      <c r="BG202" s="68"/>
      <c r="BH202" s="68"/>
      <c r="BI202" s="68"/>
      <c r="BJ202" s="68"/>
      <c r="BK202" s="68"/>
      <c r="BL202" s="68"/>
      <c r="BM202" s="68"/>
      <c r="BN202" s="68"/>
      <c r="BO202" s="68"/>
      <c r="BP202" s="68"/>
      <c r="BQ202" s="68"/>
      <c r="BR202" s="68"/>
      <c r="BS202" s="68"/>
      <c r="BT202" s="68"/>
      <c r="BU202" s="68"/>
      <c r="BV202" s="68"/>
      <c r="BW202" s="68"/>
      <c r="BX202" s="68"/>
      <c r="BY202" s="68"/>
      <c r="BZ202" s="68"/>
      <c r="CA202" s="68"/>
      <c r="CB202" s="68"/>
      <c r="CC202" s="68"/>
      <c r="CD202" s="68"/>
      <c r="CE202" s="68"/>
      <c r="CF202" s="68"/>
      <c r="CG202" s="68"/>
      <c r="CH202" s="68"/>
      <c r="CI202" s="68"/>
      <c r="CJ202" s="68"/>
      <c r="CK202" s="68"/>
      <c r="CL202" s="68"/>
      <c r="CM202" s="68"/>
      <c r="CN202" s="68"/>
      <c r="CO202" s="68"/>
      <c r="CP202" s="68"/>
      <c r="CQ202" s="68"/>
      <c r="CR202" s="68"/>
      <c r="CS202" s="68"/>
      <c r="CT202" s="68"/>
      <c r="CU202" s="68"/>
      <c r="CV202" s="68"/>
      <c r="CW202" s="68"/>
      <c r="CX202" s="68"/>
      <c r="CY202" s="68"/>
      <c r="CZ202" s="68"/>
      <c r="DA202" s="68"/>
      <c r="DB202" s="68"/>
      <c r="DC202" s="68"/>
      <c r="DD202" s="68"/>
      <c r="DE202" s="68"/>
      <c r="DF202" s="68"/>
      <c r="DG202" s="68"/>
      <c r="DH202" s="68"/>
      <c r="DI202" s="68"/>
      <c r="DJ202" s="68"/>
      <c r="DK202" s="68"/>
      <c r="DL202" s="68"/>
      <c r="DM202" s="68"/>
      <c r="DN202" s="68"/>
      <c r="DO202" s="68"/>
      <c r="DP202" s="68"/>
      <c r="DQ202" s="68"/>
      <c r="DR202" s="68"/>
      <c r="DS202" s="68"/>
      <c r="DT202" s="68"/>
      <c r="DU202" s="68"/>
      <c r="DV202" s="68"/>
      <c r="DW202" s="68"/>
      <c r="DX202" s="68"/>
      <c r="DY202" s="68"/>
      <c r="DZ202" s="68"/>
      <c r="EA202" s="68"/>
      <c r="EB202" s="68"/>
      <c r="EC202" s="68"/>
      <c r="ED202" s="68"/>
      <c r="EE202" s="68"/>
      <c r="EF202" s="68"/>
      <c r="EG202" s="68"/>
      <c r="EH202" s="68"/>
      <c r="EI202" s="68"/>
    </row>
    <row r="203" spans="1:139" s="78" customFormat="1">
      <c r="A203" s="83">
        <v>11</v>
      </c>
      <c r="B203" s="96" t="s">
        <v>86</v>
      </c>
      <c r="C203" s="74" t="s">
        <v>6</v>
      </c>
      <c r="D203" s="84">
        <f t="shared" ref="D203:I203" si="105">D169+D134+D100+D65+D29</f>
        <v>11457.395054401524</v>
      </c>
      <c r="E203" s="84">
        <f t="shared" si="105"/>
        <v>1166417.9590811178</v>
      </c>
      <c r="F203" s="84">
        <f t="shared" si="105"/>
        <v>8293460.5320387157</v>
      </c>
      <c r="G203" s="84">
        <f t="shared" si="105"/>
        <v>0</v>
      </c>
      <c r="H203" s="84">
        <f t="shared" ref="H203" si="106">H169+H134+H100+H65+H29</f>
        <v>0</v>
      </c>
      <c r="I203" s="84">
        <f t="shared" si="105"/>
        <v>0</v>
      </c>
      <c r="J203" s="84">
        <f>SUM(D203:I203)</f>
        <v>9471335.8861742355</v>
      </c>
      <c r="K203" s="84"/>
      <c r="L203" s="84">
        <f t="shared" ref="L203:Q203" si="107">L169+L134+L100+L65+L29</f>
        <v>0</v>
      </c>
      <c r="M203" s="84">
        <f t="shared" si="107"/>
        <v>0</v>
      </c>
      <c r="N203" s="84">
        <f t="shared" si="107"/>
        <v>0</v>
      </c>
      <c r="O203" s="84">
        <f t="shared" si="107"/>
        <v>0</v>
      </c>
      <c r="P203" s="84">
        <f t="shared" si="107"/>
        <v>0</v>
      </c>
      <c r="Q203" s="84">
        <f t="shared" si="107"/>
        <v>0</v>
      </c>
      <c r="R203" s="84">
        <f>R134+R100+R65+R29</f>
        <v>0</v>
      </c>
      <c r="S203" s="84"/>
      <c r="T203" s="84">
        <f>R203+J203</f>
        <v>9471335.8861742355</v>
      </c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  <c r="AO203" s="68"/>
      <c r="AP203" s="68"/>
      <c r="AQ203" s="68"/>
      <c r="AR203" s="68"/>
      <c r="AS203" s="68"/>
      <c r="AT203" s="68"/>
      <c r="AU203" s="68"/>
      <c r="AV203" s="68"/>
      <c r="AW203" s="68"/>
      <c r="AX203" s="68"/>
      <c r="AY203" s="68"/>
      <c r="AZ203" s="68"/>
      <c r="BA203" s="68"/>
      <c r="BB203" s="68"/>
      <c r="BC203" s="68"/>
      <c r="BD203" s="68"/>
      <c r="BE203" s="68"/>
      <c r="BF203" s="68"/>
      <c r="BG203" s="68"/>
      <c r="BH203" s="68"/>
      <c r="BI203" s="68"/>
      <c r="BJ203" s="68"/>
      <c r="BK203" s="68"/>
      <c r="BL203" s="68"/>
      <c r="BM203" s="68"/>
      <c r="BN203" s="68"/>
      <c r="BO203" s="68"/>
      <c r="BP203" s="68"/>
      <c r="BQ203" s="68"/>
      <c r="BR203" s="68"/>
      <c r="BS203" s="68"/>
      <c r="BT203" s="68"/>
      <c r="BU203" s="68"/>
      <c r="BV203" s="68"/>
      <c r="BW203" s="68"/>
      <c r="BX203" s="68"/>
      <c r="BY203" s="68"/>
      <c r="BZ203" s="68"/>
      <c r="CA203" s="68"/>
      <c r="CB203" s="68"/>
      <c r="CC203" s="68"/>
      <c r="CD203" s="68"/>
      <c r="CE203" s="68"/>
      <c r="CF203" s="68"/>
      <c r="CG203" s="68"/>
      <c r="CH203" s="68"/>
      <c r="CI203" s="68"/>
      <c r="CJ203" s="68"/>
      <c r="CK203" s="68"/>
      <c r="CL203" s="68"/>
      <c r="CM203" s="68"/>
      <c r="CN203" s="68"/>
      <c r="CO203" s="68"/>
      <c r="CP203" s="68"/>
      <c r="CQ203" s="68"/>
      <c r="CR203" s="68"/>
      <c r="CS203" s="68"/>
      <c r="CT203" s="68"/>
      <c r="CU203" s="68"/>
      <c r="CV203" s="68"/>
      <c r="CW203" s="68"/>
      <c r="CX203" s="68"/>
      <c r="CY203" s="68"/>
      <c r="CZ203" s="68"/>
      <c r="DA203" s="68"/>
      <c r="DB203" s="68"/>
      <c r="DC203" s="68"/>
      <c r="DD203" s="68"/>
      <c r="DE203" s="68"/>
      <c r="DF203" s="68"/>
      <c r="DG203" s="68"/>
      <c r="DH203" s="68"/>
      <c r="DI203" s="68"/>
      <c r="DJ203" s="68"/>
      <c r="DK203" s="68"/>
      <c r="DL203" s="68"/>
      <c r="DM203" s="68"/>
      <c r="DN203" s="68"/>
      <c r="DO203" s="68"/>
      <c r="DP203" s="68"/>
      <c r="DQ203" s="68"/>
      <c r="DR203" s="68"/>
      <c r="DS203" s="68"/>
      <c r="DT203" s="68"/>
      <c r="DU203" s="68"/>
      <c r="DV203" s="68"/>
      <c r="DW203" s="68"/>
      <c r="DX203" s="68"/>
      <c r="DY203" s="68"/>
      <c r="DZ203" s="68"/>
      <c r="EA203" s="68"/>
      <c r="EB203" s="68"/>
      <c r="EC203" s="68"/>
      <c r="ED203" s="68"/>
      <c r="EE203" s="68"/>
      <c r="EF203" s="68"/>
      <c r="EG203" s="68"/>
      <c r="EH203" s="68"/>
      <c r="EI203" s="68"/>
    </row>
    <row r="204" spans="1:139" s="78" customFormat="1">
      <c r="A204" s="83"/>
      <c r="C204" s="85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  <c r="AO204" s="68"/>
      <c r="AP204" s="68"/>
      <c r="AQ204" s="68"/>
      <c r="AR204" s="68"/>
      <c r="AS204" s="68"/>
      <c r="AT204" s="68"/>
      <c r="AU204" s="68"/>
      <c r="AV204" s="68"/>
      <c r="AW204" s="68"/>
      <c r="AX204" s="68"/>
      <c r="AY204" s="68"/>
      <c r="AZ204" s="68"/>
      <c r="BA204" s="68"/>
      <c r="BB204" s="68"/>
      <c r="BC204" s="68"/>
      <c r="BD204" s="68"/>
      <c r="BE204" s="68"/>
      <c r="BF204" s="68"/>
      <c r="BG204" s="68"/>
      <c r="BH204" s="68"/>
      <c r="BI204" s="68"/>
      <c r="BJ204" s="68"/>
      <c r="BK204" s="68"/>
      <c r="BL204" s="68"/>
      <c r="BM204" s="68"/>
      <c r="BN204" s="68"/>
      <c r="BO204" s="68"/>
      <c r="BP204" s="68"/>
      <c r="BQ204" s="68"/>
      <c r="BR204" s="68"/>
      <c r="BS204" s="68"/>
      <c r="BT204" s="68"/>
      <c r="BU204" s="68"/>
      <c r="BV204" s="68"/>
      <c r="BW204" s="68"/>
      <c r="BX204" s="68"/>
      <c r="BY204" s="68"/>
      <c r="BZ204" s="68"/>
      <c r="CA204" s="68"/>
      <c r="CB204" s="68"/>
      <c r="CC204" s="68"/>
      <c r="CD204" s="68"/>
      <c r="CE204" s="68"/>
      <c r="CF204" s="68"/>
      <c r="CG204" s="68"/>
      <c r="CH204" s="68"/>
      <c r="CI204" s="68"/>
      <c r="CJ204" s="68"/>
      <c r="CK204" s="68"/>
      <c r="CL204" s="68"/>
      <c r="CM204" s="68"/>
      <c r="CN204" s="68"/>
      <c r="CO204" s="68"/>
      <c r="CP204" s="68"/>
      <c r="CQ204" s="68"/>
      <c r="CR204" s="68"/>
      <c r="CS204" s="68"/>
      <c r="CT204" s="68"/>
      <c r="CU204" s="68"/>
      <c r="CV204" s="68"/>
      <c r="CW204" s="68"/>
      <c r="CX204" s="68"/>
      <c r="CY204" s="68"/>
      <c r="CZ204" s="68"/>
      <c r="DA204" s="68"/>
      <c r="DB204" s="68"/>
      <c r="DC204" s="68"/>
      <c r="DD204" s="68"/>
      <c r="DE204" s="68"/>
      <c r="DF204" s="68"/>
      <c r="DG204" s="68"/>
      <c r="DH204" s="68"/>
      <c r="DI204" s="68"/>
      <c r="DJ204" s="68"/>
      <c r="DK204" s="68"/>
      <c r="DL204" s="68"/>
      <c r="DM204" s="68"/>
      <c r="DN204" s="68"/>
      <c r="DO204" s="68"/>
      <c r="DP204" s="68"/>
      <c r="DQ204" s="68"/>
      <c r="DR204" s="68"/>
      <c r="DS204" s="68"/>
      <c r="DT204" s="68"/>
      <c r="DU204" s="68"/>
      <c r="DV204" s="68"/>
      <c r="DW204" s="68"/>
      <c r="DX204" s="68"/>
      <c r="DY204" s="68"/>
      <c r="DZ204" s="68"/>
      <c r="EA204" s="68"/>
      <c r="EB204" s="68"/>
      <c r="EC204" s="68"/>
      <c r="ED204" s="68"/>
      <c r="EE204" s="68"/>
      <c r="EF204" s="68"/>
      <c r="EG204" s="68"/>
      <c r="EH204" s="68"/>
      <c r="EI204" s="68"/>
    </row>
    <row r="205" spans="1:139" s="78" customFormat="1">
      <c r="A205" s="83">
        <v>12</v>
      </c>
      <c r="B205" s="68" t="s">
        <v>21</v>
      </c>
      <c r="C205" s="74" t="s">
        <v>4</v>
      </c>
      <c r="D205" s="84">
        <f t="shared" ref="D205:I205" si="108">D171+D136+D102+D67+D31</f>
        <v>44131.710352257905</v>
      </c>
      <c r="E205" s="84">
        <f t="shared" si="108"/>
        <v>0</v>
      </c>
      <c r="F205" s="84">
        <f t="shared" si="108"/>
        <v>21582477.125862662</v>
      </c>
      <c r="G205" s="84">
        <f t="shared" si="108"/>
        <v>0</v>
      </c>
      <c r="H205" s="84">
        <f t="shared" ref="H205" si="109">H171+H136+H102+H67+H31</f>
        <v>0</v>
      </c>
      <c r="I205" s="84">
        <f t="shared" si="108"/>
        <v>0</v>
      </c>
      <c r="J205" s="84">
        <f>SUM(D205:I205)</f>
        <v>21626608.836214919</v>
      </c>
      <c r="K205" s="84"/>
      <c r="L205" s="84">
        <f t="shared" ref="L205:Q205" si="110">L171+L136+L102+L67+L31</f>
        <v>0</v>
      </c>
      <c r="M205" s="84">
        <f t="shared" si="110"/>
        <v>0</v>
      </c>
      <c r="N205" s="84">
        <f>N171+N136+N102+N67+N31</f>
        <v>0</v>
      </c>
      <c r="O205" s="84">
        <f t="shared" si="110"/>
        <v>0</v>
      </c>
      <c r="P205" s="84">
        <f t="shared" si="110"/>
        <v>0</v>
      </c>
      <c r="Q205" s="84">
        <f t="shared" si="110"/>
        <v>0</v>
      </c>
      <c r="R205" s="84">
        <f>R136+R102+R67+R31</f>
        <v>0</v>
      </c>
      <c r="S205" s="84"/>
      <c r="T205" s="84">
        <f>R205+J205</f>
        <v>21626608.836214919</v>
      </c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  <c r="AO205" s="68"/>
      <c r="AP205" s="68"/>
      <c r="AQ205" s="68"/>
      <c r="AR205" s="68"/>
      <c r="AS205" s="68"/>
      <c r="AT205" s="68"/>
      <c r="AU205" s="68"/>
      <c r="AV205" s="68"/>
      <c r="AW205" s="68"/>
      <c r="AX205" s="68"/>
      <c r="AY205" s="68"/>
      <c r="AZ205" s="68"/>
      <c r="BA205" s="68"/>
      <c r="BB205" s="68"/>
      <c r="BC205" s="68"/>
      <c r="BD205" s="68"/>
      <c r="BE205" s="68"/>
      <c r="BF205" s="68"/>
      <c r="BG205" s="68"/>
      <c r="BH205" s="68"/>
      <c r="BI205" s="68"/>
      <c r="BJ205" s="68"/>
      <c r="BK205" s="68"/>
      <c r="BL205" s="68"/>
      <c r="BM205" s="68"/>
      <c r="BN205" s="68"/>
      <c r="BO205" s="68"/>
      <c r="BP205" s="68"/>
      <c r="BQ205" s="68"/>
      <c r="BR205" s="68"/>
      <c r="BS205" s="68"/>
      <c r="BT205" s="68"/>
      <c r="BU205" s="68"/>
      <c r="BV205" s="68"/>
      <c r="BW205" s="68"/>
      <c r="BX205" s="68"/>
      <c r="BY205" s="68"/>
      <c r="BZ205" s="68"/>
      <c r="CA205" s="68"/>
      <c r="CB205" s="68"/>
      <c r="CC205" s="68"/>
      <c r="CD205" s="68"/>
      <c r="CE205" s="68"/>
      <c r="CF205" s="68"/>
      <c r="CG205" s="68"/>
      <c r="CH205" s="68"/>
      <c r="CI205" s="68"/>
      <c r="CJ205" s="68"/>
      <c r="CK205" s="68"/>
      <c r="CL205" s="68"/>
      <c r="CM205" s="68"/>
      <c r="CN205" s="68"/>
      <c r="CO205" s="68"/>
      <c r="CP205" s="68"/>
      <c r="CQ205" s="68"/>
      <c r="CR205" s="68"/>
      <c r="CS205" s="68"/>
      <c r="CT205" s="68"/>
      <c r="CU205" s="68"/>
      <c r="CV205" s="68"/>
      <c r="CW205" s="68"/>
      <c r="CX205" s="68"/>
      <c r="CY205" s="68"/>
      <c r="CZ205" s="68"/>
      <c r="DA205" s="68"/>
      <c r="DB205" s="68"/>
      <c r="DC205" s="68"/>
      <c r="DD205" s="68"/>
      <c r="DE205" s="68"/>
      <c r="DF205" s="68"/>
      <c r="DG205" s="68"/>
      <c r="DH205" s="68"/>
      <c r="DI205" s="68"/>
      <c r="DJ205" s="68"/>
      <c r="DK205" s="68"/>
      <c r="DL205" s="68"/>
      <c r="DM205" s="68"/>
      <c r="DN205" s="68"/>
      <c r="DO205" s="68"/>
      <c r="DP205" s="68"/>
      <c r="DQ205" s="68"/>
      <c r="DR205" s="68"/>
      <c r="DS205" s="68"/>
      <c r="DT205" s="68"/>
      <c r="DU205" s="68"/>
      <c r="DV205" s="68"/>
      <c r="DW205" s="68"/>
      <c r="DX205" s="68"/>
      <c r="DY205" s="68"/>
      <c r="DZ205" s="68"/>
      <c r="EA205" s="68"/>
      <c r="EB205" s="68"/>
      <c r="EC205" s="68"/>
      <c r="ED205" s="68"/>
      <c r="EE205" s="68"/>
      <c r="EF205" s="68"/>
      <c r="EG205" s="68"/>
      <c r="EH205" s="68"/>
      <c r="EI205" s="68"/>
    </row>
    <row r="206" spans="1:139" s="78" customFormat="1">
      <c r="A206" s="83"/>
      <c r="C206" s="85"/>
      <c r="D206" s="94"/>
      <c r="E206" s="94"/>
      <c r="F206" s="94"/>
      <c r="G206" s="94"/>
      <c r="H206" s="94"/>
      <c r="I206" s="94"/>
      <c r="J206" s="94"/>
      <c r="K206" s="77"/>
      <c r="L206" s="94"/>
      <c r="M206" s="94"/>
      <c r="N206" s="94"/>
      <c r="O206" s="94"/>
      <c r="P206" s="94"/>
      <c r="Q206" s="94"/>
      <c r="R206" s="94"/>
      <c r="S206" s="68"/>
      <c r="T206" s="84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  <c r="AS206" s="68"/>
      <c r="AT206" s="68"/>
      <c r="AU206" s="68"/>
      <c r="AV206" s="68"/>
      <c r="AW206" s="68"/>
      <c r="AX206" s="68"/>
      <c r="AY206" s="68"/>
      <c r="AZ206" s="68"/>
      <c r="BA206" s="68"/>
      <c r="BB206" s="68"/>
      <c r="BC206" s="68"/>
      <c r="BD206" s="68"/>
      <c r="BE206" s="68"/>
      <c r="BF206" s="68"/>
      <c r="BG206" s="68"/>
      <c r="BH206" s="68"/>
      <c r="BI206" s="68"/>
      <c r="BJ206" s="68"/>
      <c r="BK206" s="68"/>
      <c r="BL206" s="68"/>
      <c r="BM206" s="68"/>
      <c r="BN206" s="68"/>
      <c r="BO206" s="68"/>
      <c r="BP206" s="68"/>
      <c r="BQ206" s="68"/>
      <c r="BR206" s="68"/>
      <c r="BS206" s="68"/>
      <c r="BT206" s="68"/>
      <c r="BU206" s="68"/>
      <c r="BV206" s="68"/>
      <c r="BW206" s="68"/>
      <c r="BX206" s="68"/>
      <c r="BY206" s="68"/>
      <c r="BZ206" s="68"/>
      <c r="CA206" s="68"/>
      <c r="CB206" s="68"/>
      <c r="CC206" s="68"/>
      <c r="CD206" s="68"/>
      <c r="CE206" s="68"/>
      <c r="CF206" s="68"/>
      <c r="CG206" s="68"/>
      <c r="CH206" s="68"/>
      <c r="CI206" s="68"/>
      <c r="CJ206" s="68"/>
      <c r="CK206" s="68"/>
      <c r="CL206" s="68"/>
      <c r="CM206" s="68"/>
      <c r="CN206" s="68"/>
      <c r="CO206" s="68"/>
      <c r="CP206" s="68"/>
      <c r="CQ206" s="68"/>
      <c r="CR206" s="68"/>
      <c r="CS206" s="68"/>
      <c r="CT206" s="68"/>
      <c r="CU206" s="68"/>
      <c r="CV206" s="68"/>
      <c r="CW206" s="68"/>
      <c r="CX206" s="68"/>
      <c r="CY206" s="68"/>
      <c r="CZ206" s="68"/>
      <c r="DA206" s="68"/>
      <c r="DB206" s="68"/>
      <c r="DC206" s="68"/>
      <c r="DD206" s="68"/>
      <c r="DE206" s="68"/>
      <c r="DF206" s="68"/>
      <c r="DG206" s="68"/>
      <c r="DH206" s="68"/>
      <c r="DI206" s="68"/>
      <c r="DJ206" s="68"/>
      <c r="DK206" s="68"/>
      <c r="DL206" s="68"/>
      <c r="DM206" s="68"/>
      <c r="DN206" s="68"/>
      <c r="DO206" s="68"/>
      <c r="DP206" s="68"/>
      <c r="DQ206" s="68"/>
      <c r="DR206" s="68"/>
      <c r="DS206" s="68"/>
      <c r="DT206" s="68"/>
      <c r="DU206" s="68"/>
      <c r="DV206" s="68"/>
      <c r="DW206" s="68"/>
      <c r="DX206" s="68"/>
      <c r="DY206" s="68"/>
      <c r="DZ206" s="68"/>
      <c r="EA206" s="68"/>
      <c r="EB206" s="68"/>
      <c r="EC206" s="68"/>
      <c r="ED206" s="68"/>
      <c r="EE206" s="68"/>
      <c r="EF206" s="68"/>
      <c r="EG206" s="68"/>
      <c r="EH206" s="68"/>
      <c r="EI206" s="68"/>
    </row>
    <row r="207" spans="1:139" s="78" customFormat="1">
      <c r="A207" s="83">
        <v>13</v>
      </c>
      <c r="B207" s="114" t="s">
        <v>22</v>
      </c>
      <c r="C207" s="360"/>
      <c r="D207" s="115">
        <f t="shared" ref="D207:J207" si="111">D205+D203+D201+D195+D191+D189</f>
        <v>19273106.563460872</v>
      </c>
      <c r="E207" s="115">
        <f t="shared" si="111"/>
        <v>56905339.492062181</v>
      </c>
      <c r="F207" s="115">
        <f t="shared" si="111"/>
        <v>505557423.04040062</v>
      </c>
      <c r="G207" s="115">
        <f t="shared" si="111"/>
        <v>0</v>
      </c>
      <c r="H207" s="115">
        <f t="shared" ref="H207" si="112">H205+H203+H201+H195+H191+H189</f>
        <v>0</v>
      </c>
      <c r="I207" s="115">
        <f t="shared" si="111"/>
        <v>0</v>
      </c>
      <c r="J207" s="115">
        <f t="shared" si="111"/>
        <v>581735869.09592366</v>
      </c>
      <c r="K207" s="76"/>
      <c r="L207" s="115">
        <f t="shared" ref="L207:R207" si="113">L205+L203+L201+L195+L191+L189</f>
        <v>0</v>
      </c>
      <c r="M207" s="115">
        <f t="shared" si="113"/>
        <v>0</v>
      </c>
      <c r="N207" s="115">
        <f t="shared" si="113"/>
        <v>0</v>
      </c>
      <c r="O207" s="115">
        <f t="shared" si="113"/>
        <v>0</v>
      </c>
      <c r="P207" s="115">
        <f t="shared" si="113"/>
        <v>0</v>
      </c>
      <c r="Q207" s="115">
        <f t="shared" si="113"/>
        <v>0</v>
      </c>
      <c r="R207" s="115">
        <f t="shared" si="113"/>
        <v>0</v>
      </c>
      <c r="S207" s="86"/>
      <c r="T207" s="129">
        <f>R207+J207</f>
        <v>581735869.09592366</v>
      </c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  <c r="AO207" s="68"/>
      <c r="AP207" s="68"/>
      <c r="AQ207" s="68"/>
      <c r="AR207" s="68"/>
      <c r="AS207" s="68"/>
      <c r="AT207" s="68"/>
      <c r="AU207" s="68"/>
      <c r="AV207" s="68"/>
      <c r="AW207" s="68"/>
      <c r="AX207" s="68"/>
      <c r="AY207" s="68"/>
      <c r="AZ207" s="68"/>
      <c r="BA207" s="68"/>
      <c r="BB207" s="68"/>
      <c r="BC207" s="68"/>
      <c r="BD207" s="68"/>
      <c r="BE207" s="68"/>
      <c r="BF207" s="68"/>
      <c r="BG207" s="68"/>
      <c r="BH207" s="68"/>
      <c r="BI207" s="68"/>
      <c r="BJ207" s="68"/>
      <c r="BK207" s="68"/>
      <c r="BL207" s="68"/>
      <c r="BM207" s="68"/>
      <c r="BN207" s="68"/>
      <c r="BO207" s="68"/>
      <c r="BP207" s="68"/>
      <c r="BQ207" s="68"/>
      <c r="BR207" s="68"/>
      <c r="BS207" s="68"/>
      <c r="BT207" s="68"/>
      <c r="BU207" s="68"/>
      <c r="BV207" s="68"/>
      <c r="BW207" s="68"/>
      <c r="BX207" s="68"/>
      <c r="BY207" s="68"/>
      <c r="BZ207" s="68"/>
      <c r="CA207" s="68"/>
      <c r="CB207" s="68"/>
      <c r="CC207" s="68"/>
      <c r="CD207" s="68"/>
      <c r="CE207" s="68"/>
      <c r="CF207" s="68"/>
      <c r="CG207" s="68"/>
      <c r="CH207" s="68"/>
      <c r="CI207" s="68"/>
      <c r="CJ207" s="68"/>
      <c r="CK207" s="68"/>
      <c r="CL207" s="68"/>
      <c r="CM207" s="68"/>
      <c r="CN207" s="68"/>
      <c r="CO207" s="68"/>
      <c r="CP207" s="68"/>
      <c r="CQ207" s="68"/>
      <c r="CR207" s="68"/>
      <c r="CS207" s="68"/>
      <c r="CT207" s="68"/>
      <c r="CU207" s="68"/>
      <c r="CV207" s="68"/>
      <c r="CW207" s="68"/>
      <c r="CX207" s="68"/>
      <c r="CY207" s="68"/>
      <c r="CZ207" s="68"/>
      <c r="DA207" s="68"/>
      <c r="DB207" s="68"/>
      <c r="DC207" s="68"/>
      <c r="DD207" s="68"/>
      <c r="DE207" s="68"/>
      <c r="DF207" s="68"/>
      <c r="DG207" s="68"/>
      <c r="DH207" s="68"/>
      <c r="DI207" s="68"/>
      <c r="DJ207" s="68"/>
      <c r="DK207" s="68"/>
      <c r="DL207" s="68"/>
      <c r="DM207" s="68"/>
      <c r="DN207" s="68"/>
      <c r="DO207" s="68"/>
      <c r="DP207" s="68"/>
      <c r="DQ207" s="68"/>
      <c r="DR207" s="68"/>
      <c r="DS207" s="68"/>
      <c r="DT207" s="68"/>
      <c r="DU207" s="68"/>
      <c r="DV207" s="68"/>
      <c r="DW207" s="68"/>
      <c r="DX207" s="68"/>
      <c r="DY207" s="68"/>
      <c r="DZ207" s="68"/>
      <c r="EA207" s="68"/>
      <c r="EB207" s="68"/>
      <c r="EC207" s="68"/>
      <c r="ED207" s="68"/>
      <c r="EE207" s="68"/>
      <c r="EF207" s="68"/>
      <c r="EG207" s="68"/>
      <c r="EH207" s="68"/>
      <c r="EI207" s="68"/>
    </row>
    <row r="208" spans="1:139" s="78" customFormat="1">
      <c r="A208" s="83"/>
      <c r="B208" s="360"/>
      <c r="C208" s="360"/>
      <c r="D208" s="100"/>
      <c r="E208" s="100"/>
      <c r="F208" s="100"/>
      <c r="G208" s="100"/>
      <c r="H208" s="100"/>
      <c r="I208" s="100"/>
      <c r="J208" s="100"/>
      <c r="K208" s="76"/>
      <c r="L208" s="100"/>
      <c r="M208" s="100"/>
      <c r="N208" s="100"/>
      <c r="O208" s="100"/>
      <c r="P208" s="100"/>
      <c r="Q208" s="100"/>
      <c r="R208" s="100"/>
      <c r="S208" s="86"/>
      <c r="T208" s="84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  <c r="AO208" s="68"/>
      <c r="AP208" s="68"/>
      <c r="AQ208" s="68"/>
      <c r="AR208" s="68"/>
      <c r="AS208" s="68"/>
      <c r="AT208" s="68"/>
      <c r="AU208" s="68"/>
      <c r="AV208" s="68"/>
      <c r="AW208" s="68"/>
      <c r="AX208" s="68"/>
      <c r="AY208" s="68"/>
      <c r="AZ208" s="68"/>
      <c r="BA208" s="68"/>
      <c r="BB208" s="68"/>
      <c r="BC208" s="68"/>
      <c r="BD208" s="68"/>
      <c r="BE208" s="68"/>
      <c r="BF208" s="68"/>
      <c r="BG208" s="68"/>
      <c r="BH208" s="68"/>
      <c r="BI208" s="68"/>
      <c r="BJ208" s="68"/>
      <c r="BK208" s="68"/>
      <c r="BL208" s="68"/>
      <c r="BM208" s="68"/>
      <c r="BN208" s="68"/>
      <c r="BO208" s="68"/>
      <c r="BP208" s="68"/>
      <c r="BQ208" s="68"/>
      <c r="BR208" s="68"/>
      <c r="BS208" s="68"/>
      <c r="BT208" s="68"/>
      <c r="BU208" s="68"/>
      <c r="BV208" s="68"/>
      <c r="BW208" s="68"/>
      <c r="BX208" s="68"/>
      <c r="BY208" s="68"/>
      <c r="BZ208" s="68"/>
      <c r="CA208" s="68"/>
      <c r="CB208" s="68"/>
      <c r="CC208" s="68"/>
      <c r="CD208" s="68"/>
      <c r="CE208" s="68"/>
      <c r="CF208" s="68"/>
      <c r="CG208" s="68"/>
      <c r="CH208" s="68"/>
      <c r="CI208" s="68"/>
      <c r="CJ208" s="68"/>
      <c r="CK208" s="68"/>
      <c r="CL208" s="68"/>
      <c r="CM208" s="68"/>
      <c r="CN208" s="68"/>
      <c r="CO208" s="68"/>
      <c r="CP208" s="68"/>
      <c r="CQ208" s="68"/>
      <c r="CR208" s="68"/>
      <c r="CS208" s="68"/>
      <c r="CT208" s="68"/>
      <c r="CU208" s="68"/>
      <c r="CV208" s="68"/>
      <c r="CW208" s="68"/>
      <c r="CX208" s="68"/>
      <c r="CY208" s="68"/>
      <c r="CZ208" s="68"/>
      <c r="DA208" s="68"/>
      <c r="DB208" s="68"/>
      <c r="DC208" s="68"/>
      <c r="DD208" s="68"/>
      <c r="DE208" s="68"/>
      <c r="DF208" s="68"/>
      <c r="DG208" s="68"/>
      <c r="DH208" s="68"/>
      <c r="DI208" s="68"/>
      <c r="DJ208" s="68"/>
      <c r="DK208" s="68"/>
      <c r="DL208" s="68"/>
      <c r="DM208" s="68"/>
      <c r="DN208" s="68"/>
      <c r="DO208" s="68"/>
      <c r="DP208" s="68"/>
      <c r="DQ208" s="68"/>
      <c r="DR208" s="68"/>
      <c r="DS208" s="68"/>
      <c r="DT208" s="68"/>
      <c r="DU208" s="68"/>
      <c r="DV208" s="68"/>
      <c r="DW208" s="68"/>
      <c r="DX208" s="68"/>
      <c r="DY208" s="68"/>
      <c r="DZ208" s="68"/>
      <c r="EA208" s="68"/>
      <c r="EB208" s="68"/>
      <c r="EC208" s="68"/>
      <c r="ED208" s="68"/>
      <c r="EE208" s="68"/>
      <c r="EF208" s="68"/>
      <c r="EG208" s="68"/>
      <c r="EH208" s="68"/>
      <c r="EI208" s="68"/>
    </row>
    <row r="209" spans="1:139" s="78" customFormat="1">
      <c r="A209" s="83">
        <v>14</v>
      </c>
      <c r="B209" s="89" t="s">
        <v>69</v>
      </c>
      <c r="C209" s="74" t="s">
        <v>5</v>
      </c>
      <c r="D209" s="71">
        <f t="shared" ref="D209:G210" si="114">D175+D140+D106+D71+D35</f>
        <v>0</v>
      </c>
      <c r="E209" s="71">
        <f t="shared" si="114"/>
        <v>0</v>
      </c>
      <c r="F209" s="71">
        <f t="shared" si="114"/>
        <v>0</v>
      </c>
      <c r="G209" s="71">
        <f t="shared" si="114"/>
        <v>0</v>
      </c>
      <c r="H209" s="71">
        <f t="shared" ref="H209" si="115">H175+H140+H106+H71+H35</f>
        <v>0</v>
      </c>
      <c r="I209" s="71">
        <f>I175+I140+I106+I71+I35</f>
        <v>0</v>
      </c>
      <c r="J209" s="71">
        <f>SUM(D209:I209)</f>
        <v>0</v>
      </c>
      <c r="K209" s="84"/>
      <c r="L209" s="71">
        <f>L175+L140+L106+L71+L35</f>
        <v>0</v>
      </c>
      <c r="M209" s="71">
        <f>M175+M140+M106+M71+M35</f>
        <v>0</v>
      </c>
      <c r="N209" s="71"/>
      <c r="O209" s="71">
        <f t="shared" ref="O209:Q210" si="116">O175+O140+O106+O71+O35</f>
        <v>0</v>
      </c>
      <c r="P209" s="71">
        <f t="shared" si="116"/>
        <v>0</v>
      </c>
      <c r="Q209" s="71">
        <f t="shared" si="116"/>
        <v>0</v>
      </c>
      <c r="R209" s="71">
        <f>R140+R106+R71+R35</f>
        <v>0</v>
      </c>
      <c r="S209" s="84"/>
      <c r="T209" s="84">
        <f>R209+J209</f>
        <v>0</v>
      </c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  <c r="AO209" s="68"/>
      <c r="AP209" s="68"/>
      <c r="AQ209" s="68"/>
      <c r="AR209" s="68"/>
      <c r="AS209" s="68"/>
      <c r="AT209" s="68"/>
      <c r="AU209" s="68"/>
      <c r="AV209" s="68"/>
      <c r="AW209" s="68"/>
      <c r="AX209" s="68"/>
      <c r="AY209" s="68"/>
      <c r="AZ209" s="68"/>
      <c r="BA209" s="68"/>
      <c r="BB209" s="68"/>
      <c r="BC209" s="68"/>
      <c r="BD209" s="68"/>
      <c r="BE209" s="68"/>
      <c r="BF209" s="68"/>
      <c r="BG209" s="68"/>
      <c r="BH209" s="68"/>
      <c r="BI209" s="68"/>
      <c r="BJ209" s="68"/>
      <c r="BK209" s="68"/>
      <c r="BL209" s="68"/>
      <c r="BM209" s="68"/>
      <c r="BN209" s="68"/>
      <c r="BO209" s="68"/>
      <c r="BP209" s="68"/>
      <c r="BQ209" s="68"/>
      <c r="BR209" s="68"/>
      <c r="BS209" s="68"/>
      <c r="BT209" s="68"/>
      <c r="BU209" s="68"/>
      <c r="BV209" s="68"/>
      <c r="BW209" s="68"/>
      <c r="BX209" s="68"/>
      <c r="BY209" s="68"/>
      <c r="BZ209" s="68"/>
      <c r="CA209" s="68"/>
      <c r="CB209" s="68"/>
      <c r="CC209" s="68"/>
      <c r="CD209" s="68"/>
      <c r="CE209" s="68"/>
      <c r="CF209" s="68"/>
      <c r="CG209" s="68"/>
      <c r="CH209" s="68"/>
      <c r="CI209" s="68"/>
      <c r="CJ209" s="68"/>
      <c r="CK209" s="68"/>
      <c r="CL209" s="68"/>
      <c r="CM209" s="68"/>
      <c r="CN209" s="68"/>
      <c r="CO209" s="68"/>
      <c r="CP209" s="68"/>
      <c r="CQ209" s="68"/>
      <c r="CR209" s="68"/>
      <c r="CS209" s="68"/>
      <c r="CT209" s="68"/>
      <c r="CU209" s="68"/>
      <c r="CV209" s="68"/>
      <c r="CW209" s="68"/>
      <c r="CX209" s="68"/>
      <c r="CY209" s="68"/>
      <c r="CZ209" s="68"/>
      <c r="DA209" s="68"/>
      <c r="DB209" s="68"/>
      <c r="DC209" s="68"/>
      <c r="DD209" s="68"/>
      <c r="DE209" s="68"/>
      <c r="DF209" s="68"/>
      <c r="DG209" s="68"/>
      <c r="DH209" s="68"/>
      <c r="DI209" s="68"/>
      <c r="DJ209" s="68"/>
      <c r="DK209" s="68"/>
      <c r="DL209" s="68"/>
      <c r="DM209" s="68"/>
      <c r="DN209" s="68"/>
      <c r="DO209" s="68"/>
      <c r="DP209" s="68"/>
      <c r="DQ209" s="68"/>
      <c r="DR209" s="68"/>
      <c r="DS209" s="68"/>
      <c r="DT209" s="68"/>
      <c r="DU209" s="68"/>
      <c r="DV209" s="68"/>
      <c r="DW209" s="68"/>
      <c r="DX209" s="68"/>
      <c r="DY209" s="68"/>
      <c r="DZ209" s="68"/>
      <c r="EA209" s="68"/>
      <c r="EB209" s="68"/>
      <c r="EC209" s="68"/>
      <c r="ED209" s="68"/>
      <c r="EE209" s="68"/>
      <c r="EF209" s="68"/>
      <c r="EG209" s="68"/>
      <c r="EH209" s="68"/>
      <c r="EI209" s="68"/>
    </row>
    <row r="210" spans="1:139" s="78" customFormat="1">
      <c r="A210" s="83">
        <v>15</v>
      </c>
      <c r="B210" s="89" t="s">
        <v>70</v>
      </c>
      <c r="C210" s="74" t="s">
        <v>6</v>
      </c>
      <c r="D210" s="72">
        <f t="shared" si="114"/>
        <v>0</v>
      </c>
      <c r="E210" s="72">
        <f t="shared" si="114"/>
        <v>0</v>
      </c>
      <c r="F210" s="72">
        <f t="shared" si="114"/>
        <v>0</v>
      </c>
      <c r="G210" s="72">
        <f t="shared" si="114"/>
        <v>0</v>
      </c>
      <c r="H210" s="72">
        <f t="shared" ref="H210" si="117">H176+H141+H107+H72+H36</f>
        <v>0</v>
      </c>
      <c r="I210" s="72">
        <f>I176+I141+I107+I72+I36</f>
        <v>0</v>
      </c>
      <c r="J210" s="72">
        <f>SUM(D210:I210)</f>
        <v>0</v>
      </c>
      <c r="K210" s="84"/>
      <c r="L210" s="72">
        <f>L176+L141+L107+L72+L36</f>
        <v>0</v>
      </c>
      <c r="M210" s="72">
        <f>M176+M141+M107+M72+M36</f>
        <v>0</v>
      </c>
      <c r="N210" s="72"/>
      <c r="O210" s="72">
        <f t="shared" si="116"/>
        <v>0</v>
      </c>
      <c r="P210" s="72">
        <f t="shared" si="116"/>
        <v>0</v>
      </c>
      <c r="Q210" s="72">
        <f t="shared" si="116"/>
        <v>0</v>
      </c>
      <c r="R210" s="72">
        <f>R141+R107+R72+R36</f>
        <v>0</v>
      </c>
      <c r="S210" s="68"/>
      <c r="T210" s="72">
        <f>R210+J210</f>
        <v>0</v>
      </c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  <c r="AO210" s="68"/>
      <c r="AP210" s="68"/>
      <c r="AQ210" s="68"/>
      <c r="AR210" s="68"/>
      <c r="AS210" s="68"/>
      <c r="AT210" s="68"/>
      <c r="AU210" s="68"/>
      <c r="AV210" s="68"/>
      <c r="AW210" s="68"/>
      <c r="AX210" s="68"/>
      <c r="AY210" s="68"/>
      <c r="AZ210" s="68"/>
      <c r="BA210" s="68"/>
      <c r="BB210" s="68"/>
      <c r="BC210" s="68"/>
      <c r="BD210" s="68"/>
      <c r="BE210" s="68"/>
      <c r="BF210" s="68"/>
      <c r="BG210" s="68"/>
      <c r="BH210" s="68"/>
      <c r="BI210" s="68"/>
      <c r="BJ210" s="68"/>
      <c r="BK210" s="68"/>
      <c r="BL210" s="68"/>
      <c r="BM210" s="68"/>
      <c r="BN210" s="68"/>
      <c r="BO210" s="68"/>
      <c r="BP210" s="68"/>
      <c r="BQ210" s="68"/>
      <c r="BR210" s="68"/>
      <c r="BS210" s="68"/>
      <c r="BT210" s="68"/>
      <c r="BU210" s="68"/>
      <c r="BV210" s="68"/>
      <c r="BW210" s="68"/>
      <c r="BX210" s="68"/>
      <c r="BY210" s="68"/>
      <c r="BZ210" s="68"/>
      <c r="CA210" s="68"/>
      <c r="CB210" s="68"/>
      <c r="CC210" s="68"/>
      <c r="CD210" s="68"/>
      <c r="CE210" s="68"/>
      <c r="CF210" s="68"/>
      <c r="CG210" s="68"/>
      <c r="CH210" s="68"/>
      <c r="CI210" s="68"/>
      <c r="CJ210" s="68"/>
      <c r="CK210" s="68"/>
      <c r="CL210" s="68"/>
      <c r="CM210" s="68"/>
      <c r="CN210" s="68"/>
      <c r="CO210" s="68"/>
      <c r="CP210" s="68"/>
      <c r="CQ210" s="68"/>
      <c r="CR210" s="68"/>
      <c r="CS210" s="68"/>
      <c r="CT210" s="68"/>
      <c r="CU210" s="68"/>
      <c r="CV210" s="68"/>
      <c r="CW210" s="68"/>
      <c r="CX210" s="68"/>
      <c r="CY210" s="68"/>
      <c r="CZ210" s="68"/>
      <c r="DA210" s="68"/>
      <c r="DB210" s="68"/>
      <c r="DC210" s="68"/>
      <c r="DD210" s="68"/>
      <c r="DE210" s="68"/>
      <c r="DF210" s="68"/>
      <c r="DG210" s="68"/>
      <c r="DH210" s="68"/>
      <c r="DI210" s="68"/>
      <c r="DJ210" s="68"/>
      <c r="DK210" s="68"/>
      <c r="DL210" s="68"/>
      <c r="DM210" s="68"/>
      <c r="DN210" s="68"/>
      <c r="DO210" s="68"/>
      <c r="DP210" s="68"/>
      <c r="DQ210" s="68"/>
      <c r="DR210" s="68"/>
      <c r="DS210" s="68"/>
      <c r="DT210" s="68"/>
      <c r="DU210" s="68"/>
      <c r="DV210" s="68"/>
      <c r="DW210" s="68"/>
      <c r="DX210" s="68"/>
      <c r="DY210" s="68"/>
      <c r="DZ210" s="68"/>
      <c r="EA210" s="68"/>
      <c r="EB210" s="68"/>
      <c r="EC210" s="68"/>
      <c r="ED210" s="68"/>
      <c r="EE210" s="68"/>
      <c r="EF210" s="68"/>
      <c r="EG210" s="68"/>
      <c r="EH210" s="68"/>
      <c r="EI210" s="68"/>
    </row>
    <row r="211" spans="1:139" s="78" customFormat="1">
      <c r="A211" s="83">
        <v>16</v>
      </c>
      <c r="B211" s="114" t="s">
        <v>23</v>
      </c>
      <c r="C211" s="358"/>
      <c r="D211" s="100">
        <f t="shared" ref="D211:J211" si="118">SUM(D209:D210)</f>
        <v>0</v>
      </c>
      <c r="E211" s="100">
        <f t="shared" si="118"/>
        <v>0</v>
      </c>
      <c r="F211" s="100">
        <f t="shared" si="118"/>
        <v>0</v>
      </c>
      <c r="G211" s="100">
        <f t="shared" si="118"/>
        <v>0</v>
      </c>
      <c r="H211" s="100">
        <f t="shared" ref="H211" si="119">SUM(H209:H210)</f>
        <v>0</v>
      </c>
      <c r="I211" s="100">
        <f t="shared" si="118"/>
        <v>0</v>
      </c>
      <c r="J211" s="100">
        <f t="shared" si="118"/>
        <v>0</v>
      </c>
      <c r="K211" s="76"/>
      <c r="L211" s="100">
        <f t="shared" ref="L211:R211" si="120">SUM(L209:L210)</f>
        <v>0</v>
      </c>
      <c r="M211" s="100">
        <f t="shared" si="120"/>
        <v>0</v>
      </c>
      <c r="N211" s="100"/>
      <c r="O211" s="100">
        <f t="shared" si="120"/>
        <v>0</v>
      </c>
      <c r="P211" s="100">
        <f t="shared" si="120"/>
        <v>0</v>
      </c>
      <c r="Q211" s="100">
        <f t="shared" si="120"/>
        <v>0</v>
      </c>
      <c r="R211" s="100">
        <f t="shared" si="120"/>
        <v>0</v>
      </c>
      <c r="S211" s="86"/>
      <c r="T211" s="84">
        <f>R211+J211</f>
        <v>0</v>
      </c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  <c r="AO211" s="68"/>
      <c r="AP211" s="68"/>
      <c r="AQ211" s="68"/>
      <c r="AR211" s="68"/>
      <c r="AS211" s="68"/>
      <c r="AT211" s="68"/>
      <c r="AU211" s="68"/>
      <c r="AV211" s="68"/>
      <c r="AW211" s="68"/>
      <c r="AX211" s="68"/>
      <c r="AY211" s="68"/>
      <c r="AZ211" s="68"/>
      <c r="BA211" s="68"/>
      <c r="BB211" s="68"/>
      <c r="BC211" s="68"/>
      <c r="BD211" s="68"/>
      <c r="BE211" s="68"/>
      <c r="BF211" s="68"/>
      <c r="BG211" s="68"/>
      <c r="BH211" s="68"/>
      <c r="BI211" s="68"/>
      <c r="BJ211" s="68"/>
      <c r="BK211" s="68"/>
      <c r="BL211" s="68"/>
      <c r="BM211" s="68"/>
      <c r="BN211" s="68"/>
      <c r="BO211" s="68"/>
      <c r="BP211" s="68"/>
      <c r="BQ211" s="68"/>
      <c r="BR211" s="68"/>
      <c r="BS211" s="68"/>
      <c r="BT211" s="68"/>
      <c r="BU211" s="68"/>
      <c r="BV211" s="68"/>
      <c r="BW211" s="68"/>
      <c r="BX211" s="68"/>
      <c r="BY211" s="68"/>
      <c r="BZ211" s="68"/>
      <c r="CA211" s="68"/>
      <c r="CB211" s="68"/>
      <c r="CC211" s="68"/>
      <c r="CD211" s="68"/>
      <c r="CE211" s="68"/>
      <c r="CF211" s="68"/>
      <c r="CG211" s="68"/>
      <c r="CH211" s="68"/>
      <c r="CI211" s="68"/>
      <c r="CJ211" s="68"/>
      <c r="CK211" s="68"/>
      <c r="CL211" s="68"/>
      <c r="CM211" s="68"/>
      <c r="CN211" s="68"/>
      <c r="CO211" s="68"/>
      <c r="CP211" s="68"/>
      <c r="CQ211" s="68"/>
      <c r="CR211" s="68"/>
      <c r="CS211" s="68"/>
      <c r="CT211" s="68"/>
      <c r="CU211" s="68"/>
      <c r="CV211" s="68"/>
      <c r="CW211" s="68"/>
      <c r="CX211" s="68"/>
      <c r="CY211" s="68"/>
      <c r="CZ211" s="68"/>
      <c r="DA211" s="68"/>
      <c r="DB211" s="68"/>
      <c r="DC211" s="68"/>
      <c r="DD211" s="68"/>
      <c r="DE211" s="68"/>
      <c r="DF211" s="68"/>
      <c r="DG211" s="68"/>
      <c r="DH211" s="68"/>
      <c r="DI211" s="68"/>
      <c r="DJ211" s="68"/>
      <c r="DK211" s="68"/>
      <c r="DL211" s="68"/>
      <c r="DM211" s="68"/>
      <c r="DN211" s="68"/>
      <c r="DO211" s="68"/>
      <c r="DP211" s="68"/>
      <c r="DQ211" s="68"/>
      <c r="DR211" s="68"/>
      <c r="DS211" s="68"/>
      <c r="DT211" s="68"/>
      <c r="DU211" s="68"/>
      <c r="DV211" s="68"/>
      <c r="DW211" s="68"/>
      <c r="DX211" s="68"/>
      <c r="DY211" s="68"/>
      <c r="DZ211" s="68"/>
      <c r="EA211" s="68"/>
      <c r="EB211" s="68"/>
      <c r="EC211" s="68"/>
      <c r="ED211" s="68"/>
      <c r="EE211" s="68"/>
      <c r="EF211" s="68"/>
      <c r="EG211" s="68"/>
      <c r="EH211" s="68"/>
      <c r="EI211" s="68"/>
    </row>
    <row r="212" spans="1:139" s="78" customFormat="1">
      <c r="A212" s="83"/>
      <c r="C212" s="116"/>
      <c r="D212" s="94"/>
      <c r="E212" s="94"/>
      <c r="F212" s="94"/>
      <c r="G212" s="94"/>
      <c r="H212" s="94"/>
      <c r="I212" s="94"/>
      <c r="J212" s="94"/>
      <c r="K212" s="77"/>
      <c r="L212" s="68"/>
      <c r="M212" s="68"/>
      <c r="N212" s="68"/>
      <c r="O212" s="68"/>
      <c r="P212" s="68"/>
      <c r="Q212" s="68"/>
      <c r="R212" s="68"/>
      <c r="S212" s="68"/>
      <c r="T212" s="84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  <c r="AO212" s="68"/>
      <c r="AP212" s="68"/>
      <c r="AQ212" s="68"/>
      <c r="AR212" s="68"/>
      <c r="AS212" s="68"/>
      <c r="AT212" s="68"/>
      <c r="AU212" s="68"/>
      <c r="AV212" s="68"/>
      <c r="AW212" s="68"/>
      <c r="AX212" s="68"/>
      <c r="AY212" s="68"/>
      <c r="AZ212" s="68"/>
      <c r="BA212" s="68"/>
      <c r="BB212" s="68"/>
      <c r="BC212" s="68"/>
      <c r="BD212" s="68"/>
      <c r="BE212" s="68"/>
      <c r="BF212" s="68"/>
      <c r="BG212" s="68"/>
      <c r="BH212" s="68"/>
      <c r="BI212" s="68"/>
      <c r="BJ212" s="68"/>
      <c r="BK212" s="68"/>
      <c r="BL212" s="68"/>
      <c r="BM212" s="68"/>
      <c r="BN212" s="68"/>
      <c r="BO212" s="68"/>
      <c r="BP212" s="68"/>
      <c r="BQ212" s="68"/>
      <c r="BR212" s="68"/>
      <c r="BS212" s="68"/>
      <c r="BT212" s="68"/>
      <c r="BU212" s="68"/>
      <c r="BV212" s="68"/>
      <c r="BW212" s="68"/>
      <c r="BX212" s="68"/>
      <c r="BY212" s="68"/>
      <c r="BZ212" s="68"/>
      <c r="CA212" s="68"/>
      <c r="CB212" s="68"/>
      <c r="CC212" s="68"/>
      <c r="CD212" s="68"/>
      <c r="CE212" s="68"/>
      <c r="CF212" s="68"/>
      <c r="CG212" s="68"/>
      <c r="CH212" s="68"/>
      <c r="CI212" s="68"/>
      <c r="CJ212" s="68"/>
      <c r="CK212" s="68"/>
      <c r="CL212" s="68"/>
      <c r="CM212" s="68"/>
      <c r="CN212" s="68"/>
      <c r="CO212" s="68"/>
      <c r="CP212" s="68"/>
      <c r="CQ212" s="68"/>
      <c r="CR212" s="68"/>
      <c r="CS212" s="68"/>
      <c r="CT212" s="68"/>
      <c r="CU212" s="68"/>
      <c r="CV212" s="68"/>
      <c r="CW212" s="68"/>
      <c r="CX212" s="68"/>
      <c r="CY212" s="68"/>
      <c r="CZ212" s="68"/>
      <c r="DA212" s="68"/>
      <c r="DB212" s="68"/>
      <c r="DC212" s="68"/>
      <c r="DD212" s="68"/>
      <c r="DE212" s="68"/>
      <c r="DF212" s="68"/>
      <c r="DG212" s="68"/>
      <c r="DH212" s="68"/>
      <c r="DI212" s="68"/>
      <c r="DJ212" s="68"/>
      <c r="DK212" s="68"/>
      <c r="DL212" s="68"/>
      <c r="DM212" s="68"/>
      <c r="DN212" s="68"/>
      <c r="DO212" s="68"/>
      <c r="DP212" s="68"/>
      <c r="DQ212" s="68"/>
      <c r="DR212" s="68"/>
      <c r="DS212" s="68"/>
      <c r="DT212" s="68"/>
      <c r="DU212" s="68"/>
      <c r="DV212" s="68"/>
      <c r="DW212" s="68"/>
      <c r="DX212" s="68"/>
      <c r="DY212" s="68"/>
      <c r="DZ212" s="68"/>
      <c r="EA212" s="68"/>
      <c r="EB212" s="68"/>
      <c r="EC212" s="68"/>
      <c r="ED212" s="68"/>
      <c r="EE212" s="68"/>
      <c r="EF212" s="68"/>
      <c r="EG212" s="68"/>
      <c r="EH212" s="68"/>
      <c r="EI212" s="68"/>
    </row>
    <row r="213" spans="1:139" s="78" customFormat="1" ht="13.5" customHeight="1" thickBot="1">
      <c r="A213" s="83">
        <v>17</v>
      </c>
      <c r="B213" s="147" t="s">
        <v>92</v>
      </c>
      <c r="C213" s="358"/>
      <c r="D213" s="117">
        <f t="shared" ref="D213:J213" si="121">+D211+D207</f>
        <v>19273106.563460872</v>
      </c>
      <c r="E213" s="117">
        <f t="shared" si="121"/>
        <v>56905339.492062181</v>
      </c>
      <c r="F213" s="117">
        <f t="shared" si="121"/>
        <v>505557423.04040062</v>
      </c>
      <c r="G213" s="117">
        <f t="shared" si="121"/>
        <v>0</v>
      </c>
      <c r="H213" s="117">
        <f t="shared" ref="H213" si="122">+H211+H207</f>
        <v>0</v>
      </c>
      <c r="I213" s="117">
        <f t="shared" si="121"/>
        <v>0</v>
      </c>
      <c r="J213" s="117">
        <f t="shared" si="121"/>
        <v>581735869.09592366</v>
      </c>
      <c r="K213" s="113"/>
      <c r="L213" s="117">
        <f t="shared" ref="L213:R213" si="123">+L211+L207</f>
        <v>0</v>
      </c>
      <c r="M213" s="117">
        <f t="shared" si="123"/>
        <v>0</v>
      </c>
      <c r="N213" s="117">
        <f t="shared" si="123"/>
        <v>0</v>
      </c>
      <c r="O213" s="117">
        <f t="shared" si="123"/>
        <v>0</v>
      </c>
      <c r="P213" s="117">
        <f t="shared" si="123"/>
        <v>0</v>
      </c>
      <c r="Q213" s="117">
        <f t="shared" si="123"/>
        <v>0</v>
      </c>
      <c r="R213" s="117">
        <f t="shared" si="123"/>
        <v>0</v>
      </c>
      <c r="S213" s="128"/>
      <c r="T213" s="130">
        <f>R213+J213</f>
        <v>581735869.09592366</v>
      </c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  <c r="AO213" s="68"/>
      <c r="AP213" s="68"/>
      <c r="AQ213" s="68"/>
      <c r="AR213" s="68"/>
      <c r="AS213" s="68"/>
      <c r="AT213" s="68"/>
      <c r="AU213" s="68"/>
      <c r="AV213" s="68"/>
      <c r="AW213" s="68"/>
      <c r="AX213" s="68"/>
      <c r="AY213" s="68"/>
      <c r="AZ213" s="68"/>
      <c r="BA213" s="68"/>
      <c r="BB213" s="68"/>
      <c r="BC213" s="68"/>
      <c r="BD213" s="68"/>
      <c r="BE213" s="68"/>
      <c r="BF213" s="68"/>
      <c r="BG213" s="68"/>
      <c r="BH213" s="68"/>
      <c r="BI213" s="68"/>
      <c r="BJ213" s="68"/>
      <c r="BK213" s="68"/>
      <c r="BL213" s="68"/>
      <c r="BM213" s="68"/>
      <c r="BN213" s="68"/>
      <c r="BO213" s="68"/>
      <c r="BP213" s="68"/>
      <c r="BQ213" s="68"/>
      <c r="BR213" s="68"/>
      <c r="BS213" s="68"/>
      <c r="BT213" s="68"/>
      <c r="BU213" s="68"/>
      <c r="BV213" s="68"/>
      <c r="BW213" s="68"/>
      <c r="BX213" s="68"/>
      <c r="BY213" s="68"/>
      <c r="BZ213" s="68"/>
      <c r="CA213" s="68"/>
      <c r="CB213" s="68"/>
      <c r="CC213" s="68"/>
      <c r="CD213" s="68"/>
      <c r="CE213" s="68"/>
      <c r="CF213" s="68"/>
      <c r="CG213" s="68"/>
      <c r="CH213" s="68"/>
      <c r="CI213" s="68"/>
      <c r="CJ213" s="68"/>
      <c r="CK213" s="68"/>
      <c r="CL213" s="68"/>
      <c r="CM213" s="68"/>
      <c r="CN213" s="68"/>
      <c r="CO213" s="68"/>
      <c r="CP213" s="68"/>
      <c r="CQ213" s="68"/>
      <c r="CR213" s="68"/>
      <c r="CS213" s="68"/>
      <c r="CT213" s="68"/>
      <c r="CU213" s="68"/>
      <c r="CV213" s="68"/>
      <c r="CW213" s="68"/>
      <c r="CX213" s="68"/>
      <c r="CY213" s="68"/>
      <c r="CZ213" s="68"/>
      <c r="DA213" s="68"/>
      <c r="DB213" s="68"/>
      <c r="DC213" s="68"/>
      <c r="DD213" s="68"/>
      <c r="DE213" s="68"/>
      <c r="DF213" s="68"/>
      <c r="DG213" s="68"/>
      <c r="DH213" s="68"/>
      <c r="DI213" s="68"/>
      <c r="DJ213" s="68"/>
      <c r="DK213" s="68"/>
      <c r="DL213" s="68"/>
      <c r="DM213" s="68"/>
      <c r="DN213" s="68"/>
      <c r="DO213" s="68"/>
      <c r="DP213" s="68"/>
      <c r="DQ213" s="68"/>
      <c r="DR213" s="68"/>
      <c r="DS213" s="68"/>
      <c r="DT213" s="68"/>
      <c r="DU213" s="68"/>
      <c r="DV213" s="68"/>
      <c r="DW213" s="68"/>
      <c r="DX213" s="68"/>
      <c r="DY213" s="68"/>
      <c r="DZ213" s="68"/>
      <c r="EA213" s="68"/>
      <c r="EB213" s="68"/>
      <c r="EC213" s="68"/>
      <c r="ED213" s="68"/>
      <c r="EE213" s="68"/>
      <c r="EF213" s="68"/>
      <c r="EG213" s="68"/>
      <c r="EH213" s="68"/>
      <c r="EI213" s="68"/>
    </row>
    <row r="214" spans="1:139" s="75" customFormat="1" ht="13.5" thickTop="1">
      <c r="K214" s="122"/>
      <c r="S214" s="122"/>
    </row>
    <row r="215" spans="1:139" s="75" customFormat="1" ht="15" customHeight="1">
      <c r="D215" s="350"/>
      <c r="E215" s="350"/>
      <c r="F215" s="350"/>
      <c r="J215" s="118"/>
      <c r="K215" s="122"/>
      <c r="S215" s="122"/>
    </row>
    <row r="216" spans="1:139" s="75" customFormat="1" ht="12.75">
      <c r="D216" s="118"/>
      <c r="E216" s="118"/>
      <c r="F216" s="118"/>
      <c r="G216" s="351"/>
      <c r="K216" s="122"/>
      <c r="S216" s="122"/>
    </row>
    <row r="217" spans="1:139" s="75" customFormat="1" ht="12.75">
      <c r="K217" s="122"/>
      <c r="S217" s="122"/>
    </row>
    <row r="218" spans="1:139" s="75" customFormat="1" ht="12.75">
      <c r="K218" s="122"/>
      <c r="S218" s="122"/>
    </row>
    <row r="219" spans="1:139" s="75" customFormat="1" ht="12.75">
      <c r="K219" s="122"/>
      <c r="S219" s="122"/>
    </row>
    <row r="220" spans="1:139" s="75" customFormat="1" ht="12.75">
      <c r="K220" s="122"/>
      <c r="S220" s="122"/>
    </row>
    <row r="221" spans="1:139" s="75" customFormat="1" ht="12.75">
      <c r="K221" s="122"/>
      <c r="S221" s="122"/>
    </row>
    <row r="222" spans="1:139" s="75" customFormat="1" ht="12.75">
      <c r="K222" s="122"/>
      <c r="S222" s="122"/>
    </row>
    <row r="223" spans="1:139" s="75" customFormat="1" ht="12.75">
      <c r="K223" s="122"/>
      <c r="S223" s="122"/>
    </row>
    <row r="224" spans="1:139" s="75" customFormat="1" ht="12.75">
      <c r="K224" s="122"/>
      <c r="S224" s="122"/>
    </row>
    <row r="225" spans="11:19" s="75" customFormat="1" ht="12.75">
      <c r="K225" s="122"/>
      <c r="S225" s="122"/>
    </row>
    <row r="226" spans="11:19" s="75" customFormat="1" ht="12.75">
      <c r="K226" s="122"/>
      <c r="S226" s="122"/>
    </row>
    <row r="227" spans="11:19" s="75" customFormat="1" ht="12.75">
      <c r="K227" s="122"/>
      <c r="S227" s="122"/>
    </row>
    <row r="228" spans="11:19" s="75" customFormat="1" ht="12.75">
      <c r="K228" s="122"/>
      <c r="S228" s="122"/>
    </row>
    <row r="229" spans="11:19" s="75" customFormat="1" ht="12.75">
      <c r="K229" s="122"/>
      <c r="S229" s="122"/>
    </row>
    <row r="230" spans="11:19" s="75" customFormat="1" ht="12.75">
      <c r="K230" s="122"/>
      <c r="S230" s="122"/>
    </row>
    <row r="231" spans="11:19" s="75" customFormat="1" ht="12.75">
      <c r="K231" s="122"/>
      <c r="S231" s="122"/>
    </row>
    <row r="232" spans="11:19" s="75" customFormat="1" ht="12.75">
      <c r="K232" s="122"/>
      <c r="S232" s="122"/>
    </row>
    <row r="233" spans="11:19" s="75" customFormat="1" ht="12.75">
      <c r="K233" s="122"/>
      <c r="S233" s="122"/>
    </row>
    <row r="234" spans="11:19" s="75" customFormat="1" ht="12.75">
      <c r="K234" s="122"/>
      <c r="S234" s="122"/>
    </row>
    <row r="235" spans="11:19" s="75" customFormat="1" ht="12.75">
      <c r="K235" s="122"/>
      <c r="S235" s="122"/>
    </row>
    <row r="236" spans="11:19" s="75" customFormat="1" ht="12.75">
      <c r="K236" s="122"/>
      <c r="S236" s="122"/>
    </row>
    <row r="237" spans="11:19" s="75" customFormat="1" ht="12.75">
      <c r="K237" s="122"/>
      <c r="S237" s="122"/>
    </row>
    <row r="238" spans="11:19" s="75" customFormat="1" ht="12.75">
      <c r="K238" s="122"/>
      <c r="S238" s="122"/>
    </row>
    <row r="239" spans="11:19" s="75" customFormat="1" ht="12.75">
      <c r="K239" s="122"/>
      <c r="S239" s="122"/>
    </row>
    <row r="240" spans="11:19" s="75" customFormat="1" ht="12.75">
      <c r="K240" s="122"/>
      <c r="S240" s="122"/>
    </row>
    <row r="241" spans="11:19" s="75" customFormat="1" ht="12.75">
      <c r="K241" s="122"/>
      <c r="S241" s="122"/>
    </row>
    <row r="242" spans="11:19" s="75" customFormat="1" ht="12.75">
      <c r="K242" s="122"/>
      <c r="S242" s="122"/>
    </row>
    <row r="243" spans="11:19" s="75" customFormat="1" ht="12.75">
      <c r="K243" s="122"/>
      <c r="S243" s="122"/>
    </row>
    <row r="244" spans="11:19" s="75" customFormat="1" ht="12.75">
      <c r="K244" s="122"/>
      <c r="S244" s="122"/>
    </row>
    <row r="245" spans="11:19" s="75" customFormat="1" ht="12.75">
      <c r="K245" s="122"/>
      <c r="S245" s="122"/>
    </row>
    <row r="246" spans="11:19" s="75" customFormat="1" ht="12.75">
      <c r="K246" s="122"/>
      <c r="S246" s="122"/>
    </row>
    <row r="247" spans="11:19" s="75" customFormat="1" ht="12.75">
      <c r="K247" s="122"/>
      <c r="S247" s="122"/>
    </row>
    <row r="248" spans="11:19" s="75" customFormat="1" ht="12.75">
      <c r="K248" s="122"/>
      <c r="S248" s="122"/>
    </row>
    <row r="249" spans="11:19" s="75" customFormat="1" ht="12.75">
      <c r="K249" s="122"/>
      <c r="S249" s="122"/>
    </row>
    <row r="250" spans="11:19" s="75" customFormat="1" ht="13.5" customHeight="1">
      <c r="K250" s="122"/>
      <c r="S250" s="122"/>
    </row>
    <row r="251" spans="11:19" s="75" customFormat="1" ht="12.75">
      <c r="K251" s="122"/>
      <c r="S251" s="122"/>
    </row>
    <row r="252" spans="11:19" s="75" customFormat="1" ht="12.75">
      <c r="K252" s="122"/>
      <c r="S252" s="122"/>
    </row>
    <row r="253" spans="11:19" s="75" customFormat="1" ht="12.75">
      <c r="K253" s="122"/>
      <c r="S253" s="122"/>
    </row>
    <row r="254" spans="11:19" s="75" customFormat="1" ht="12.75">
      <c r="K254" s="122"/>
      <c r="S254" s="122"/>
    </row>
    <row r="255" spans="11:19" s="75" customFormat="1" ht="12.75">
      <c r="K255" s="122"/>
      <c r="S255" s="122"/>
    </row>
    <row r="256" spans="11:19" s="75" customFormat="1" ht="12.75">
      <c r="K256" s="122"/>
      <c r="S256" s="122"/>
    </row>
    <row r="257" spans="11:19" s="75" customFormat="1" ht="12.75">
      <c r="K257" s="122"/>
      <c r="S257" s="122"/>
    </row>
    <row r="258" spans="11:19" s="75" customFormat="1" ht="12.75">
      <c r="K258" s="122"/>
      <c r="S258" s="122"/>
    </row>
    <row r="259" spans="11:19" s="75" customFormat="1" ht="12.75">
      <c r="K259" s="122"/>
      <c r="S259" s="122"/>
    </row>
    <row r="260" spans="11:19" s="75" customFormat="1" ht="12.75">
      <c r="K260" s="122"/>
      <c r="S260" s="122"/>
    </row>
    <row r="261" spans="11:19" s="75" customFormat="1" ht="12.75">
      <c r="K261" s="122"/>
      <c r="S261" s="122"/>
    </row>
    <row r="262" spans="11:19" s="75" customFormat="1" ht="12.75">
      <c r="K262" s="122"/>
      <c r="S262" s="122"/>
    </row>
    <row r="263" spans="11:19" s="75" customFormat="1" ht="12.75">
      <c r="K263" s="122"/>
      <c r="S263" s="122"/>
    </row>
    <row r="264" spans="11:19" s="75" customFormat="1" ht="12.75">
      <c r="K264" s="122"/>
      <c r="S264" s="122"/>
    </row>
    <row r="265" spans="11:19" s="75" customFormat="1" ht="12.75">
      <c r="K265" s="122"/>
      <c r="S265" s="122"/>
    </row>
    <row r="266" spans="11:19" s="75" customFormat="1" ht="12.75">
      <c r="K266" s="122"/>
      <c r="S266" s="122"/>
    </row>
    <row r="267" spans="11:19" s="75" customFormat="1" ht="12.75">
      <c r="K267" s="122"/>
      <c r="S267" s="122"/>
    </row>
    <row r="268" spans="11:19" s="75" customFormat="1" ht="12.75">
      <c r="K268" s="122"/>
      <c r="S268" s="122"/>
    </row>
    <row r="269" spans="11:19" s="75" customFormat="1" ht="12.75">
      <c r="K269" s="122"/>
      <c r="S269" s="122"/>
    </row>
    <row r="270" spans="11:19" s="75" customFormat="1" ht="12.75">
      <c r="K270" s="122"/>
      <c r="S270" s="122"/>
    </row>
    <row r="271" spans="11:19" s="75" customFormat="1" ht="12.75">
      <c r="K271" s="122"/>
      <c r="S271" s="122"/>
    </row>
    <row r="272" spans="11:19" s="75" customFormat="1" ht="12.75">
      <c r="K272" s="122"/>
      <c r="S272" s="122"/>
    </row>
    <row r="273" spans="11:19" s="75" customFormat="1" ht="12.75">
      <c r="K273" s="122"/>
      <c r="S273" s="122"/>
    </row>
    <row r="274" spans="11:19" s="75" customFormat="1" ht="12.75">
      <c r="K274" s="122"/>
      <c r="S274" s="122"/>
    </row>
    <row r="275" spans="11:19" s="75" customFormat="1" ht="12.75">
      <c r="K275" s="122"/>
      <c r="S275" s="122"/>
    </row>
    <row r="276" spans="11:19" s="75" customFormat="1" ht="12.75">
      <c r="K276" s="122"/>
      <c r="S276" s="122"/>
    </row>
    <row r="277" spans="11:19" s="75" customFormat="1" ht="12.75">
      <c r="K277" s="122"/>
      <c r="S277" s="122"/>
    </row>
    <row r="278" spans="11:19" s="75" customFormat="1" ht="12.75">
      <c r="K278" s="122"/>
      <c r="S278" s="122"/>
    </row>
    <row r="279" spans="11:19" s="75" customFormat="1" ht="12.75">
      <c r="K279" s="122"/>
      <c r="S279" s="122"/>
    </row>
    <row r="280" spans="11:19" s="75" customFormat="1" ht="12.75">
      <c r="K280" s="122"/>
      <c r="S280" s="122"/>
    </row>
    <row r="281" spans="11:19" s="75" customFormat="1" ht="12.75">
      <c r="K281" s="122"/>
      <c r="S281" s="122"/>
    </row>
    <row r="282" spans="11:19" s="75" customFormat="1" ht="12.75">
      <c r="K282" s="122"/>
      <c r="S282" s="122"/>
    </row>
    <row r="283" spans="11:19" s="75" customFormat="1" ht="12.75">
      <c r="K283" s="122"/>
      <c r="S283" s="122"/>
    </row>
    <row r="284" spans="11:19" s="75" customFormat="1" ht="12.75">
      <c r="K284" s="122"/>
      <c r="S284" s="122"/>
    </row>
    <row r="285" spans="11:19" s="75" customFormat="1" ht="12.75">
      <c r="K285" s="122"/>
      <c r="S285" s="122"/>
    </row>
    <row r="286" spans="11:19" s="75" customFormat="1" ht="12.75">
      <c r="K286" s="122"/>
      <c r="S286" s="122"/>
    </row>
    <row r="287" spans="11:19" s="75" customFormat="1" ht="12.75">
      <c r="K287" s="122"/>
      <c r="S287" s="122"/>
    </row>
    <row r="288" spans="11:19" s="75" customFormat="1" ht="12.75">
      <c r="K288" s="122"/>
      <c r="S288" s="122"/>
    </row>
    <row r="289" spans="11:19" s="75" customFormat="1" ht="12.75">
      <c r="K289" s="122"/>
      <c r="S289" s="122"/>
    </row>
    <row r="290" spans="11:19" s="75" customFormat="1" ht="12.75">
      <c r="K290" s="122"/>
      <c r="S290" s="122"/>
    </row>
    <row r="291" spans="11:19" s="75" customFormat="1" ht="12.75">
      <c r="K291" s="122"/>
      <c r="S291" s="122"/>
    </row>
    <row r="292" spans="11:19" s="75" customFormat="1" ht="12.75">
      <c r="K292" s="122"/>
      <c r="S292" s="122"/>
    </row>
    <row r="293" spans="11:19" s="75" customFormat="1" ht="12.75">
      <c r="K293" s="122"/>
      <c r="S293" s="122"/>
    </row>
    <row r="294" spans="11:19" s="75" customFormat="1" ht="12.75">
      <c r="K294" s="122"/>
      <c r="S294" s="122"/>
    </row>
    <row r="295" spans="11:19" s="75" customFormat="1" ht="12.75">
      <c r="K295" s="122"/>
      <c r="S295" s="122"/>
    </row>
    <row r="296" spans="11:19" s="75" customFormat="1" ht="12.75">
      <c r="K296" s="122"/>
      <c r="S296" s="122"/>
    </row>
    <row r="297" spans="11:19" s="75" customFormat="1" ht="12.75">
      <c r="K297" s="122"/>
      <c r="S297" s="122"/>
    </row>
    <row r="298" spans="11:19" s="75" customFormat="1" ht="12.75">
      <c r="K298" s="122"/>
      <c r="S298" s="122"/>
    </row>
    <row r="299" spans="11:19" s="75" customFormat="1" ht="12.75">
      <c r="K299" s="122"/>
      <c r="S299" s="122"/>
    </row>
    <row r="300" spans="11:19" s="75" customFormat="1" ht="12.75">
      <c r="K300" s="122"/>
      <c r="S300" s="122"/>
    </row>
    <row r="301" spans="11:19" s="75" customFormat="1" ht="12.75">
      <c r="K301" s="122"/>
      <c r="S301" s="122"/>
    </row>
    <row r="302" spans="11:19" s="75" customFormat="1" ht="12.75">
      <c r="K302" s="122"/>
      <c r="S302" s="122"/>
    </row>
    <row r="303" spans="11:19" s="75" customFormat="1" ht="12.75">
      <c r="K303" s="122"/>
      <c r="S303" s="122"/>
    </row>
    <row r="304" spans="11:19" s="75" customFormat="1" ht="12.75">
      <c r="K304" s="122"/>
      <c r="S304" s="122"/>
    </row>
    <row r="305" spans="11:19" s="75" customFormat="1" ht="12.75">
      <c r="K305" s="122"/>
      <c r="S305" s="122"/>
    </row>
    <row r="306" spans="11:19" s="75" customFormat="1" ht="12.75">
      <c r="K306" s="122"/>
      <c r="S306" s="122"/>
    </row>
    <row r="307" spans="11:19" s="75" customFormat="1" ht="12.75">
      <c r="K307" s="122"/>
      <c r="S307" s="122"/>
    </row>
    <row r="308" spans="11:19" s="75" customFormat="1" ht="12.75">
      <c r="K308" s="122"/>
      <c r="S308" s="122"/>
    </row>
    <row r="309" spans="11:19" s="75" customFormat="1" ht="12.75">
      <c r="K309" s="122"/>
      <c r="S309" s="122"/>
    </row>
    <row r="310" spans="11:19" s="75" customFormat="1" ht="12.75">
      <c r="K310" s="122"/>
      <c r="S310" s="122"/>
    </row>
    <row r="311" spans="11:19" s="75" customFormat="1" ht="12.75">
      <c r="K311" s="122"/>
      <c r="S311" s="122"/>
    </row>
    <row r="312" spans="11:19" s="75" customFormat="1" ht="12.75">
      <c r="K312" s="122"/>
      <c r="S312" s="122"/>
    </row>
    <row r="313" spans="11:19" s="75" customFormat="1" ht="12.75">
      <c r="K313" s="122"/>
      <c r="S313" s="122"/>
    </row>
    <row r="314" spans="11:19" s="75" customFormat="1" ht="12.75">
      <c r="K314" s="122"/>
      <c r="S314" s="122"/>
    </row>
    <row r="315" spans="11:19" s="75" customFormat="1" ht="12.75">
      <c r="K315" s="122"/>
      <c r="S315" s="122"/>
    </row>
    <row r="316" spans="11:19" s="75" customFormat="1" ht="12.75">
      <c r="K316" s="122"/>
      <c r="S316" s="122"/>
    </row>
    <row r="317" spans="11:19" s="75" customFormat="1" ht="12.75">
      <c r="K317" s="122"/>
      <c r="S317" s="122"/>
    </row>
    <row r="318" spans="11:19" s="75" customFormat="1" ht="12.75">
      <c r="K318" s="122"/>
      <c r="S318" s="122"/>
    </row>
    <row r="319" spans="11:19" s="75" customFormat="1" ht="12.75">
      <c r="K319" s="122"/>
      <c r="S319" s="122"/>
    </row>
    <row r="320" spans="11:19" s="75" customFormat="1" ht="12.75">
      <c r="K320" s="122"/>
      <c r="S320" s="122"/>
    </row>
    <row r="321" spans="11:19" s="75" customFormat="1" ht="12.75">
      <c r="K321" s="122"/>
      <c r="S321" s="122"/>
    </row>
    <row r="322" spans="11:19" s="75" customFormat="1" ht="12.75">
      <c r="K322" s="122"/>
      <c r="S322" s="122"/>
    </row>
    <row r="323" spans="11:19" s="75" customFormat="1" ht="12.75">
      <c r="K323" s="122"/>
      <c r="S323" s="122"/>
    </row>
    <row r="324" spans="11:19" s="75" customFormat="1" ht="12.75">
      <c r="K324" s="122"/>
      <c r="S324" s="122"/>
    </row>
    <row r="325" spans="11:19" s="75" customFormat="1" ht="12.75">
      <c r="K325" s="122"/>
      <c r="S325" s="122"/>
    </row>
    <row r="326" spans="11:19" s="75" customFormat="1" ht="12.75">
      <c r="K326" s="122"/>
      <c r="S326" s="122"/>
    </row>
    <row r="327" spans="11:19" s="75" customFormat="1" ht="12.75">
      <c r="K327" s="122"/>
      <c r="S327" s="122"/>
    </row>
    <row r="328" spans="11:19" s="75" customFormat="1" ht="12.75">
      <c r="K328" s="122"/>
      <c r="S328" s="122"/>
    </row>
    <row r="329" spans="11:19" s="75" customFormat="1" ht="12.75">
      <c r="K329" s="122"/>
      <c r="S329" s="122"/>
    </row>
    <row r="330" spans="11:19" s="75" customFormat="1" ht="12.75">
      <c r="K330" s="122"/>
      <c r="S330" s="122"/>
    </row>
    <row r="331" spans="11:19" s="75" customFormat="1" ht="12.75">
      <c r="K331" s="122"/>
      <c r="S331" s="122"/>
    </row>
    <row r="332" spans="11:19" s="75" customFormat="1" ht="12.75">
      <c r="K332" s="122"/>
      <c r="S332" s="122"/>
    </row>
    <row r="333" spans="11:19" s="75" customFormat="1" ht="12.75">
      <c r="K333" s="122"/>
      <c r="S333" s="122"/>
    </row>
    <row r="334" spans="11:19" s="75" customFormat="1" ht="12.75">
      <c r="K334" s="122"/>
      <c r="S334" s="122"/>
    </row>
    <row r="335" spans="11:19" s="75" customFormat="1" ht="12.75">
      <c r="K335" s="122"/>
      <c r="S335" s="122"/>
    </row>
    <row r="336" spans="11:19" s="75" customFormat="1" ht="12.75">
      <c r="K336" s="122"/>
      <c r="S336" s="122"/>
    </row>
    <row r="337" spans="11:19" s="75" customFormat="1" ht="12.75">
      <c r="K337" s="122"/>
      <c r="S337" s="122"/>
    </row>
    <row r="338" spans="11:19" s="75" customFormat="1" ht="12.75">
      <c r="K338" s="122"/>
      <c r="S338" s="122"/>
    </row>
    <row r="339" spans="11:19" s="75" customFormat="1" ht="12.75">
      <c r="K339" s="122"/>
      <c r="S339" s="122"/>
    </row>
    <row r="340" spans="11:19" s="75" customFormat="1" ht="12.75">
      <c r="K340" s="122"/>
      <c r="S340" s="122"/>
    </row>
    <row r="341" spans="11:19" s="75" customFormat="1" ht="12.75">
      <c r="K341" s="122"/>
      <c r="S341" s="122"/>
    </row>
    <row r="342" spans="11:19" s="75" customFormat="1" ht="12.75">
      <c r="K342" s="122"/>
      <c r="S342" s="122"/>
    </row>
    <row r="343" spans="11:19" s="75" customFormat="1" ht="12.75">
      <c r="K343" s="122"/>
      <c r="S343" s="122"/>
    </row>
    <row r="344" spans="11:19" s="75" customFormat="1" ht="12.75">
      <c r="K344" s="122"/>
      <c r="S344" s="122"/>
    </row>
    <row r="345" spans="11:19" s="75" customFormat="1" ht="12.75">
      <c r="K345" s="122"/>
      <c r="S345" s="122"/>
    </row>
    <row r="346" spans="11:19" s="75" customFormat="1" ht="12.75">
      <c r="K346" s="122"/>
      <c r="S346" s="122"/>
    </row>
    <row r="347" spans="11:19" s="75" customFormat="1" ht="12.75">
      <c r="K347" s="122"/>
      <c r="S347" s="122"/>
    </row>
    <row r="348" spans="11:19" s="75" customFormat="1" ht="12.75">
      <c r="K348" s="122"/>
      <c r="S348" s="122"/>
    </row>
    <row r="349" spans="11:19" s="75" customFormat="1" ht="12.75">
      <c r="K349" s="122"/>
      <c r="S349" s="122"/>
    </row>
    <row r="350" spans="11:19" s="75" customFormat="1" ht="12.75">
      <c r="K350" s="122"/>
      <c r="S350" s="122"/>
    </row>
    <row r="351" spans="11:19" s="75" customFormat="1" ht="12.75">
      <c r="K351" s="122"/>
      <c r="S351" s="122"/>
    </row>
    <row r="352" spans="11:19" s="75" customFormat="1" ht="12.75">
      <c r="K352" s="122"/>
      <c r="S352" s="122"/>
    </row>
    <row r="353" spans="11:19" s="75" customFormat="1" ht="12.75">
      <c r="K353" s="122"/>
      <c r="S353" s="122"/>
    </row>
    <row r="354" spans="11:19" s="75" customFormat="1" ht="12.75">
      <c r="K354" s="122"/>
      <c r="S354" s="122"/>
    </row>
    <row r="355" spans="11:19" s="75" customFormat="1" ht="12.75">
      <c r="K355" s="122"/>
      <c r="S355" s="122"/>
    </row>
    <row r="356" spans="11:19" s="75" customFormat="1" ht="12.75">
      <c r="K356" s="122"/>
      <c r="S356" s="122"/>
    </row>
    <row r="357" spans="11:19" s="75" customFormat="1" ht="12.75">
      <c r="K357" s="122"/>
      <c r="S357" s="122"/>
    </row>
    <row r="358" spans="11:19" s="75" customFormat="1" ht="12.75">
      <c r="K358" s="122"/>
      <c r="S358" s="122"/>
    </row>
    <row r="359" spans="11:19" s="75" customFormat="1" ht="12.75">
      <c r="K359" s="122"/>
      <c r="S359" s="122"/>
    </row>
    <row r="360" spans="11:19" s="75" customFormat="1" ht="12.75">
      <c r="K360" s="122"/>
      <c r="S360" s="122"/>
    </row>
    <row r="361" spans="11:19" s="75" customFormat="1" ht="12.75">
      <c r="K361" s="122"/>
      <c r="S361" s="122"/>
    </row>
    <row r="362" spans="11:19" s="75" customFormat="1" ht="12.75">
      <c r="K362" s="122"/>
      <c r="S362" s="122"/>
    </row>
    <row r="363" spans="11:19" s="75" customFormat="1" ht="12.75">
      <c r="K363" s="122"/>
      <c r="S363" s="122"/>
    </row>
    <row r="364" spans="11:19" s="75" customFormat="1" ht="12.75">
      <c r="K364" s="122"/>
      <c r="S364" s="122"/>
    </row>
    <row r="365" spans="11:19" s="75" customFormat="1" ht="12.75">
      <c r="K365" s="122"/>
      <c r="S365" s="122"/>
    </row>
    <row r="366" spans="11:19" s="75" customFormat="1" ht="12.75">
      <c r="K366" s="122"/>
      <c r="S366" s="122"/>
    </row>
    <row r="367" spans="11:19" s="75" customFormat="1" ht="12.75">
      <c r="K367" s="122"/>
      <c r="S367" s="122"/>
    </row>
    <row r="368" spans="11:19" s="75" customFormat="1" ht="12.75">
      <c r="K368" s="122"/>
      <c r="S368" s="122"/>
    </row>
    <row r="369" spans="11:19" s="75" customFormat="1" ht="12.75">
      <c r="K369" s="122"/>
      <c r="S369" s="122"/>
    </row>
    <row r="370" spans="11:19" s="75" customFormat="1" ht="12.75">
      <c r="K370" s="122"/>
      <c r="S370" s="122"/>
    </row>
    <row r="371" spans="11:19" s="75" customFormat="1" ht="12.75">
      <c r="K371" s="122"/>
      <c r="S371" s="122"/>
    </row>
    <row r="372" spans="11:19" s="75" customFormat="1" ht="12.75">
      <c r="K372" s="122"/>
      <c r="S372" s="122"/>
    </row>
    <row r="373" spans="11:19" s="75" customFormat="1" ht="12.75">
      <c r="K373" s="122"/>
      <c r="S373" s="122"/>
    </row>
    <row r="374" spans="11:19" s="75" customFormat="1" ht="12.75">
      <c r="K374" s="122"/>
      <c r="S374" s="122"/>
    </row>
    <row r="375" spans="11:19" s="75" customFormat="1" ht="12.75">
      <c r="K375" s="122"/>
      <c r="S375" s="122"/>
    </row>
    <row r="376" spans="11:19" s="75" customFormat="1" ht="12.75">
      <c r="K376" s="122"/>
      <c r="S376" s="122"/>
    </row>
    <row r="377" spans="11:19" s="75" customFormat="1" ht="12.75">
      <c r="K377" s="122"/>
      <c r="S377" s="122"/>
    </row>
    <row r="378" spans="11:19" s="75" customFormat="1" ht="12.75">
      <c r="K378" s="122"/>
      <c r="S378" s="122"/>
    </row>
    <row r="379" spans="11:19" s="75" customFormat="1" ht="12.75">
      <c r="K379" s="122"/>
      <c r="S379" s="122"/>
    </row>
    <row r="380" spans="11:19" s="75" customFormat="1" ht="12.75">
      <c r="K380" s="122"/>
      <c r="S380" s="122"/>
    </row>
    <row r="381" spans="11:19" s="75" customFormat="1" ht="12.75">
      <c r="K381" s="122"/>
      <c r="S381" s="122"/>
    </row>
    <row r="382" spans="11:19" s="75" customFormat="1" ht="12.75">
      <c r="K382" s="122"/>
      <c r="S382" s="122"/>
    </row>
    <row r="383" spans="11:19" s="75" customFormat="1" ht="12.75">
      <c r="K383" s="122"/>
      <c r="S383" s="122"/>
    </row>
    <row r="384" spans="11:19" s="75" customFormat="1" ht="12.75">
      <c r="K384" s="122"/>
      <c r="S384" s="122"/>
    </row>
    <row r="385" spans="11:19" s="75" customFormat="1" ht="12.75">
      <c r="K385" s="122"/>
      <c r="S385" s="122"/>
    </row>
    <row r="386" spans="11:19" s="75" customFormat="1" ht="12.75">
      <c r="K386" s="122"/>
      <c r="S386" s="122"/>
    </row>
    <row r="387" spans="11:19" s="75" customFormat="1" ht="12.75">
      <c r="K387" s="122"/>
      <c r="S387" s="122"/>
    </row>
    <row r="388" spans="11:19" s="75" customFormat="1" ht="12.75">
      <c r="K388" s="122"/>
      <c r="S388" s="122"/>
    </row>
    <row r="389" spans="11:19" s="75" customFormat="1" ht="12.75">
      <c r="K389" s="122"/>
      <c r="S389" s="122"/>
    </row>
    <row r="390" spans="11:19" s="75" customFormat="1" ht="12.75">
      <c r="K390" s="122"/>
      <c r="S390" s="122"/>
    </row>
    <row r="391" spans="11:19" s="75" customFormat="1" ht="12.75">
      <c r="K391" s="122"/>
      <c r="S391" s="122"/>
    </row>
    <row r="392" spans="11:19" s="75" customFormat="1" ht="12.75">
      <c r="K392" s="122"/>
      <c r="S392" s="122"/>
    </row>
    <row r="393" spans="11:19" s="75" customFormat="1" ht="12.75">
      <c r="K393" s="122"/>
      <c r="S393" s="122"/>
    </row>
    <row r="394" spans="11:19" s="75" customFormat="1" ht="12.75">
      <c r="K394" s="122"/>
      <c r="S394" s="122"/>
    </row>
    <row r="395" spans="11:19" s="75" customFormat="1" ht="12.75">
      <c r="K395" s="122"/>
      <c r="S395" s="122"/>
    </row>
    <row r="396" spans="11:19" s="75" customFormat="1" ht="12.75">
      <c r="K396" s="122"/>
      <c r="S396" s="122"/>
    </row>
    <row r="397" spans="11:19" s="75" customFormat="1" ht="12.75">
      <c r="K397" s="122"/>
      <c r="S397" s="122"/>
    </row>
    <row r="398" spans="11:19" s="75" customFormat="1" ht="12.75">
      <c r="K398" s="122"/>
      <c r="S398" s="122"/>
    </row>
    <row r="399" spans="11:19" s="75" customFormat="1" ht="12.75">
      <c r="K399" s="122"/>
      <c r="S399" s="122"/>
    </row>
    <row r="400" spans="11:19" s="75" customFormat="1" ht="12.75">
      <c r="K400" s="122"/>
      <c r="S400" s="122"/>
    </row>
    <row r="401" spans="11:19" s="75" customFormat="1" ht="12.75">
      <c r="K401" s="122"/>
      <c r="S401" s="122"/>
    </row>
    <row r="402" spans="11:19" s="75" customFormat="1" ht="12.75">
      <c r="K402" s="122"/>
      <c r="S402" s="122"/>
    </row>
    <row r="403" spans="11:19" s="75" customFormat="1" ht="12.75">
      <c r="K403" s="122"/>
      <c r="S403" s="122"/>
    </row>
    <row r="404" spans="11:19" s="75" customFormat="1" ht="12.75">
      <c r="K404" s="122"/>
      <c r="S404" s="122"/>
    </row>
    <row r="405" spans="11:19" s="75" customFormat="1" ht="12.75">
      <c r="K405" s="122"/>
      <c r="S405" s="122"/>
    </row>
    <row r="406" spans="11:19" s="75" customFormat="1" ht="12.75">
      <c r="K406" s="122"/>
      <c r="S406" s="122"/>
    </row>
    <row r="407" spans="11:19" s="75" customFormat="1" ht="12.75">
      <c r="K407" s="122"/>
      <c r="S407" s="122"/>
    </row>
    <row r="408" spans="11:19" s="75" customFormat="1" ht="12.75">
      <c r="K408" s="122"/>
      <c r="S408" s="122"/>
    </row>
    <row r="409" spans="11:19" s="75" customFormat="1" ht="12.75">
      <c r="K409" s="122"/>
      <c r="S409" s="122"/>
    </row>
    <row r="410" spans="11:19" s="75" customFormat="1" ht="12.75">
      <c r="K410" s="122"/>
      <c r="S410" s="122"/>
    </row>
    <row r="411" spans="11:19" s="75" customFormat="1" ht="12.75">
      <c r="K411" s="122"/>
      <c r="S411" s="122"/>
    </row>
    <row r="412" spans="11:19" s="75" customFormat="1" ht="12.75">
      <c r="K412" s="122"/>
      <c r="S412" s="122"/>
    </row>
    <row r="413" spans="11:19" s="75" customFormat="1" ht="12.75">
      <c r="K413" s="122"/>
      <c r="S413" s="122"/>
    </row>
    <row r="414" spans="11:19" s="75" customFormat="1" ht="12.75">
      <c r="K414" s="122"/>
      <c r="S414" s="122"/>
    </row>
    <row r="415" spans="11:19" s="75" customFormat="1" ht="12.75">
      <c r="K415" s="122"/>
      <c r="S415" s="122"/>
    </row>
    <row r="416" spans="11:19" s="75" customFormat="1" ht="12.75">
      <c r="K416" s="122"/>
      <c r="S416" s="122"/>
    </row>
    <row r="417" spans="11:19" s="75" customFormat="1" ht="12.75">
      <c r="K417" s="122"/>
      <c r="S417" s="122"/>
    </row>
    <row r="418" spans="11:19" s="75" customFormat="1" ht="12.75">
      <c r="K418" s="122"/>
      <c r="S418" s="122"/>
    </row>
    <row r="419" spans="11:19" s="75" customFormat="1" ht="12.75">
      <c r="K419" s="122"/>
      <c r="S419" s="122"/>
    </row>
    <row r="420" spans="11:19" s="75" customFormat="1" ht="12.75">
      <c r="K420" s="122"/>
      <c r="S420" s="122"/>
    </row>
    <row r="421" spans="11:19" s="75" customFormat="1" ht="12.75">
      <c r="K421" s="122"/>
      <c r="S421" s="122"/>
    </row>
    <row r="422" spans="11:19" s="75" customFormat="1" ht="12.75">
      <c r="K422" s="122"/>
      <c r="S422" s="122"/>
    </row>
    <row r="423" spans="11:19" s="75" customFormat="1" ht="12.75">
      <c r="K423" s="122"/>
      <c r="S423" s="122"/>
    </row>
    <row r="424" spans="11:19" s="75" customFormat="1" ht="12.75">
      <c r="K424" s="122"/>
      <c r="S424" s="122"/>
    </row>
    <row r="425" spans="11:19" s="75" customFormat="1" ht="12.75">
      <c r="K425" s="122"/>
      <c r="S425" s="122"/>
    </row>
    <row r="426" spans="11:19" s="75" customFormat="1" ht="12.75">
      <c r="K426" s="122"/>
      <c r="S426" s="122"/>
    </row>
    <row r="427" spans="11:19" s="75" customFormat="1" ht="12.75">
      <c r="K427" s="122"/>
      <c r="S427" s="122"/>
    </row>
    <row r="428" spans="11:19" s="75" customFormat="1" ht="12.75">
      <c r="K428" s="122"/>
      <c r="S428" s="122"/>
    </row>
    <row r="429" spans="11:19" s="75" customFormat="1" ht="12.75">
      <c r="K429" s="122"/>
      <c r="S429" s="122"/>
    </row>
    <row r="430" spans="11:19" s="75" customFormat="1" ht="12.75">
      <c r="K430" s="122"/>
      <c r="S430" s="122"/>
    </row>
    <row r="431" spans="11:19" s="75" customFormat="1" ht="12.75">
      <c r="K431" s="122"/>
      <c r="S431" s="122"/>
    </row>
    <row r="432" spans="11:19" s="75" customFormat="1" ht="12.75">
      <c r="K432" s="122"/>
      <c r="S432" s="122"/>
    </row>
    <row r="433" spans="11:19" s="75" customFormat="1" ht="12.75">
      <c r="K433" s="122"/>
      <c r="S433" s="122"/>
    </row>
    <row r="434" spans="11:19" s="75" customFormat="1" ht="12.75">
      <c r="K434" s="122"/>
      <c r="S434" s="122"/>
    </row>
    <row r="435" spans="11:19" s="75" customFormat="1" ht="12.75">
      <c r="K435" s="122"/>
      <c r="S435" s="122"/>
    </row>
    <row r="436" spans="11:19" s="75" customFormat="1" ht="12.75">
      <c r="K436" s="122"/>
      <c r="S436" s="122"/>
    </row>
    <row r="437" spans="11:19" s="75" customFormat="1" ht="12.75">
      <c r="K437" s="122"/>
      <c r="S437" s="122"/>
    </row>
    <row r="438" spans="11:19" s="75" customFormat="1" ht="12.75">
      <c r="K438" s="122"/>
      <c r="S438" s="122"/>
    </row>
    <row r="439" spans="11:19" s="75" customFormat="1" ht="12.75">
      <c r="K439" s="122"/>
      <c r="S439" s="122"/>
    </row>
    <row r="440" spans="11:19" s="75" customFormat="1" ht="12.75">
      <c r="K440" s="122"/>
      <c r="S440" s="122"/>
    </row>
    <row r="441" spans="11:19" s="75" customFormat="1" ht="12.75">
      <c r="K441" s="122"/>
      <c r="S441" s="122"/>
    </row>
    <row r="442" spans="11:19" s="75" customFormat="1" ht="12.75">
      <c r="K442" s="122"/>
      <c r="S442" s="122"/>
    </row>
    <row r="443" spans="11:19" s="75" customFormat="1" ht="12.75">
      <c r="K443" s="122"/>
      <c r="S443" s="122"/>
    </row>
    <row r="444" spans="11:19" s="75" customFormat="1" ht="12.75">
      <c r="K444" s="122"/>
      <c r="S444" s="122"/>
    </row>
    <row r="445" spans="11:19" s="75" customFormat="1" ht="12.75">
      <c r="K445" s="122"/>
      <c r="S445" s="122"/>
    </row>
    <row r="446" spans="11:19" s="75" customFormat="1" ht="12.75">
      <c r="K446" s="122"/>
      <c r="S446" s="122"/>
    </row>
    <row r="447" spans="11:19" s="75" customFormat="1" ht="12.75">
      <c r="K447" s="122"/>
      <c r="S447" s="122"/>
    </row>
    <row r="448" spans="11:19" s="75" customFormat="1" ht="12.75">
      <c r="K448" s="122"/>
      <c r="S448" s="122"/>
    </row>
    <row r="449" spans="11:19" s="75" customFormat="1" ht="12.75">
      <c r="K449" s="122"/>
      <c r="S449" s="122"/>
    </row>
    <row r="450" spans="11:19" s="75" customFormat="1" ht="12.75">
      <c r="K450" s="122"/>
      <c r="S450" s="122"/>
    </row>
    <row r="451" spans="11:19" s="75" customFormat="1" ht="12.75">
      <c r="K451" s="122"/>
      <c r="S451" s="122"/>
    </row>
    <row r="452" spans="11:19" s="75" customFormat="1" ht="12.75">
      <c r="K452" s="122"/>
      <c r="S452" s="122"/>
    </row>
    <row r="453" spans="11:19" s="75" customFormat="1" ht="12.75">
      <c r="K453" s="122"/>
      <c r="S453" s="122"/>
    </row>
    <row r="454" spans="11:19" s="75" customFormat="1" ht="12.75">
      <c r="K454" s="122"/>
      <c r="S454" s="122"/>
    </row>
    <row r="455" spans="11:19" s="75" customFormat="1" ht="12.75">
      <c r="K455" s="122"/>
      <c r="S455" s="122"/>
    </row>
    <row r="456" spans="11:19" s="75" customFormat="1" ht="12.75">
      <c r="K456" s="122"/>
      <c r="S456" s="122"/>
    </row>
    <row r="457" spans="11:19" s="75" customFormat="1" ht="12.75">
      <c r="K457" s="122"/>
      <c r="S457" s="122"/>
    </row>
    <row r="458" spans="11:19" s="75" customFormat="1" ht="12.75">
      <c r="K458" s="122"/>
      <c r="S458" s="122"/>
    </row>
    <row r="459" spans="11:19" s="75" customFormat="1" ht="12.75">
      <c r="K459" s="122"/>
      <c r="S459" s="122"/>
    </row>
    <row r="460" spans="11:19" s="75" customFormat="1" ht="12.75">
      <c r="K460" s="122"/>
      <c r="S460" s="122"/>
    </row>
    <row r="461" spans="11:19" s="75" customFormat="1" ht="12.75">
      <c r="K461" s="122"/>
      <c r="S461" s="122"/>
    </row>
    <row r="462" spans="11:19" s="75" customFormat="1" ht="12.75">
      <c r="K462" s="122"/>
      <c r="S462" s="122"/>
    </row>
    <row r="463" spans="11:19" s="75" customFormat="1" ht="12.75">
      <c r="K463" s="122"/>
      <c r="S463" s="122"/>
    </row>
    <row r="464" spans="11:19" s="75" customFormat="1" ht="12.75">
      <c r="K464" s="122"/>
      <c r="S464" s="122"/>
    </row>
    <row r="465" spans="11:19" s="75" customFormat="1" ht="12.75">
      <c r="K465" s="122"/>
      <c r="S465" s="122"/>
    </row>
    <row r="466" spans="11:19" s="75" customFormat="1" ht="12.75">
      <c r="K466" s="122"/>
      <c r="S466" s="122"/>
    </row>
    <row r="467" spans="11:19" s="75" customFormat="1" ht="12.75">
      <c r="K467" s="122"/>
      <c r="S467" s="122"/>
    </row>
    <row r="468" spans="11:19" s="75" customFormat="1" ht="12.75">
      <c r="K468" s="122"/>
      <c r="S468" s="122"/>
    </row>
    <row r="469" spans="11:19" s="75" customFormat="1" ht="12.75">
      <c r="K469" s="122"/>
      <c r="S469" s="122"/>
    </row>
    <row r="470" spans="11:19" s="75" customFormat="1" ht="12.75">
      <c r="K470" s="122"/>
      <c r="S470" s="122"/>
    </row>
    <row r="471" spans="11:19" s="75" customFormat="1" ht="12.75">
      <c r="K471" s="122"/>
      <c r="S471" s="122"/>
    </row>
    <row r="472" spans="11:19" s="75" customFormat="1" ht="12.75">
      <c r="K472" s="122"/>
      <c r="S472" s="122"/>
    </row>
    <row r="473" spans="11:19" s="75" customFormat="1" ht="12.75">
      <c r="K473" s="122"/>
      <c r="S473" s="122"/>
    </row>
    <row r="474" spans="11:19" s="75" customFormat="1" ht="12.75">
      <c r="K474" s="122"/>
      <c r="S474" s="122"/>
    </row>
    <row r="475" spans="11:19" s="75" customFormat="1" ht="12.75">
      <c r="K475" s="122"/>
      <c r="S475" s="122"/>
    </row>
    <row r="476" spans="11:19" s="75" customFormat="1" ht="12.75">
      <c r="K476" s="122"/>
      <c r="S476" s="122"/>
    </row>
    <row r="477" spans="11:19" s="75" customFormat="1" ht="12.75">
      <c r="K477" s="122"/>
      <c r="S477" s="122"/>
    </row>
    <row r="478" spans="11:19" s="75" customFormat="1" ht="12.75">
      <c r="K478" s="122"/>
      <c r="S478" s="122"/>
    </row>
    <row r="479" spans="11:19" s="75" customFormat="1" ht="12.75">
      <c r="K479" s="122"/>
      <c r="S479" s="122"/>
    </row>
    <row r="480" spans="11:19" s="75" customFormat="1" ht="12.75">
      <c r="K480" s="122"/>
      <c r="S480" s="122"/>
    </row>
    <row r="481" spans="11:19" s="75" customFormat="1" ht="12.75">
      <c r="K481" s="122"/>
      <c r="S481" s="122"/>
    </row>
    <row r="482" spans="11:19" s="75" customFormat="1" ht="12.75">
      <c r="K482" s="122"/>
      <c r="S482" s="122"/>
    </row>
    <row r="483" spans="11:19" s="75" customFormat="1" ht="12.75">
      <c r="K483" s="122"/>
      <c r="S483" s="122"/>
    </row>
    <row r="484" spans="11:19" s="75" customFormat="1" ht="12.75">
      <c r="K484" s="122"/>
      <c r="S484" s="122"/>
    </row>
    <row r="485" spans="11:19" s="75" customFormat="1" ht="12.75">
      <c r="K485" s="122"/>
      <c r="S485" s="122"/>
    </row>
    <row r="486" spans="11:19" s="75" customFormat="1" ht="12.75">
      <c r="K486" s="122"/>
      <c r="S486" s="122"/>
    </row>
    <row r="487" spans="11:19" s="75" customFormat="1" ht="12.75">
      <c r="K487" s="122"/>
      <c r="S487" s="122"/>
    </row>
    <row r="488" spans="11:19" s="75" customFormat="1" ht="12.75">
      <c r="K488" s="122"/>
      <c r="S488" s="122"/>
    </row>
    <row r="489" spans="11:19" s="75" customFormat="1" ht="12.75">
      <c r="K489" s="122"/>
      <c r="S489" s="122"/>
    </row>
    <row r="490" spans="11:19" s="75" customFormat="1" ht="12.75">
      <c r="K490" s="122"/>
      <c r="S490" s="122"/>
    </row>
    <row r="491" spans="11:19" s="75" customFormat="1" ht="12.75">
      <c r="K491" s="122"/>
      <c r="S491" s="122"/>
    </row>
    <row r="492" spans="11:19" s="75" customFormat="1" ht="12.75">
      <c r="K492" s="122"/>
      <c r="S492" s="122"/>
    </row>
    <row r="493" spans="11:19" s="75" customFormat="1" ht="12.75">
      <c r="K493" s="122"/>
      <c r="S493" s="122"/>
    </row>
    <row r="494" spans="11:19" s="75" customFormat="1" ht="12.75">
      <c r="K494" s="122"/>
      <c r="S494" s="122"/>
    </row>
    <row r="495" spans="11:19" s="75" customFormat="1" ht="12.75">
      <c r="K495" s="122"/>
      <c r="S495" s="122"/>
    </row>
    <row r="496" spans="11:19" s="75" customFormat="1" ht="12.75">
      <c r="K496" s="122"/>
      <c r="S496" s="122"/>
    </row>
    <row r="497" spans="11:19" s="75" customFormat="1" ht="12.75">
      <c r="K497" s="122"/>
      <c r="S497" s="122"/>
    </row>
    <row r="498" spans="11:19" s="75" customFormat="1" ht="12.75">
      <c r="K498" s="122"/>
      <c r="S498" s="122"/>
    </row>
    <row r="499" spans="11:19" s="75" customFormat="1" ht="12.75">
      <c r="K499" s="122"/>
      <c r="S499" s="122"/>
    </row>
    <row r="500" spans="11:19" s="75" customFormat="1" ht="12.75">
      <c r="K500" s="122"/>
      <c r="S500" s="122"/>
    </row>
    <row r="501" spans="11:19" s="75" customFormat="1" ht="12.75">
      <c r="K501" s="122"/>
      <c r="S501" s="122"/>
    </row>
    <row r="502" spans="11:19" s="75" customFormat="1" ht="12.75">
      <c r="K502" s="122"/>
      <c r="S502" s="122"/>
    </row>
    <row r="503" spans="11:19" s="75" customFormat="1" ht="12.75">
      <c r="K503" s="122"/>
      <c r="S503" s="122"/>
    </row>
    <row r="504" spans="11:19" s="75" customFormat="1" ht="12.75">
      <c r="K504" s="122"/>
      <c r="S504" s="122"/>
    </row>
    <row r="505" spans="11:19" s="75" customFormat="1" ht="12.75">
      <c r="K505" s="122"/>
      <c r="S505" s="122"/>
    </row>
    <row r="506" spans="11:19" s="75" customFormat="1" ht="12.75">
      <c r="K506" s="122"/>
      <c r="S506" s="122"/>
    </row>
    <row r="507" spans="11:19" s="75" customFormat="1" ht="12.75">
      <c r="K507" s="122"/>
      <c r="S507" s="122"/>
    </row>
    <row r="508" spans="11:19" s="75" customFormat="1" ht="12.75">
      <c r="K508" s="122"/>
      <c r="S508" s="122"/>
    </row>
    <row r="509" spans="11:19" s="75" customFormat="1" ht="12.75">
      <c r="K509" s="122"/>
      <c r="S509" s="122"/>
    </row>
    <row r="510" spans="11:19" s="75" customFormat="1" ht="12.75">
      <c r="K510" s="122"/>
      <c r="S510" s="122"/>
    </row>
    <row r="511" spans="11:19" s="75" customFormat="1" ht="12.75">
      <c r="K511" s="122"/>
      <c r="S511" s="122"/>
    </row>
    <row r="512" spans="11:19" s="75" customFormat="1" ht="12.75">
      <c r="K512" s="122"/>
      <c r="S512" s="122"/>
    </row>
    <row r="513" spans="11:19" s="75" customFormat="1" ht="12.75">
      <c r="K513" s="122"/>
      <c r="S513" s="122"/>
    </row>
    <row r="514" spans="11:19" s="75" customFormat="1" ht="12.75">
      <c r="K514" s="122"/>
      <c r="S514" s="122"/>
    </row>
    <row r="515" spans="11:19" s="75" customFormat="1" ht="12.75">
      <c r="K515" s="122"/>
      <c r="S515" s="122"/>
    </row>
    <row r="516" spans="11:19" s="75" customFormat="1" ht="12.75">
      <c r="K516" s="122"/>
      <c r="S516" s="122"/>
    </row>
    <row r="517" spans="11:19" s="75" customFormat="1" ht="12.75">
      <c r="K517" s="122"/>
      <c r="S517" s="122"/>
    </row>
    <row r="518" spans="11:19" s="75" customFormat="1" ht="12.75">
      <c r="K518" s="122"/>
      <c r="S518" s="122"/>
    </row>
    <row r="519" spans="11:19" s="75" customFormat="1" ht="12.75">
      <c r="K519" s="122"/>
      <c r="S519" s="122"/>
    </row>
    <row r="520" spans="11:19" s="75" customFormat="1" ht="12.75">
      <c r="K520" s="122"/>
      <c r="S520" s="122"/>
    </row>
    <row r="521" spans="11:19" s="75" customFormat="1" ht="12.75">
      <c r="K521" s="122"/>
      <c r="S521" s="122"/>
    </row>
    <row r="522" spans="11:19" s="75" customFormat="1" ht="12.75">
      <c r="K522" s="122"/>
      <c r="S522" s="122"/>
    </row>
    <row r="523" spans="11:19" s="75" customFormat="1" ht="12.75">
      <c r="K523" s="122"/>
      <c r="S523" s="122"/>
    </row>
    <row r="524" spans="11:19" s="75" customFormat="1" ht="12.75">
      <c r="K524" s="122"/>
      <c r="S524" s="122"/>
    </row>
    <row r="525" spans="11:19" s="75" customFormat="1" ht="12.75">
      <c r="K525" s="122"/>
      <c r="S525" s="122"/>
    </row>
    <row r="526" spans="11:19" s="75" customFormat="1" ht="12.75">
      <c r="K526" s="122"/>
      <c r="S526" s="122"/>
    </row>
    <row r="527" spans="11:19" s="75" customFormat="1" ht="12.75">
      <c r="K527" s="122"/>
      <c r="S527" s="122"/>
    </row>
    <row r="528" spans="11:19" s="75" customFormat="1" ht="12.75">
      <c r="K528" s="122"/>
      <c r="S528" s="122"/>
    </row>
    <row r="529" spans="11:19" s="75" customFormat="1" ht="12.75">
      <c r="K529" s="122"/>
      <c r="S529" s="122"/>
    </row>
    <row r="530" spans="11:19" s="75" customFormat="1" ht="12.75">
      <c r="K530" s="122"/>
      <c r="S530" s="122"/>
    </row>
    <row r="531" spans="11:19" s="75" customFormat="1" ht="12.75">
      <c r="K531" s="122"/>
      <c r="S531" s="122"/>
    </row>
    <row r="532" spans="11:19" s="75" customFormat="1" ht="12.75">
      <c r="K532" s="122"/>
      <c r="S532" s="122"/>
    </row>
    <row r="533" spans="11:19" s="75" customFormat="1" ht="12.75">
      <c r="K533" s="122"/>
      <c r="S533" s="122"/>
    </row>
    <row r="534" spans="11:19" s="75" customFormat="1" ht="12.75">
      <c r="K534" s="122"/>
      <c r="S534" s="122"/>
    </row>
    <row r="535" spans="11:19" s="75" customFormat="1" ht="12.75">
      <c r="K535" s="122"/>
      <c r="S535" s="122"/>
    </row>
    <row r="536" spans="11:19" s="75" customFormat="1" ht="12.75">
      <c r="K536" s="122"/>
      <c r="S536" s="122"/>
    </row>
    <row r="537" spans="11:19" s="75" customFormat="1" ht="12.75">
      <c r="K537" s="122"/>
      <c r="S537" s="122"/>
    </row>
    <row r="538" spans="11:19" s="75" customFormat="1" ht="12.75">
      <c r="K538" s="122"/>
      <c r="S538" s="122"/>
    </row>
    <row r="539" spans="11:19" s="75" customFormat="1" ht="12.75">
      <c r="K539" s="122"/>
      <c r="S539" s="122"/>
    </row>
    <row r="540" spans="11:19" s="75" customFormat="1" ht="12.75">
      <c r="K540" s="122"/>
      <c r="S540" s="122"/>
    </row>
    <row r="541" spans="11:19" s="75" customFormat="1" ht="12.75">
      <c r="K541" s="122"/>
      <c r="S541" s="122"/>
    </row>
    <row r="542" spans="11:19" s="75" customFormat="1" ht="12.75">
      <c r="K542" s="122"/>
      <c r="S542" s="122"/>
    </row>
    <row r="543" spans="11:19" s="75" customFormat="1" ht="12.75">
      <c r="K543" s="122"/>
      <c r="S543" s="122"/>
    </row>
    <row r="544" spans="11:19" s="75" customFormat="1" ht="12.75">
      <c r="K544" s="122"/>
      <c r="S544" s="122"/>
    </row>
    <row r="545" spans="11:19" s="75" customFormat="1" ht="12.75">
      <c r="K545" s="122"/>
      <c r="S545" s="122"/>
    </row>
    <row r="546" spans="11:19" s="75" customFormat="1" ht="12.75">
      <c r="K546" s="122"/>
      <c r="S546" s="122"/>
    </row>
    <row r="547" spans="11:19" s="75" customFormat="1" ht="12.75">
      <c r="K547" s="122"/>
      <c r="S547" s="122"/>
    </row>
    <row r="548" spans="11:19" s="75" customFormat="1" ht="12.75">
      <c r="K548" s="122"/>
      <c r="S548" s="122"/>
    </row>
    <row r="549" spans="11:19" s="75" customFormat="1" ht="12.75">
      <c r="K549" s="122"/>
      <c r="S549" s="122"/>
    </row>
    <row r="550" spans="11:19" s="75" customFormat="1" ht="12.75">
      <c r="K550" s="122"/>
      <c r="S550" s="122"/>
    </row>
    <row r="551" spans="11:19" s="75" customFormat="1" ht="12.75">
      <c r="K551" s="122"/>
      <c r="S551" s="122"/>
    </row>
    <row r="552" spans="11:19" s="75" customFormat="1" ht="12.75">
      <c r="K552" s="122"/>
      <c r="S552" s="122"/>
    </row>
    <row r="553" spans="11:19" s="75" customFormat="1" ht="12.75">
      <c r="K553" s="122"/>
      <c r="S553" s="122"/>
    </row>
    <row r="554" spans="11:19" s="75" customFormat="1" ht="12.75">
      <c r="K554" s="122"/>
      <c r="S554" s="122"/>
    </row>
    <row r="555" spans="11:19" s="75" customFormat="1" ht="12.75">
      <c r="K555" s="122"/>
      <c r="S555" s="122"/>
    </row>
    <row r="556" spans="11:19" s="75" customFormat="1" ht="12.75">
      <c r="K556" s="122"/>
      <c r="S556" s="122"/>
    </row>
    <row r="557" spans="11:19" s="75" customFormat="1" ht="12.75">
      <c r="K557" s="122"/>
      <c r="S557" s="122"/>
    </row>
    <row r="558" spans="11:19" s="75" customFormat="1" ht="12.75">
      <c r="K558" s="122"/>
      <c r="S558" s="122"/>
    </row>
    <row r="559" spans="11:19" s="75" customFormat="1" ht="12.75">
      <c r="K559" s="122"/>
      <c r="S559" s="122"/>
    </row>
    <row r="560" spans="11:19" s="75" customFormat="1" ht="12.75">
      <c r="K560" s="122"/>
      <c r="S560" s="122"/>
    </row>
    <row r="561" spans="11:19" s="75" customFormat="1" ht="12.75">
      <c r="K561" s="122"/>
      <c r="S561" s="122"/>
    </row>
    <row r="562" spans="11:19" s="75" customFormat="1" ht="12.75">
      <c r="K562" s="122"/>
      <c r="S562" s="122"/>
    </row>
    <row r="563" spans="11:19" s="75" customFormat="1" ht="12.75">
      <c r="K563" s="122"/>
      <c r="S563" s="122"/>
    </row>
    <row r="564" spans="11:19" s="75" customFormat="1" ht="12.75">
      <c r="K564" s="122"/>
      <c r="S564" s="122"/>
    </row>
    <row r="565" spans="11:19" s="75" customFormat="1" ht="12.75">
      <c r="K565" s="122"/>
      <c r="S565" s="122"/>
    </row>
    <row r="566" spans="11:19" s="75" customFormat="1" ht="12.75">
      <c r="K566" s="122"/>
      <c r="S566" s="122"/>
    </row>
    <row r="567" spans="11:19" s="75" customFormat="1" ht="12.75">
      <c r="K567" s="122"/>
      <c r="S567" s="122"/>
    </row>
    <row r="568" spans="11:19" s="75" customFormat="1" ht="12.75">
      <c r="K568" s="122"/>
      <c r="S568" s="122"/>
    </row>
    <row r="569" spans="11:19" s="75" customFormat="1" ht="12.75">
      <c r="K569" s="122"/>
      <c r="S569" s="122"/>
    </row>
    <row r="570" spans="11:19" s="75" customFormat="1" ht="12.75">
      <c r="K570" s="122"/>
      <c r="S570" s="122"/>
    </row>
    <row r="571" spans="11:19" s="75" customFormat="1" ht="12.75">
      <c r="K571" s="122"/>
      <c r="S571" s="122"/>
    </row>
    <row r="572" spans="11:19" s="75" customFormat="1" ht="12.75">
      <c r="K572" s="122"/>
      <c r="S572" s="122"/>
    </row>
    <row r="573" spans="11:19" s="75" customFormat="1" ht="12.75">
      <c r="K573" s="122"/>
      <c r="S573" s="122"/>
    </row>
    <row r="574" spans="11:19" s="75" customFormat="1" ht="12.75">
      <c r="K574" s="122"/>
      <c r="S574" s="122"/>
    </row>
    <row r="575" spans="11:19" s="75" customFormat="1" ht="12.75">
      <c r="K575" s="122"/>
      <c r="S575" s="122"/>
    </row>
    <row r="576" spans="11:19" s="75" customFormat="1" ht="12.75">
      <c r="K576" s="122"/>
      <c r="S576" s="122"/>
    </row>
    <row r="577" spans="11:19" s="75" customFormat="1" ht="12.75">
      <c r="K577" s="122"/>
      <c r="S577" s="122"/>
    </row>
    <row r="578" spans="11:19" s="75" customFormat="1" ht="12.75">
      <c r="K578" s="122"/>
      <c r="S578" s="122"/>
    </row>
    <row r="579" spans="11:19" s="75" customFormat="1" ht="12.75">
      <c r="K579" s="122"/>
      <c r="S579" s="122"/>
    </row>
    <row r="580" spans="11:19" s="75" customFormat="1" ht="12.75">
      <c r="K580" s="122"/>
      <c r="S580" s="122"/>
    </row>
    <row r="581" spans="11:19" s="75" customFormat="1" ht="12.75">
      <c r="K581" s="122"/>
      <c r="S581" s="122"/>
    </row>
    <row r="582" spans="11:19" s="75" customFormat="1" ht="12.75">
      <c r="K582" s="122"/>
      <c r="S582" s="122"/>
    </row>
    <row r="583" spans="11:19" s="75" customFormat="1" ht="12.75">
      <c r="K583" s="122"/>
      <c r="S583" s="122"/>
    </row>
    <row r="584" spans="11:19" s="75" customFormat="1" ht="12.75">
      <c r="K584" s="122"/>
      <c r="S584" s="122"/>
    </row>
    <row r="585" spans="11:19" s="75" customFormat="1" ht="12.75">
      <c r="K585" s="122"/>
      <c r="S585" s="122"/>
    </row>
    <row r="586" spans="11:19" s="75" customFormat="1" ht="12.75">
      <c r="K586" s="122"/>
      <c r="S586" s="122"/>
    </row>
    <row r="587" spans="11:19" s="75" customFormat="1" ht="12.75">
      <c r="K587" s="122"/>
      <c r="S587" s="122"/>
    </row>
    <row r="588" spans="11:19" s="75" customFormat="1" ht="12.75">
      <c r="K588" s="122"/>
      <c r="S588" s="122"/>
    </row>
    <row r="589" spans="11:19" s="75" customFormat="1" ht="12.75">
      <c r="K589" s="122"/>
      <c r="S589" s="122"/>
    </row>
    <row r="590" spans="11:19" s="75" customFormat="1" ht="12.75">
      <c r="K590" s="122"/>
      <c r="S590" s="122"/>
    </row>
    <row r="591" spans="11:19" s="75" customFormat="1" ht="12.75">
      <c r="K591" s="122"/>
      <c r="S591" s="122"/>
    </row>
    <row r="592" spans="11:19" s="75" customFormat="1" ht="12.75">
      <c r="K592" s="122"/>
      <c r="S592" s="122"/>
    </row>
    <row r="593" spans="11:19" s="75" customFormat="1" ht="12.75">
      <c r="K593" s="122"/>
      <c r="S593" s="122"/>
    </row>
    <row r="594" spans="11:19" s="75" customFormat="1" ht="12.75">
      <c r="K594" s="122"/>
      <c r="S594" s="122"/>
    </row>
    <row r="595" spans="11:19" s="75" customFormat="1" ht="12.75">
      <c r="K595" s="122"/>
      <c r="S595" s="122"/>
    </row>
    <row r="596" spans="11:19" s="75" customFormat="1" ht="12.75">
      <c r="K596" s="122"/>
      <c r="S596" s="122"/>
    </row>
    <row r="597" spans="11:19" s="75" customFormat="1" ht="12.75">
      <c r="K597" s="122"/>
      <c r="S597" s="122"/>
    </row>
    <row r="598" spans="11:19" s="75" customFormat="1" ht="12.75">
      <c r="K598" s="122"/>
      <c r="S598" s="122"/>
    </row>
    <row r="599" spans="11:19" s="75" customFormat="1" ht="12.75">
      <c r="K599" s="122"/>
      <c r="S599" s="122"/>
    </row>
    <row r="600" spans="11:19" s="75" customFormat="1" ht="12.75">
      <c r="K600" s="122"/>
      <c r="S600" s="122"/>
    </row>
    <row r="601" spans="11:19" s="75" customFormat="1" ht="12.75">
      <c r="K601" s="122"/>
      <c r="S601" s="122"/>
    </row>
    <row r="602" spans="11:19" s="75" customFormat="1" ht="12.75">
      <c r="K602" s="122"/>
      <c r="S602" s="122"/>
    </row>
    <row r="603" spans="11:19" s="75" customFormat="1" ht="12.75">
      <c r="K603" s="122"/>
      <c r="S603" s="122"/>
    </row>
    <row r="604" spans="11:19" s="75" customFormat="1" ht="12.75">
      <c r="K604" s="122"/>
      <c r="S604" s="122"/>
    </row>
    <row r="605" spans="11:19" s="75" customFormat="1" ht="12.75">
      <c r="K605" s="122"/>
      <c r="S605" s="122"/>
    </row>
    <row r="606" spans="11:19" s="75" customFormat="1" ht="12.75">
      <c r="K606" s="122"/>
      <c r="S606" s="122"/>
    </row>
    <row r="607" spans="11:19" s="75" customFormat="1" ht="12.75">
      <c r="K607" s="122"/>
      <c r="S607" s="122"/>
    </row>
    <row r="608" spans="11:19" s="75" customFormat="1" ht="12.75">
      <c r="K608" s="122"/>
      <c r="S608" s="122"/>
    </row>
    <row r="609" spans="11:19" s="75" customFormat="1" ht="12.75">
      <c r="K609" s="122"/>
      <c r="S609" s="122"/>
    </row>
    <row r="610" spans="11:19" s="75" customFormat="1" ht="12.75">
      <c r="K610" s="122"/>
      <c r="S610" s="122"/>
    </row>
    <row r="611" spans="11:19" s="75" customFormat="1" ht="12.75">
      <c r="K611" s="122"/>
      <c r="S611" s="122"/>
    </row>
    <row r="612" spans="11:19" s="75" customFormat="1" ht="12.75">
      <c r="K612" s="122"/>
      <c r="S612" s="122"/>
    </row>
    <row r="613" spans="11:19" s="75" customFormat="1" ht="12.75">
      <c r="K613" s="122"/>
      <c r="S613" s="122"/>
    </row>
    <row r="614" spans="11:19" s="75" customFormat="1" ht="12.75">
      <c r="K614" s="122"/>
      <c r="S614" s="122"/>
    </row>
    <row r="615" spans="11:19" s="75" customFormat="1" ht="12.75">
      <c r="K615" s="122"/>
      <c r="S615" s="122"/>
    </row>
    <row r="616" spans="11:19" s="75" customFormat="1" ht="12.75">
      <c r="K616" s="122"/>
      <c r="S616" s="122"/>
    </row>
    <row r="617" spans="11:19" s="75" customFormat="1" ht="12.75">
      <c r="K617" s="122"/>
      <c r="S617" s="122"/>
    </row>
    <row r="618" spans="11:19" s="75" customFormat="1" ht="12.75">
      <c r="K618" s="122"/>
      <c r="S618" s="122"/>
    </row>
    <row r="619" spans="11:19" s="75" customFormat="1" ht="12.75">
      <c r="K619" s="122"/>
      <c r="S619" s="122"/>
    </row>
    <row r="620" spans="11:19" s="75" customFormat="1" ht="12.75">
      <c r="K620" s="122"/>
      <c r="S620" s="122"/>
    </row>
    <row r="621" spans="11:19" s="75" customFormat="1" ht="12.75">
      <c r="K621" s="122"/>
      <c r="S621" s="122"/>
    </row>
    <row r="622" spans="11:19" s="75" customFormat="1" ht="12.75">
      <c r="K622" s="122"/>
      <c r="S622" s="122"/>
    </row>
    <row r="623" spans="11:19" s="75" customFormat="1" ht="12.75">
      <c r="K623" s="122"/>
      <c r="S623" s="122"/>
    </row>
    <row r="624" spans="11:19" s="75" customFormat="1" ht="12.75">
      <c r="K624" s="122"/>
      <c r="S624" s="122"/>
    </row>
    <row r="625" spans="11:19" s="75" customFormat="1" ht="12.75">
      <c r="K625" s="122"/>
      <c r="S625" s="122"/>
    </row>
    <row r="626" spans="11:19" s="75" customFormat="1" ht="12.75">
      <c r="K626" s="122"/>
      <c r="S626" s="122"/>
    </row>
    <row r="627" spans="11:19" s="75" customFormat="1" ht="12.75">
      <c r="K627" s="122"/>
      <c r="S627" s="122"/>
    </row>
    <row r="628" spans="11:19" s="75" customFormat="1" ht="12.75">
      <c r="K628" s="122"/>
      <c r="S628" s="122"/>
    </row>
    <row r="629" spans="11:19" s="75" customFormat="1" ht="12.75">
      <c r="K629" s="122"/>
      <c r="S629" s="122"/>
    </row>
    <row r="630" spans="11:19" s="75" customFormat="1" ht="12.75">
      <c r="K630" s="122"/>
      <c r="S630" s="122"/>
    </row>
    <row r="631" spans="11:19" s="75" customFormat="1" ht="12.75">
      <c r="K631" s="122"/>
      <c r="S631" s="122"/>
    </row>
    <row r="632" spans="11:19" s="75" customFormat="1" ht="12.75">
      <c r="K632" s="122"/>
      <c r="S632" s="122"/>
    </row>
    <row r="633" spans="11:19" s="75" customFormat="1" ht="12.75">
      <c r="K633" s="122"/>
      <c r="S633" s="122"/>
    </row>
    <row r="634" spans="11:19" s="75" customFormat="1" ht="12.75">
      <c r="K634" s="122"/>
      <c r="S634" s="122"/>
    </row>
    <row r="635" spans="11:19" s="75" customFormat="1" ht="12.75">
      <c r="K635" s="122"/>
      <c r="S635" s="122"/>
    </row>
    <row r="636" spans="11:19" s="75" customFormat="1" ht="12.75">
      <c r="K636" s="122"/>
      <c r="S636" s="122"/>
    </row>
    <row r="637" spans="11:19" s="75" customFormat="1" ht="12.75">
      <c r="K637" s="122"/>
      <c r="S637" s="122"/>
    </row>
    <row r="638" spans="11:19" s="75" customFormat="1" ht="12.75">
      <c r="K638" s="122"/>
      <c r="S638" s="122"/>
    </row>
    <row r="639" spans="11:19" s="75" customFormat="1" ht="12.75">
      <c r="K639" s="122"/>
      <c r="S639" s="122"/>
    </row>
    <row r="640" spans="11:19" s="75" customFormat="1" ht="12.75">
      <c r="K640" s="122"/>
      <c r="S640" s="122"/>
    </row>
    <row r="641" spans="11:19" s="75" customFormat="1" ht="12.75">
      <c r="K641" s="122"/>
      <c r="S641" s="122"/>
    </row>
    <row r="642" spans="11:19" s="75" customFormat="1" ht="12.75">
      <c r="K642" s="122"/>
      <c r="S642" s="122"/>
    </row>
    <row r="643" spans="11:19" s="75" customFormat="1" ht="12.75">
      <c r="K643" s="122"/>
      <c r="S643" s="122"/>
    </row>
    <row r="644" spans="11:19" s="75" customFormat="1" ht="12.75">
      <c r="K644" s="122"/>
      <c r="S644" s="122"/>
    </row>
    <row r="645" spans="11:19" s="75" customFormat="1" ht="12.75">
      <c r="K645" s="122"/>
      <c r="S645" s="122"/>
    </row>
    <row r="646" spans="11:19" s="75" customFormat="1" ht="12.75">
      <c r="K646" s="122"/>
      <c r="S646" s="122"/>
    </row>
    <row r="647" spans="11:19" s="75" customFormat="1" ht="12.75">
      <c r="K647" s="122"/>
      <c r="S647" s="122"/>
    </row>
    <row r="648" spans="11:19" s="75" customFormat="1" ht="12.75">
      <c r="K648" s="122"/>
      <c r="S648" s="122"/>
    </row>
    <row r="649" spans="11:19" s="75" customFormat="1" ht="12.75">
      <c r="K649" s="122"/>
      <c r="S649" s="122"/>
    </row>
    <row r="650" spans="11:19" s="75" customFormat="1" ht="12.75">
      <c r="K650" s="122"/>
      <c r="S650" s="122"/>
    </row>
    <row r="651" spans="11:19" s="75" customFormat="1" ht="12.75">
      <c r="K651" s="122"/>
      <c r="S651" s="122"/>
    </row>
    <row r="652" spans="11:19" s="75" customFormat="1" ht="12.75">
      <c r="K652" s="122"/>
      <c r="S652" s="122"/>
    </row>
    <row r="653" spans="11:19" s="75" customFormat="1" ht="12.75">
      <c r="K653" s="122"/>
      <c r="S653" s="122"/>
    </row>
    <row r="654" spans="11:19" s="75" customFormat="1" ht="12.75">
      <c r="K654" s="122"/>
      <c r="S654" s="122"/>
    </row>
    <row r="655" spans="11:19" s="75" customFormat="1" ht="12.75">
      <c r="K655" s="122"/>
      <c r="S655" s="122"/>
    </row>
    <row r="656" spans="11:19" s="75" customFormat="1" ht="12.75">
      <c r="K656" s="122"/>
      <c r="S656" s="122"/>
    </row>
    <row r="657" spans="11:19" s="75" customFormat="1" ht="12.75">
      <c r="K657" s="122"/>
      <c r="S657" s="122"/>
    </row>
    <row r="658" spans="11:19" s="75" customFormat="1" ht="12.75">
      <c r="K658" s="122"/>
      <c r="S658" s="122"/>
    </row>
    <row r="659" spans="11:19" s="75" customFormat="1" ht="12.75">
      <c r="K659" s="122"/>
      <c r="S659" s="122"/>
    </row>
    <row r="660" spans="11:19" s="75" customFormat="1" ht="12.75">
      <c r="K660" s="122"/>
      <c r="S660" s="122"/>
    </row>
    <row r="661" spans="11:19" s="75" customFormat="1" ht="12.75">
      <c r="K661" s="122"/>
      <c r="S661" s="122"/>
    </row>
    <row r="662" spans="11:19" s="75" customFormat="1" ht="12.75">
      <c r="K662" s="122"/>
      <c r="S662" s="122"/>
    </row>
    <row r="663" spans="11:19" s="75" customFormat="1" ht="12.75">
      <c r="K663" s="122"/>
      <c r="S663" s="122"/>
    </row>
    <row r="664" spans="11:19" s="75" customFormat="1" ht="12.75">
      <c r="K664" s="122"/>
      <c r="S664" s="122"/>
    </row>
    <row r="665" spans="11:19" s="75" customFormat="1" ht="12.75">
      <c r="K665" s="122"/>
      <c r="S665" s="122"/>
    </row>
    <row r="666" spans="11:19" s="75" customFormat="1" ht="12.75">
      <c r="K666" s="122"/>
      <c r="S666" s="122"/>
    </row>
    <row r="667" spans="11:19" s="75" customFormat="1" ht="12.75">
      <c r="K667" s="122"/>
      <c r="S667" s="122"/>
    </row>
    <row r="668" spans="11:19" s="75" customFormat="1" ht="12.75">
      <c r="K668" s="122"/>
      <c r="S668" s="122"/>
    </row>
    <row r="669" spans="11:19" s="75" customFormat="1" ht="12.75">
      <c r="K669" s="122"/>
      <c r="S669" s="122"/>
    </row>
    <row r="670" spans="11:19" s="75" customFormat="1" ht="12.75">
      <c r="K670" s="122"/>
      <c r="S670" s="122"/>
    </row>
    <row r="671" spans="11:19" s="75" customFormat="1" ht="12.75">
      <c r="K671" s="122"/>
      <c r="S671" s="122"/>
    </row>
    <row r="672" spans="11:19" s="75" customFormat="1" ht="12.75">
      <c r="K672" s="122"/>
      <c r="S672" s="122"/>
    </row>
    <row r="673" spans="11:19" s="75" customFormat="1" ht="12.75">
      <c r="K673" s="122"/>
      <c r="S673" s="122"/>
    </row>
    <row r="674" spans="11:19" s="75" customFormat="1" ht="12.75">
      <c r="K674" s="122"/>
      <c r="S674" s="122"/>
    </row>
    <row r="675" spans="11:19" s="75" customFormat="1" ht="12.75">
      <c r="K675" s="122"/>
      <c r="S675" s="122"/>
    </row>
    <row r="676" spans="11:19" s="75" customFormat="1" ht="12.75">
      <c r="K676" s="122"/>
      <c r="S676" s="122"/>
    </row>
    <row r="677" spans="11:19" s="75" customFormat="1" ht="12.75">
      <c r="K677" s="122"/>
      <c r="S677" s="122"/>
    </row>
    <row r="678" spans="11:19" s="75" customFormat="1" ht="12.75">
      <c r="K678" s="122"/>
      <c r="S678" s="122"/>
    </row>
    <row r="679" spans="11:19" s="75" customFormat="1" ht="12.75">
      <c r="K679" s="122"/>
      <c r="S679" s="122"/>
    </row>
    <row r="680" spans="11:19" s="75" customFormat="1" ht="12.75">
      <c r="K680" s="122"/>
      <c r="S680" s="122"/>
    </row>
    <row r="681" spans="11:19" s="75" customFormat="1" ht="12.75">
      <c r="K681" s="122"/>
      <c r="S681" s="122"/>
    </row>
    <row r="682" spans="11:19" s="75" customFormat="1" ht="12.75">
      <c r="K682" s="122"/>
      <c r="S682" s="122"/>
    </row>
    <row r="683" spans="11:19" s="75" customFormat="1" ht="12.75">
      <c r="K683" s="122"/>
      <c r="S683" s="122"/>
    </row>
    <row r="684" spans="11:19" s="75" customFormat="1" ht="12.75">
      <c r="K684" s="122"/>
      <c r="S684" s="122"/>
    </row>
    <row r="685" spans="11:19" s="75" customFormat="1" ht="12.75">
      <c r="K685" s="122"/>
      <c r="S685" s="122"/>
    </row>
    <row r="686" spans="11:19" s="75" customFormat="1" ht="12.75">
      <c r="K686" s="122"/>
      <c r="S686" s="122"/>
    </row>
    <row r="687" spans="11:19" s="75" customFormat="1" ht="12.75">
      <c r="K687" s="122"/>
      <c r="S687" s="122"/>
    </row>
    <row r="688" spans="11:19" s="75" customFormat="1" ht="12.75">
      <c r="K688" s="122"/>
      <c r="S688" s="122"/>
    </row>
    <row r="689" spans="11:19" s="75" customFormat="1" ht="12.75">
      <c r="K689" s="122"/>
      <c r="S689" s="122"/>
    </row>
    <row r="690" spans="11:19" s="75" customFormat="1" ht="12.75">
      <c r="K690" s="122"/>
      <c r="S690" s="122"/>
    </row>
    <row r="691" spans="11:19" s="75" customFormat="1" ht="12.75">
      <c r="K691" s="122"/>
      <c r="S691" s="122"/>
    </row>
    <row r="692" spans="11:19" s="75" customFormat="1" ht="12.75">
      <c r="K692" s="122"/>
      <c r="S692" s="122"/>
    </row>
    <row r="693" spans="11:19" s="75" customFormat="1" ht="12.75">
      <c r="K693" s="122"/>
      <c r="S693" s="122"/>
    </row>
    <row r="694" spans="11:19" s="75" customFormat="1" ht="12.75">
      <c r="K694" s="122"/>
      <c r="S694" s="122"/>
    </row>
    <row r="695" spans="11:19" s="75" customFormat="1" ht="12.75">
      <c r="K695" s="122"/>
      <c r="S695" s="122"/>
    </row>
    <row r="696" spans="11:19" s="75" customFormat="1" ht="12.75">
      <c r="K696" s="122"/>
      <c r="S696" s="122"/>
    </row>
    <row r="697" spans="11:19" s="75" customFormat="1" ht="12.75">
      <c r="K697" s="122"/>
      <c r="S697" s="122"/>
    </row>
    <row r="698" spans="11:19" s="75" customFormat="1" ht="12.75">
      <c r="K698" s="122"/>
      <c r="S698" s="122"/>
    </row>
    <row r="699" spans="11:19" s="75" customFormat="1" ht="12.75">
      <c r="K699" s="122"/>
      <c r="S699" s="122"/>
    </row>
    <row r="700" spans="11:19" s="75" customFormat="1" ht="12.75">
      <c r="K700" s="122"/>
      <c r="S700" s="122"/>
    </row>
    <row r="701" spans="11:19" s="75" customFormat="1" ht="12.75">
      <c r="K701" s="122"/>
      <c r="S701" s="122"/>
    </row>
    <row r="702" spans="11:19" s="75" customFormat="1" ht="12.75">
      <c r="K702" s="122"/>
      <c r="S702" s="122"/>
    </row>
    <row r="703" spans="11:19" s="75" customFormat="1" ht="12.75">
      <c r="K703" s="122"/>
      <c r="S703" s="122"/>
    </row>
    <row r="704" spans="11:19" s="75" customFormat="1" ht="12.75">
      <c r="K704" s="122"/>
      <c r="S704" s="122"/>
    </row>
    <row r="705" spans="11:19" s="75" customFormat="1" ht="12.75">
      <c r="K705" s="122"/>
      <c r="S705" s="122"/>
    </row>
    <row r="706" spans="11:19" s="75" customFormat="1" ht="12.75">
      <c r="K706" s="122"/>
      <c r="S706" s="122"/>
    </row>
    <row r="707" spans="11:19" s="75" customFormat="1" ht="12.75">
      <c r="K707" s="122"/>
      <c r="S707" s="122"/>
    </row>
    <row r="708" spans="11:19" s="75" customFormat="1" ht="12.75">
      <c r="K708" s="122"/>
      <c r="S708" s="122"/>
    </row>
    <row r="709" spans="11:19" s="75" customFormat="1" ht="12.75">
      <c r="K709" s="122"/>
      <c r="S709" s="122"/>
    </row>
    <row r="710" spans="11:19" s="75" customFormat="1" ht="12.75">
      <c r="K710" s="122"/>
      <c r="S710" s="122"/>
    </row>
    <row r="711" spans="11:19" s="75" customFormat="1" ht="12.75">
      <c r="K711" s="122"/>
      <c r="S711" s="122"/>
    </row>
    <row r="712" spans="11:19" s="75" customFormat="1" ht="12.75">
      <c r="K712" s="122"/>
      <c r="S712" s="122"/>
    </row>
    <row r="713" spans="11:19" s="75" customFormat="1" ht="12.75">
      <c r="K713" s="122"/>
      <c r="S713" s="122"/>
    </row>
    <row r="714" spans="11:19" s="75" customFormat="1" ht="12.75">
      <c r="K714" s="122"/>
      <c r="S714" s="122"/>
    </row>
    <row r="715" spans="11:19" s="75" customFormat="1" ht="12.75">
      <c r="K715" s="122"/>
      <c r="S715" s="122"/>
    </row>
    <row r="716" spans="11:19" s="75" customFormat="1" ht="12.75">
      <c r="K716" s="122"/>
      <c r="S716" s="122"/>
    </row>
    <row r="717" spans="11:19" s="75" customFormat="1" ht="12.75">
      <c r="K717" s="122"/>
      <c r="S717" s="122"/>
    </row>
    <row r="718" spans="11:19" s="75" customFormat="1" ht="12.75">
      <c r="K718" s="122"/>
      <c r="S718" s="122"/>
    </row>
    <row r="719" spans="11:19" s="75" customFormat="1" ht="12.75">
      <c r="K719" s="122"/>
      <c r="S719" s="122"/>
    </row>
    <row r="720" spans="11:19" s="75" customFormat="1" ht="12.75">
      <c r="K720" s="122"/>
      <c r="S720" s="122"/>
    </row>
    <row r="721" spans="11:19" s="75" customFormat="1" ht="12.75">
      <c r="K721" s="122"/>
      <c r="S721" s="122"/>
    </row>
    <row r="722" spans="11:19" s="75" customFormat="1" ht="12.75">
      <c r="K722" s="122"/>
      <c r="S722" s="122"/>
    </row>
    <row r="723" spans="11:19" s="75" customFormat="1" ht="12.75">
      <c r="K723" s="122"/>
      <c r="S723" s="122"/>
    </row>
    <row r="724" spans="11:19" s="75" customFormat="1" ht="12.75">
      <c r="K724" s="122"/>
      <c r="S724" s="122"/>
    </row>
    <row r="725" spans="11:19" s="75" customFormat="1" ht="12.75">
      <c r="K725" s="122"/>
      <c r="S725" s="122"/>
    </row>
    <row r="726" spans="11:19" s="75" customFormat="1" ht="12.75">
      <c r="K726" s="122"/>
      <c r="S726" s="122"/>
    </row>
    <row r="727" spans="11:19" s="75" customFormat="1" ht="12.75">
      <c r="K727" s="122"/>
      <c r="S727" s="122"/>
    </row>
    <row r="728" spans="11:19" s="75" customFormat="1" ht="12.75">
      <c r="K728" s="122"/>
      <c r="S728" s="122"/>
    </row>
    <row r="729" spans="11:19" s="75" customFormat="1" ht="12.75">
      <c r="K729" s="122"/>
      <c r="S729" s="122"/>
    </row>
    <row r="730" spans="11:19" s="75" customFormat="1" ht="12.75">
      <c r="K730" s="122"/>
      <c r="S730" s="122"/>
    </row>
    <row r="731" spans="11:19" s="75" customFormat="1" ht="12.75">
      <c r="K731" s="122"/>
      <c r="S731" s="122"/>
    </row>
    <row r="732" spans="11:19" s="75" customFormat="1" ht="12.75">
      <c r="K732" s="122"/>
      <c r="S732" s="122"/>
    </row>
    <row r="733" spans="11:19" s="75" customFormat="1" ht="12.75">
      <c r="K733" s="122"/>
      <c r="S733" s="122"/>
    </row>
    <row r="734" spans="11:19" s="75" customFormat="1" ht="12.75">
      <c r="K734" s="122"/>
      <c r="S734" s="122"/>
    </row>
    <row r="735" spans="11:19" s="75" customFormat="1" ht="12.75">
      <c r="K735" s="122"/>
      <c r="S735" s="122"/>
    </row>
    <row r="736" spans="11:19" s="75" customFormat="1" ht="12.75">
      <c r="K736" s="122"/>
      <c r="S736" s="122"/>
    </row>
    <row r="737" spans="11:19" s="75" customFormat="1" ht="12.75">
      <c r="K737" s="122"/>
      <c r="S737" s="122"/>
    </row>
    <row r="738" spans="11:19" s="75" customFormat="1" ht="12.75">
      <c r="K738" s="122"/>
      <c r="S738" s="122"/>
    </row>
    <row r="739" spans="11:19" s="75" customFormat="1" ht="12.75">
      <c r="K739" s="122"/>
      <c r="S739" s="122"/>
    </row>
    <row r="740" spans="11:19" s="75" customFormat="1" ht="12.75">
      <c r="K740" s="122"/>
      <c r="S740" s="122"/>
    </row>
    <row r="741" spans="11:19" s="75" customFormat="1" ht="12.75">
      <c r="K741" s="122"/>
      <c r="S741" s="122"/>
    </row>
    <row r="742" spans="11:19" s="75" customFormat="1" ht="12.75">
      <c r="K742" s="122"/>
      <c r="S742" s="122"/>
    </row>
    <row r="743" spans="11:19" s="75" customFormat="1" ht="12.75">
      <c r="K743" s="122"/>
      <c r="S743" s="122"/>
    </row>
    <row r="744" spans="11:19" s="75" customFormat="1" ht="12.75">
      <c r="K744" s="122"/>
      <c r="S744" s="122"/>
    </row>
    <row r="745" spans="11:19" s="75" customFormat="1" ht="12.75">
      <c r="K745" s="122"/>
      <c r="S745" s="122"/>
    </row>
    <row r="746" spans="11:19" s="75" customFormat="1" ht="12.75">
      <c r="K746" s="122"/>
      <c r="S746" s="122"/>
    </row>
    <row r="747" spans="11:19" s="75" customFormat="1" ht="12.75">
      <c r="K747" s="122"/>
      <c r="S747" s="122"/>
    </row>
    <row r="748" spans="11:19" s="75" customFormat="1" ht="12.75">
      <c r="K748" s="122"/>
      <c r="S748" s="122"/>
    </row>
    <row r="749" spans="11:19" s="75" customFormat="1" ht="12.75">
      <c r="K749" s="122"/>
      <c r="S749" s="122"/>
    </row>
    <row r="750" spans="11:19" s="75" customFormat="1" ht="12.75">
      <c r="K750" s="122"/>
      <c r="S750" s="122"/>
    </row>
    <row r="751" spans="11:19" s="75" customFormat="1" ht="12.75">
      <c r="K751" s="122"/>
      <c r="S751" s="122"/>
    </row>
    <row r="752" spans="11:19" s="75" customFormat="1" ht="12.75">
      <c r="K752" s="122"/>
      <c r="S752" s="122"/>
    </row>
    <row r="753" spans="11:19" s="75" customFormat="1" ht="12.75">
      <c r="K753" s="122"/>
      <c r="S753" s="122"/>
    </row>
    <row r="754" spans="11:19" s="75" customFormat="1" ht="12.75">
      <c r="K754" s="122"/>
      <c r="S754" s="122"/>
    </row>
    <row r="755" spans="11:19" s="75" customFormat="1" ht="12.75">
      <c r="K755" s="122"/>
      <c r="S755" s="122"/>
    </row>
    <row r="756" spans="11:19" s="75" customFormat="1" ht="12.75">
      <c r="K756" s="122"/>
      <c r="S756" s="122"/>
    </row>
    <row r="757" spans="11:19" s="75" customFormat="1" ht="12.75">
      <c r="K757" s="122"/>
      <c r="S757" s="122"/>
    </row>
    <row r="758" spans="11:19" s="75" customFormat="1" ht="12.75">
      <c r="K758" s="122"/>
      <c r="S758" s="122"/>
    </row>
    <row r="759" spans="11:19" s="75" customFormat="1" ht="12.75">
      <c r="K759" s="122"/>
      <c r="S759" s="122"/>
    </row>
    <row r="760" spans="11:19" s="75" customFormat="1" ht="12.75">
      <c r="K760" s="122"/>
      <c r="S760" s="122"/>
    </row>
    <row r="761" spans="11:19" s="75" customFormat="1" ht="12.75">
      <c r="K761" s="122"/>
      <c r="S761" s="122"/>
    </row>
    <row r="762" spans="11:19" s="75" customFormat="1" ht="12.75">
      <c r="K762" s="122"/>
      <c r="S762" s="122"/>
    </row>
    <row r="763" spans="11:19" s="75" customFormat="1" ht="12.75">
      <c r="K763" s="122"/>
      <c r="S763" s="122"/>
    </row>
    <row r="764" spans="11:19" s="75" customFormat="1" ht="12.75">
      <c r="K764" s="122"/>
      <c r="S764" s="122"/>
    </row>
    <row r="765" spans="11:19" s="75" customFormat="1" ht="12.75">
      <c r="K765" s="122"/>
      <c r="S765" s="122"/>
    </row>
    <row r="766" spans="11:19" s="75" customFormat="1" ht="12.75">
      <c r="K766" s="122"/>
      <c r="S766" s="122"/>
    </row>
    <row r="767" spans="11:19" s="75" customFormat="1" ht="12.75">
      <c r="K767" s="122"/>
      <c r="S767" s="122"/>
    </row>
    <row r="768" spans="11:19" s="75" customFormat="1" ht="12.75">
      <c r="K768" s="122"/>
      <c r="S768" s="122"/>
    </row>
    <row r="769" spans="11:19" s="75" customFormat="1" ht="12.75">
      <c r="K769" s="122"/>
      <c r="S769" s="122"/>
    </row>
    <row r="770" spans="11:19" s="75" customFormat="1" ht="12.75">
      <c r="K770" s="122"/>
      <c r="S770" s="122"/>
    </row>
    <row r="771" spans="11:19" s="75" customFormat="1" ht="12.75">
      <c r="K771" s="122"/>
      <c r="S771" s="122"/>
    </row>
    <row r="772" spans="11:19" s="75" customFormat="1" ht="12.75">
      <c r="K772" s="122"/>
      <c r="S772" s="122"/>
    </row>
    <row r="773" spans="11:19" s="75" customFormat="1" ht="12.75">
      <c r="K773" s="122"/>
      <c r="S773" s="122"/>
    </row>
    <row r="774" spans="11:19" s="75" customFormat="1" ht="12.75">
      <c r="K774" s="122"/>
      <c r="S774" s="122"/>
    </row>
    <row r="775" spans="11:19" s="75" customFormat="1" ht="12.75">
      <c r="K775" s="122"/>
      <c r="S775" s="122"/>
    </row>
    <row r="776" spans="11:19" s="75" customFormat="1" ht="12.75">
      <c r="K776" s="122"/>
      <c r="S776" s="122"/>
    </row>
    <row r="777" spans="11:19" s="75" customFormat="1" ht="12.75">
      <c r="K777" s="122"/>
      <c r="S777" s="122"/>
    </row>
    <row r="778" spans="11:19" s="75" customFormat="1" ht="12.75">
      <c r="K778" s="122"/>
      <c r="S778" s="122"/>
    </row>
    <row r="779" spans="11:19" s="75" customFormat="1" ht="12.75">
      <c r="K779" s="122"/>
      <c r="S779" s="122"/>
    </row>
    <row r="780" spans="11:19" s="75" customFormat="1" ht="12.75">
      <c r="K780" s="122"/>
      <c r="S780" s="122"/>
    </row>
    <row r="781" spans="11:19" s="75" customFormat="1" ht="12.75">
      <c r="K781" s="122"/>
      <c r="S781" s="122"/>
    </row>
    <row r="782" spans="11:19" s="75" customFormat="1" ht="12.75">
      <c r="K782" s="122"/>
      <c r="S782" s="122"/>
    </row>
    <row r="783" spans="11:19" s="75" customFormat="1" ht="12.75">
      <c r="K783" s="122"/>
      <c r="S783" s="122"/>
    </row>
    <row r="784" spans="11:19" s="75" customFormat="1" ht="12.75">
      <c r="K784" s="122"/>
      <c r="S784" s="122"/>
    </row>
    <row r="785" spans="11:19" s="75" customFormat="1" ht="12.75">
      <c r="K785" s="122"/>
      <c r="S785" s="122"/>
    </row>
    <row r="786" spans="11:19" s="75" customFormat="1" ht="12.75">
      <c r="K786" s="122"/>
      <c r="S786" s="122"/>
    </row>
    <row r="787" spans="11:19" s="75" customFormat="1" ht="12.75">
      <c r="K787" s="122"/>
      <c r="S787" s="122"/>
    </row>
    <row r="788" spans="11:19" s="75" customFormat="1" ht="12.75">
      <c r="K788" s="122"/>
      <c r="S788" s="122"/>
    </row>
    <row r="789" spans="11:19" s="75" customFormat="1" ht="12.75">
      <c r="K789" s="122"/>
      <c r="S789" s="122"/>
    </row>
    <row r="790" spans="11:19" s="75" customFormat="1" ht="12.75">
      <c r="K790" s="122"/>
      <c r="S790" s="122"/>
    </row>
    <row r="791" spans="11:19" s="75" customFormat="1" ht="12.75">
      <c r="K791" s="122"/>
      <c r="S791" s="122"/>
    </row>
    <row r="792" spans="11:19" s="75" customFormat="1" ht="12.75">
      <c r="K792" s="122"/>
      <c r="S792" s="122"/>
    </row>
    <row r="793" spans="11:19" s="75" customFormat="1" ht="12.75">
      <c r="K793" s="122"/>
      <c r="S793" s="122"/>
    </row>
    <row r="794" spans="11:19" s="75" customFormat="1" ht="12.75">
      <c r="K794" s="122"/>
      <c r="S794" s="122"/>
    </row>
    <row r="795" spans="11:19" s="75" customFormat="1" ht="12.75">
      <c r="K795" s="122"/>
      <c r="S795" s="122"/>
    </row>
    <row r="796" spans="11:19" s="75" customFormat="1" ht="12.75">
      <c r="K796" s="122"/>
      <c r="S796" s="122"/>
    </row>
    <row r="797" spans="11:19" s="75" customFormat="1" ht="12.75">
      <c r="K797" s="122"/>
      <c r="S797" s="122"/>
    </row>
    <row r="798" spans="11:19" s="75" customFormat="1" ht="12.75">
      <c r="K798" s="122"/>
      <c r="S798" s="122"/>
    </row>
    <row r="799" spans="11:19" s="75" customFormat="1" ht="12.75">
      <c r="K799" s="122"/>
      <c r="S799" s="122"/>
    </row>
    <row r="800" spans="11:19" s="75" customFormat="1" ht="12.75">
      <c r="K800" s="122"/>
      <c r="S800" s="122"/>
    </row>
    <row r="801" spans="11:19" s="75" customFormat="1" ht="12.75">
      <c r="K801" s="122"/>
      <c r="S801" s="122"/>
    </row>
    <row r="802" spans="11:19" s="75" customFormat="1" ht="12.75">
      <c r="K802" s="122"/>
      <c r="S802" s="122"/>
    </row>
    <row r="803" spans="11:19" s="75" customFormat="1" ht="12.75">
      <c r="K803" s="122"/>
      <c r="S803" s="122"/>
    </row>
    <row r="804" spans="11:19" s="75" customFormat="1" ht="12.75">
      <c r="K804" s="122"/>
      <c r="S804" s="122"/>
    </row>
    <row r="805" spans="11:19" s="75" customFormat="1" ht="12.75">
      <c r="K805" s="122"/>
      <c r="S805" s="122"/>
    </row>
    <row r="806" spans="11:19" s="75" customFormat="1" ht="12.75">
      <c r="K806" s="122"/>
      <c r="S806" s="122"/>
    </row>
    <row r="807" spans="11:19" s="75" customFormat="1" ht="12.75">
      <c r="K807" s="122"/>
      <c r="S807" s="122"/>
    </row>
    <row r="808" spans="11:19" s="75" customFormat="1" ht="12.75">
      <c r="K808" s="122"/>
      <c r="S808" s="122"/>
    </row>
    <row r="809" spans="11:19" s="75" customFormat="1" ht="12.75">
      <c r="K809" s="122"/>
      <c r="S809" s="122"/>
    </row>
    <row r="810" spans="11:19" s="75" customFormat="1" ht="12.75">
      <c r="K810" s="122"/>
      <c r="S810" s="122"/>
    </row>
    <row r="811" spans="11:19" s="75" customFormat="1" ht="12.75">
      <c r="K811" s="122"/>
      <c r="S811" s="122"/>
    </row>
    <row r="812" spans="11:19" s="75" customFormat="1" ht="12.75">
      <c r="K812" s="122"/>
      <c r="S812" s="122"/>
    </row>
    <row r="813" spans="11:19" s="75" customFormat="1" ht="12.75">
      <c r="K813" s="122"/>
      <c r="S813" s="122"/>
    </row>
    <row r="814" spans="11:19" s="75" customFormat="1" ht="12.75">
      <c r="K814" s="122"/>
      <c r="S814" s="122"/>
    </row>
    <row r="815" spans="11:19" s="75" customFormat="1" ht="12.75">
      <c r="K815" s="122"/>
      <c r="S815" s="122"/>
    </row>
    <row r="816" spans="11:19" s="75" customFormat="1" ht="12.75">
      <c r="K816" s="122"/>
      <c r="S816" s="122"/>
    </row>
    <row r="817" spans="11:19" s="75" customFormat="1" ht="12.75">
      <c r="K817" s="122"/>
      <c r="S817" s="122"/>
    </row>
    <row r="818" spans="11:19" s="75" customFormat="1" ht="12.75">
      <c r="K818" s="122"/>
      <c r="S818" s="122"/>
    </row>
    <row r="819" spans="11:19" s="75" customFormat="1" ht="12.75">
      <c r="K819" s="122"/>
      <c r="S819" s="122"/>
    </row>
    <row r="820" spans="11:19" s="75" customFormat="1" ht="12.75">
      <c r="K820" s="122"/>
      <c r="S820" s="122"/>
    </row>
    <row r="821" spans="11:19" s="75" customFormat="1" ht="12.75">
      <c r="K821" s="122"/>
      <c r="S821" s="122"/>
    </row>
    <row r="822" spans="11:19" s="75" customFormat="1" ht="12.75">
      <c r="K822" s="122"/>
      <c r="S822" s="122"/>
    </row>
    <row r="823" spans="11:19" s="75" customFormat="1" ht="12.75">
      <c r="K823" s="122"/>
      <c r="S823" s="122"/>
    </row>
    <row r="824" spans="11:19" s="75" customFormat="1" ht="12.75">
      <c r="K824" s="122"/>
      <c r="S824" s="122"/>
    </row>
    <row r="825" spans="11:19" s="75" customFormat="1" ht="12.75">
      <c r="K825" s="122"/>
      <c r="S825" s="122"/>
    </row>
    <row r="826" spans="11:19" s="75" customFormat="1" ht="12.75">
      <c r="K826" s="122"/>
      <c r="S826" s="122"/>
    </row>
    <row r="827" spans="11:19" s="75" customFormat="1" ht="12.75">
      <c r="K827" s="122"/>
      <c r="S827" s="122"/>
    </row>
    <row r="828" spans="11:19" s="75" customFormat="1" ht="12.75">
      <c r="K828" s="122"/>
      <c r="S828" s="122"/>
    </row>
    <row r="829" spans="11:19" s="75" customFormat="1" ht="12.75">
      <c r="K829" s="122"/>
      <c r="S829" s="122"/>
    </row>
    <row r="830" spans="11:19" s="75" customFormat="1" ht="12.75">
      <c r="K830" s="122"/>
      <c r="S830" s="122"/>
    </row>
    <row r="831" spans="11:19" s="75" customFormat="1" ht="12.75">
      <c r="K831" s="122"/>
      <c r="S831" s="122"/>
    </row>
    <row r="832" spans="11:19" s="75" customFormat="1" ht="12.75">
      <c r="K832" s="122"/>
      <c r="S832" s="122"/>
    </row>
    <row r="833" spans="11:19" s="75" customFormat="1" ht="12.75">
      <c r="K833" s="122"/>
      <c r="S833" s="122"/>
    </row>
    <row r="834" spans="11:19" s="75" customFormat="1" ht="12.75">
      <c r="K834" s="122"/>
      <c r="S834" s="122"/>
    </row>
    <row r="835" spans="11:19" s="75" customFormat="1" ht="12.75">
      <c r="K835" s="122"/>
      <c r="S835" s="122"/>
    </row>
    <row r="836" spans="11:19" s="75" customFormat="1" ht="12.75">
      <c r="K836" s="122"/>
      <c r="S836" s="122"/>
    </row>
    <row r="837" spans="11:19" s="75" customFormat="1" ht="12.75">
      <c r="K837" s="122"/>
      <c r="S837" s="122"/>
    </row>
    <row r="838" spans="11:19" s="75" customFormat="1" ht="12.75">
      <c r="K838" s="122"/>
      <c r="S838" s="122"/>
    </row>
    <row r="839" spans="11:19" s="75" customFormat="1" ht="12.75">
      <c r="K839" s="122"/>
      <c r="S839" s="122"/>
    </row>
    <row r="840" spans="11:19" s="75" customFormat="1" ht="12.75">
      <c r="K840" s="122"/>
      <c r="S840" s="122"/>
    </row>
    <row r="841" spans="11:19" s="75" customFormat="1" ht="12.75">
      <c r="K841" s="122"/>
      <c r="S841" s="122"/>
    </row>
    <row r="842" spans="11:19" s="75" customFormat="1" ht="12.75">
      <c r="K842" s="122"/>
      <c r="S842" s="122"/>
    </row>
    <row r="843" spans="11:19" s="75" customFormat="1" ht="12.75">
      <c r="K843" s="122"/>
      <c r="S843" s="122"/>
    </row>
    <row r="844" spans="11:19" s="75" customFormat="1" ht="12.75">
      <c r="K844" s="122"/>
      <c r="S844" s="122"/>
    </row>
    <row r="845" spans="11:19" s="75" customFormat="1" ht="12.75">
      <c r="K845" s="122"/>
      <c r="S845" s="122"/>
    </row>
    <row r="846" spans="11:19" s="75" customFormat="1" ht="12.75">
      <c r="K846" s="122"/>
      <c r="S846" s="122"/>
    </row>
    <row r="847" spans="11:19" s="75" customFormat="1" ht="12.75">
      <c r="K847" s="122"/>
      <c r="S847" s="122"/>
    </row>
    <row r="848" spans="11:19" s="75" customFormat="1" ht="12.75">
      <c r="K848" s="122"/>
      <c r="S848" s="122"/>
    </row>
    <row r="849" spans="11:19" s="75" customFormat="1" ht="12.75">
      <c r="K849" s="122"/>
      <c r="S849" s="122"/>
    </row>
    <row r="850" spans="11:19" s="75" customFormat="1" ht="12.75">
      <c r="K850" s="122"/>
      <c r="S850" s="122"/>
    </row>
    <row r="851" spans="11:19" s="75" customFormat="1" ht="12.75">
      <c r="K851" s="122"/>
      <c r="S851" s="122"/>
    </row>
    <row r="852" spans="11:19" s="75" customFormat="1" ht="12.75">
      <c r="K852" s="122"/>
      <c r="S852" s="122"/>
    </row>
    <row r="853" spans="11:19" s="75" customFormat="1" ht="12.75">
      <c r="K853" s="122"/>
      <c r="S853" s="122"/>
    </row>
    <row r="854" spans="11:19" s="75" customFormat="1" ht="12.75">
      <c r="K854" s="122"/>
      <c r="S854" s="122"/>
    </row>
    <row r="855" spans="11:19" s="75" customFormat="1" ht="12.75">
      <c r="K855" s="122"/>
      <c r="S855" s="122"/>
    </row>
    <row r="856" spans="11:19" s="75" customFormat="1" ht="12.75">
      <c r="K856" s="122"/>
      <c r="S856" s="122"/>
    </row>
    <row r="857" spans="11:19" s="75" customFormat="1" ht="12.75">
      <c r="K857" s="122"/>
      <c r="S857" s="122"/>
    </row>
    <row r="858" spans="11:19" s="75" customFormat="1" ht="12.75">
      <c r="K858" s="122"/>
      <c r="S858" s="122"/>
    </row>
    <row r="859" spans="11:19" s="75" customFormat="1" ht="12.75">
      <c r="K859" s="122"/>
      <c r="S859" s="122"/>
    </row>
    <row r="860" spans="11:19" s="75" customFormat="1" ht="12.75">
      <c r="K860" s="122"/>
      <c r="S860" s="122"/>
    </row>
    <row r="861" spans="11:19" s="75" customFormat="1" ht="12.75">
      <c r="K861" s="122"/>
      <c r="S861" s="122"/>
    </row>
    <row r="862" spans="11:19" s="75" customFormat="1" ht="12.75">
      <c r="K862" s="122"/>
      <c r="S862" s="122"/>
    </row>
    <row r="863" spans="11:19" s="75" customFormat="1" ht="12.75">
      <c r="K863" s="122"/>
      <c r="S863" s="122"/>
    </row>
    <row r="864" spans="11:19" s="75" customFormat="1" ht="12.75">
      <c r="K864" s="122"/>
      <c r="S864" s="122"/>
    </row>
    <row r="865" spans="11:19" s="75" customFormat="1" ht="12.75">
      <c r="K865" s="122"/>
      <c r="S865" s="122"/>
    </row>
    <row r="866" spans="11:19" s="75" customFormat="1" ht="12.75">
      <c r="K866" s="122"/>
      <c r="S866" s="122"/>
    </row>
    <row r="867" spans="11:19" s="75" customFormat="1" ht="12.75">
      <c r="K867" s="122"/>
      <c r="S867" s="122"/>
    </row>
    <row r="868" spans="11:19" s="75" customFormat="1" ht="12.75">
      <c r="K868" s="122"/>
      <c r="S868" s="122"/>
    </row>
    <row r="869" spans="11:19" s="75" customFormat="1" ht="12.75">
      <c r="K869" s="122"/>
      <c r="S869" s="122"/>
    </row>
    <row r="870" spans="11:19" s="75" customFormat="1" ht="12.75">
      <c r="K870" s="122"/>
      <c r="S870" s="122"/>
    </row>
    <row r="871" spans="11:19" s="75" customFormat="1" ht="12.75">
      <c r="K871" s="122"/>
      <c r="S871" s="122"/>
    </row>
    <row r="872" spans="11:19" s="75" customFormat="1" ht="12.75">
      <c r="K872" s="122"/>
      <c r="S872" s="122"/>
    </row>
    <row r="873" spans="11:19" s="75" customFormat="1" ht="12.75">
      <c r="K873" s="122"/>
      <c r="S873" s="122"/>
    </row>
    <row r="874" spans="11:19" s="75" customFormat="1" ht="12.75">
      <c r="K874" s="122"/>
      <c r="S874" s="122"/>
    </row>
    <row r="875" spans="11:19" s="75" customFormat="1" ht="12.75">
      <c r="K875" s="122"/>
      <c r="S875" s="122"/>
    </row>
    <row r="876" spans="11:19" s="75" customFormat="1" ht="12.75">
      <c r="K876" s="122"/>
      <c r="S876" s="122"/>
    </row>
    <row r="877" spans="11:19" s="75" customFormat="1" ht="12.75">
      <c r="K877" s="122"/>
      <c r="S877" s="122"/>
    </row>
    <row r="878" spans="11:19" s="75" customFormat="1" ht="12.75">
      <c r="K878" s="122"/>
      <c r="S878" s="122"/>
    </row>
    <row r="879" spans="11:19" s="75" customFormat="1" ht="12.75">
      <c r="K879" s="122"/>
      <c r="S879" s="122"/>
    </row>
    <row r="880" spans="11:19" s="75" customFormat="1" ht="12.75">
      <c r="K880" s="122"/>
      <c r="S880" s="122"/>
    </row>
    <row r="881" spans="11:19" s="75" customFormat="1" ht="12.75">
      <c r="K881" s="122"/>
      <c r="S881" s="122"/>
    </row>
    <row r="882" spans="11:19" s="75" customFormat="1" ht="12.75">
      <c r="K882" s="122"/>
      <c r="S882" s="122"/>
    </row>
    <row r="883" spans="11:19" s="75" customFormat="1" ht="12.75">
      <c r="K883" s="122"/>
      <c r="S883" s="122"/>
    </row>
    <row r="884" spans="11:19" s="75" customFormat="1" ht="12.75">
      <c r="K884" s="122"/>
      <c r="S884" s="122"/>
    </row>
    <row r="885" spans="11:19" s="75" customFormat="1" ht="12.75">
      <c r="K885" s="122"/>
      <c r="S885" s="122"/>
    </row>
    <row r="886" spans="11:19" s="75" customFormat="1" ht="12.75">
      <c r="K886" s="122"/>
      <c r="S886" s="122"/>
    </row>
    <row r="887" spans="11:19" s="75" customFormat="1" ht="12.75">
      <c r="K887" s="122"/>
      <c r="S887" s="122"/>
    </row>
    <row r="888" spans="11:19" s="75" customFormat="1" ht="12.75">
      <c r="K888" s="122"/>
      <c r="S888" s="122"/>
    </row>
    <row r="889" spans="11:19" s="75" customFormat="1" ht="12.75">
      <c r="K889" s="122"/>
      <c r="S889" s="122"/>
    </row>
    <row r="890" spans="11:19" s="75" customFormat="1" ht="12.75">
      <c r="K890" s="122"/>
      <c r="S890" s="122"/>
    </row>
    <row r="891" spans="11:19" s="75" customFormat="1" ht="12.75">
      <c r="K891" s="122"/>
      <c r="S891" s="122"/>
    </row>
    <row r="892" spans="11:19" s="75" customFormat="1" ht="12.75">
      <c r="K892" s="122"/>
      <c r="S892" s="122"/>
    </row>
    <row r="893" spans="11:19" s="75" customFormat="1" ht="12.75">
      <c r="K893" s="122"/>
      <c r="S893" s="122"/>
    </row>
    <row r="894" spans="11:19" s="75" customFormat="1" ht="12.75">
      <c r="K894" s="122"/>
      <c r="S894" s="122"/>
    </row>
    <row r="895" spans="11:19" s="75" customFormat="1" ht="12.75">
      <c r="K895" s="122"/>
      <c r="S895" s="122"/>
    </row>
    <row r="896" spans="11:19" s="75" customFormat="1" ht="12.75">
      <c r="K896" s="122"/>
      <c r="S896" s="122"/>
    </row>
    <row r="897" spans="11:19" s="75" customFormat="1" ht="12.75">
      <c r="K897" s="122"/>
      <c r="S897" s="122"/>
    </row>
    <row r="898" spans="11:19" s="75" customFormat="1" ht="12.75">
      <c r="K898" s="122"/>
      <c r="S898" s="122"/>
    </row>
    <row r="899" spans="11:19" s="75" customFormat="1" ht="12.75">
      <c r="K899" s="122"/>
      <c r="S899" s="122"/>
    </row>
    <row r="900" spans="11:19" s="75" customFormat="1" ht="12.75">
      <c r="K900" s="122"/>
      <c r="S900" s="122"/>
    </row>
    <row r="901" spans="11:19" s="75" customFormat="1" ht="12.75">
      <c r="K901" s="122"/>
      <c r="S901" s="122"/>
    </row>
    <row r="902" spans="11:19" s="75" customFormat="1" ht="12.75">
      <c r="K902" s="122"/>
      <c r="S902" s="122"/>
    </row>
    <row r="903" spans="11:19" s="75" customFormat="1" ht="12.75">
      <c r="K903" s="122"/>
      <c r="S903" s="122"/>
    </row>
    <row r="904" spans="11:19" s="75" customFormat="1" ht="12.75">
      <c r="K904" s="122"/>
      <c r="S904" s="122"/>
    </row>
    <row r="905" spans="11:19" s="75" customFormat="1" ht="12.75">
      <c r="K905" s="122"/>
      <c r="S905" s="122"/>
    </row>
    <row r="906" spans="11:19" s="75" customFormat="1" ht="12.75">
      <c r="K906" s="122"/>
      <c r="S906" s="122"/>
    </row>
    <row r="907" spans="11:19" s="75" customFormat="1" ht="12.75">
      <c r="K907" s="122"/>
      <c r="S907" s="122"/>
    </row>
    <row r="908" spans="11:19" s="75" customFormat="1" ht="12.75">
      <c r="K908" s="122"/>
      <c r="S908" s="122"/>
    </row>
    <row r="909" spans="11:19" s="75" customFormat="1" ht="12.75">
      <c r="K909" s="122"/>
      <c r="S909" s="122"/>
    </row>
    <row r="910" spans="11:19" s="75" customFormat="1" ht="12.75">
      <c r="K910" s="122"/>
      <c r="S910" s="122"/>
    </row>
    <row r="911" spans="11:19" s="75" customFormat="1" ht="12.75">
      <c r="K911" s="122"/>
      <c r="S911" s="122"/>
    </row>
    <row r="912" spans="11:19" s="75" customFormat="1" ht="12.75">
      <c r="K912" s="122"/>
      <c r="S912" s="122"/>
    </row>
    <row r="913" spans="11:19" s="75" customFormat="1" ht="12.75">
      <c r="K913" s="122"/>
      <c r="S913" s="122"/>
    </row>
    <row r="914" spans="11:19" s="75" customFormat="1" ht="12.75">
      <c r="K914" s="122"/>
      <c r="S914" s="122"/>
    </row>
    <row r="915" spans="11:19" s="75" customFormat="1" ht="12.75">
      <c r="K915" s="122"/>
      <c r="S915" s="122"/>
    </row>
    <row r="916" spans="11:19" s="75" customFormat="1" ht="12.75">
      <c r="K916" s="122"/>
      <c r="S916" s="122"/>
    </row>
    <row r="917" spans="11:19" s="75" customFormat="1" ht="12.75">
      <c r="K917" s="122"/>
      <c r="S917" s="122"/>
    </row>
    <row r="918" spans="11:19" s="75" customFormat="1" ht="12.75">
      <c r="K918" s="122"/>
      <c r="S918" s="122"/>
    </row>
    <row r="919" spans="11:19" s="75" customFormat="1" ht="12.75">
      <c r="K919" s="122"/>
      <c r="S919" s="122"/>
    </row>
    <row r="920" spans="11:19" s="75" customFormat="1" ht="12.75">
      <c r="K920" s="122"/>
      <c r="S920" s="122"/>
    </row>
    <row r="921" spans="11:19" s="75" customFormat="1" ht="12.75">
      <c r="K921" s="122"/>
      <c r="S921" s="122"/>
    </row>
    <row r="922" spans="11:19" s="75" customFormat="1" ht="12.75">
      <c r="K922" s="122"/>
      <c r="S922" s="122"/>
    </row>
    <row r="923" spans="11:19" s="75" customFormat="1" ht="12.75">
      <c r="K923" s="122"/>
      <c r="S923" s="122"/>
    </row>
    <row r="924" spans="11:19" s="75" customFormat="1" ht="12.75">
      <c r="K924" s="122"/>
      <c r="S924" s="122"/>
    </row>
    <row r="925" spans="11:19" s="75" customFormat="1" ht="12.75">
      <c r="K925" s="122"/>
      <c r="S925" s="122"/>
    </row>
    <row r="926" spans="11:19" s="75" customFormat="1" ht="12.75">
      <c r="K926" s="122"/>
      <c r="S926" s="122"/>
    </row>
    <row r="927" spans="11:19" s="75" customFormat="1" ht="12.75">
      <c r="K927" s="122"/>
      <c r="S927" s="122"/>
    </row>
    <row r="928" spans="11:19" s="75" customFormat="1" ht="12.75">
      <c r="K928" s="122"/>
      <c r="S928" s="122"/>
    </row>
    <row r="929" spans="11:19" s="75" customFormat="1" ht="12.75">
      <c r="K929" s="122"/>
      <c r="S929" s="122"/>
    </row>
    <row r="930" spans="11:19" s="75" customFormat="1" ht="12.75">
      <c r="K930" s="122"/>
      <c r="S930" s="122"/>
    </row>
    <row r="931" spans="11:19" s="75" customFormat="1" ht="12.75">
      <c r="K931" s="122"/>
      <c r="S931" s="122"/>
    </row>
    <row r="932" spans="11:19" s="75" customFormat="1" ht="12.75">
      <c r="K932" s="122"/>
      <c r="S932" s="122"/>
    </row>
    <row r="933" spans="11:19" s="75" customFormat="1" ht="12.75">
      <c r="K933" s="122"/>
      <c r="S933" s="122"/>
    </row>
    <row r="934" spans="11:19" s="75" customFormat="1" ht="12.75">
      <c r="K934" s="122"/>
      <c r="S934" s="122"/>
    </row>
    <row r="935" spans="11:19" s="75" customFormat="1" ht="12.75">
      <c r="K935" s="122"/>
      <c r="S935" s="122"/>
    </row>
    <row r="936" spans="11:19" s="75" customFormat="1" ht="12.75">
      <c r="K936" s="122"/>
      <c r="S936" s="122"/>
    </row>
    <row r="937" spans="11:19" s="75" customFormat="1" ht="12.75">
      <c r="K937" s="122"/>
      <c r="S937" s="122"/>
    </row>
    <row r="938" spans="11:19" s="75" customFormat="1" ht="12.75">
      <c r="K938" s="122"/>
      <c r="S938" s="122"/>
    </row>
    <row r="939" spans="11:19" s="75" customFormat="1" ht="12.75">
      <c r="K939" s="122"/>
      <c r="S939" s="122"/>
    </row>
    <row r="940" spans="11:19" s="75" customFormat="1" ht="12.75">
      <c r="K940" s="122"/>
      <c r="S940" s="122"/>
    </row>
    <row r="941" spans="11:19" s="75" customFormat="1" ht="12.75">
      <c r="K941" s="122"/>
      <c r="S941" s="122"/>
    </row>
    <row r="942" spans="11:19" s="75" customFormat="1" ht="12.75">
      <c r="K942" s="122"/>
      <c r="S942" s="122"/>
    </row>
    <row r="943" spans="11:19" s="75" customFormat="1" ht="12.75">
      <c r="K943" s="122"/>
      <c r="S943" s="122"/>
    </row>
    <row r="944" spans="11:19" s="75" customFormat="1" ht="12.75">
      <c r="K944" s="122"/>
      <c r="S944" s="122"/>
    </row>
    <row r="945" spans="11:19" s="75" customFormat="1" ht="12.75">
      <c r="K945" s="122"/>
      <c r="S945" s="122"/>
    </row>
    <row r="946" spans="11:19" s="75" customFormat="1" ht="12.75">
      <c r="K946" s="122"/>
      <c r="S946" s="122"/>
    </row>
    <row r="947" spans="11:19" s="75" customFormat="1" ht="12.75">
      <c r="K947" s="122"/>
      <c r="S947" s="122"/>
    </row>
    <row r="948" spans="11:19" s="75" customFormat="1" ht="12.75">
      <c r="K948" s="122"/>
      <c r="S948" s="122"/>
    </row>
    <row r="949" spans="11:19" s="75" customFormat="1" ht="12.75">
      <c r="K949" s="122"/>
      <c r="S949" s="122"/>
    </row>
    <row r="950" spans="11:19" s="75" customFormat="1" ht="12.75">
      <c r="K950" s="122"/>
      <c r="S950" s="122"/>
    </row>
    <row r="951" spans="11:19" s="75" customFormat="1" ht="12.75">
      <c r="K951" s="122"/>
      <c r="S951" s="122"/>
    </row>
    <row r="952" spans="11:19" s="75" customFormat="1" ht="12.75">
      <c r="K952" s="122"/>
      <c r="S952" s="122"/>
    </row>
    <row r="953" spans="11:19" s="75" customFormat="1" ht="12.75">
      <c r="K953" s="122"/>
      <c r="S953" s="122"/>
    </row>
    <row r="954" spans="11:19" s="75" customFormat="1" ht="12.75">
      <c r="K954" s="122"/>
      <c r="S954" s="122"/>
    </row>
    <row r="955" spans="11:19" s="75" customFormat="1" ht="12.75">
      <c r="K955" s="122"/>
      <c r="S955" s="122"/>
    </row>
    <row r="956" spans="11:19" s="75" customFormat="1" ht="12.75">
      <c r="K956" s="122"/>
      <c r="S956" s="122"/>
    </row>
    <row r="957" spans="11:19" s="75" customFormat="1" ht="12.75">
      <c r="K957" s="122"/>
      <c r="S957" s="122"/>
    </row>
    <row r="958" spans="11:19" s="75" customFormat="1" ht="12.75">
      <c r="K958" s="122"/>
      <c r="S958" s="122"/>
    </row>
    <row r="959" spans="11:19" s="75" customFormat="1" ht="12.75">
      <c r="K959" s="122"/>
      <c r="S959" s="122"/>
    </row>
    <row r="960" spans="11:19" s="75" customFormat="1" ht="12.75">
      <c r="K960" s="122"/>
      <c r="S960" s="122"/>
    </row>
    <row r="961" spans="11:19" s="75" customFormat="1" ht="12.75">
      <c r="K961" s="122"/>
      <c r="S961" s="122"/>
    </row>
    <row r="962" spans="11:19" s="75" customFormat="1" ht="12.75">
      <c r="K962" s="122"/>
      <c r="S962" s="122"/>
    </row>
    <row r="963" spans="11:19" s="75" customFormat="1" ht="12.75">
      <c r="K963" s="122"/>
      <c r="S963" s="122"/>
    </row>
    <row r="964" spans="11:19" s="75" customFormat="1" ht="12.75">
      <c r="K964" s="122"/>
      <c r="S964" s="122"/>
    </row>
    <row r="965" spans="11:19" s="75" customFormat="1" ht="12.75">
      <c r="K965" s="122"/>
      <c r="S965" s="122"/>
    </row>
    <row r="966" spans="11:19" s="75" customFormat="1" ht="12.75">
      <c r="K966" s="122"/>
      <c r="S966" s="122"/>
    </row>
    <row r="967" spans="11:19" s="75" customFormat="1" ht="12.75">
      <c r="K967" s="122"/>
      <c r="S967" s="122"/>
    </row>
    <row r="968" spans="11:19" s="75" customFormat="1" ht="12.75">
      <c r="K968" s="122"/>
      <c r="S968" s="122"/>
    </row>
    <row r="969" spans="11:19" s="75" customFormat="1" ht="12.75">
      <c r="K969" s="122"/>
      <c r="S969" s="122"/>
    </row>
    <row r="970" spans="11:19" s="75" customFormat="1" ht="12.75">
      <c r="K970" s="122"/>
      <c r="S970" s="122"/>
    </row>
    <row r="971" spans="11:19" s="75" customFormat="1" ht="12.75">
      <c r="K971" s="122"/>
      <c r="S971" s="122"/>
    </row>
    <row r="972" spans="11:19" s="75" customFormat="1" ht="12.75">
      <c r="K972" s="122"/>
      <c r="S972" s="122"/>
    </row>
    <row r="973" spans="11:19" s="75" customFormat="1" ht="12.75">
      <c r="K973" s="122"/>
      <c r="S973" s="122"/>
    </row>
    <row r="974" spans="11:19" s="75" customFormat="1" ht="12.75">
      <c r="K974" s="122"/>
      <c r="S974" s="122"/>
    </row>
    <row r="975" spans="11:19" s="75" customFormat="1" ht="12.75">
      <c r="K975" s="122"/>
      <c r="S975" s="122"/>
    </row>
    <row r="976" spans="11:19" s="75" customFormat="1" ht="12.75">
      <c r="K976" s="122"/>
      <c r="S976" s="122"/>
    </row>
    <row r="977" spans="11:19" s="75" customFormat="1" ht="12.75">
      <c r="K977" s="122"/>
      <c r="S977" s="122"/>
    </row>
    <row r="978" spans="11:19" s="75" customFormat="1" ht="12.75">
      <c r="K978" s="122"/>
      <c r="S978" s="122"/>
    </row>
    <row r="979" spans="11:19" s="75" customFormat="1" ht="12.75">
      <c r="K979" s="122"/>
      <c r="S979" s="122"/>
    </row>
    <row r="980" spans="11:19" s="75" customFormat="1" ht="12.75">
      <c r="K980" s="122"/>
      <c r="S980" s="122"/>
    </row>
    <row r="981" spans="11:19" s="75" customFormat="1" ht="12.75">
      <c r="K981" s="122"/>
      <c r="S981" s="122"/>
    </row>
    <row r="982" spans="11:19" s="75" customFormat="1" ht="12.75">
      <c r="K982" s="122"/>
      <c r="S982" s="122"/>
    </row>
    <row r="983" spans="11:19" s="75" customFormat="1" ht="12.75">
      <c r="K983" s="122"/>
      <c r="S983" s="122"/>
    </row>
    <row r="984" spans="11:19" s="75" customFormat="1" ht="12.75">
      <c r="K984" s="122"/>
      <c r="S984" s="122"/>
    </row>
    <row r="985" spans="11:19" s="75" customFormat="1" ht="12.75">
      <c r="K985" s="122"/>
      <c r="S985" s="122"/>
    </row>
    <row r="986" spans="11:19" s="75" customFormat="1" ht="12.75">
      <c r="K986" s="122"/>
      <c r="S986" s="122"/>
    </row>
    <row r="987" spans="11:19" s="75" customFormat="1" ht="12.75">
      <c r="K987" s="122"/>
      <c r="S987" s="122"/>
    </row>
    <row r="988" spans="11:19" s="75" customFormat="1" ht="12.75">
      <c r="K988" s="122"/>
      <c r="S988" s="122"/>
    </row>
    <row r="989" spans="11:19" s="75" customFormat="1" ht="12.75">
      <c r="K989" s="122"/>
      <c r="S989" s="122"/>
    </row>
    <row r="990" spans="11:19" s="75" customFormat="1" ht="12.75">
      <c r="K990" s="122"/>
      <c r="S990" s="122"/>
    </row>
    <row r="991" spans="11:19" s="75" customFormat="1" ht="12.75">
      <c r="K991" s="122"/>
      <c r="S991" s="122"/>
    </row>
    <row r="992" spans="11:19" s="75" customFormat="1" ht="12.75">
      <c r="K992" s="122"/>
      <c r="S992" s="122"/>
    </row>
    <row r="993" spans="11:19" s="75" customFormat="1" ht="12.75">
      <c r="K993" s="122"/>
      <c r="S993" s="122"/>
    </row>
    <row r="994" spans="11:19" s="75" customFormat="1" ht="12.75">
      <c r="K994" s="122"/>
      <c r="S994" s="122"/>
    </row>
    <row r="995" spans="11:19" s="75" customFormat="1" ht="12.75">
      <c r="K995" s="122"/>
      <c r="S995" s="122"/>
    </row>
    <row r="996" spans="11:19" s="75" customFormat="1" ht="12.75">
      <c r="K996" s="122"/>
      <c r="S996" s="122"/>
    </row>
    <row r="997" spans="11:19" s="75" customFormat="1" ht="12.75">
      <c r="K997" s="122"/>
      <c r="S997" s="122"/>
    </row>
    <row r="998" spans="11:19" s="75" customFormat="1" ht="12.75">
      <c r="K998" s="122"/>
      <c r="S998" s="122"/>
    </row>
    <row r="999" spans="11:19" s="75" customFormat="1" ht="12.75">
      <c r="K999" s="122"/>
      <c r="S999" s="122"/>
    </row>
    <row r="1000" spans="11:19" s="75" customFormat="1" ht="12.75">
      <c r="K1000" s="122"/>
      <c r="S1000" s="122"/>
    </row>
    <row r="1001" spans="11:19" s="75" customFormat="1" ht="12.75">
      <c r="K1001" s="122"/>
      <c r="S1001" s="122"/>
    </row>
    <row r="1002" spans="11:19" s="75" customFormat="1" ht="12.75">
      <c r="K1002" s="122"/>
      <c r="S1002" s="122"/>
    </row>
    <row r="1003" spans="11:19" s="75" customFormat="1" ht="12.75">
      <c r="K1003" s="122"/>
      <c r="S1003" s="122"/>
    </row>
    <row r="1004" spans="11:19" s="75" customFormat="1" ht="12.75">
      <c r="K1004" s="122"/>
      <c r="S1004" s="122"/>
    </row>
    <row r="1005" spans="11:19" s="75" customFormat="1" ht="12.75">
      <c r="K1005" s="122"/>
      <c r="S1005" s="122"/>
    </row>
    <row r="1006" spans="11:19" s="75" customFormat="1" ht="12.75">
      <c r="K1006" s="122"/>
      <c r="S1006" s="122"/>
    </row>
    <row r="1007" spans="11:19" s="75" customFormat="1" ht="12.75">
      <c r="K1007" s="122"/>
      <c r="S1007" s="122"/>
    </row>
    <row r="1008" spans="11:19" s="75" customFormat="1" ht="12.75">
      <c r="K1008" s="122"/>
      <c r="S1008" s="122"/>
    </row>
    <row r="1009" spans="11:19" s="75" customFormat="1" ht="12.75">
      <c r="K1009" s="122"/>
      <c r="S1009" s="122"/>
    </row>
    <row r="1010" spans="11:19" s="75" customFormat="1" ht="12.75">
      <c r="K1010" s="122"/>
      <c r="S1010" s="122"/>
    </row>
    <row r="1011" spans="11:19" s="75" customFormat="1" ht="12.75">
      <c r="K1011" s="122"/>
      <c r="S1011" s="122"/>
    </row>
    <row r="1012" spans="11:19" s="75" customFormat="1" ht="12.75">
      <c r="K1012" s="122"/>
      <c r="S1012" s="122"/>
    </row>
    <row r="1013" spans="11:19" s="75" customFormat="1" ht="12.75">
      <c r="K1013" s="122"/>
      <c r="S1013" s="122"/>
    </row>
    <row r="1014" spans="11:19" s="75" customFormat="1" ht="12.75">
      <c r="K1014" s="122"/>
      <c r="S1014" s="122"/>
    </row>
    <row r="1015" spans="11:19" s="75" customFormat="1" ht="12.75">
      <c r="K1015" s="122"/>
      <c r="S1015" s="122"/>
    </row>
    <row r="1016" spans="11:19" s="75" customFormat="1" ht="12.75">
      <c r="K1016" s="122"/>
      <c r="S1016" s="122"/>
    </row>
    <row r="1017" spans="11:19" s="75" customFormat="1" ht="12.75">
      <c r="K1017" s="122"/>
      <c r="S1017" s="122"/>
    </row>
    <row r="1018" spans="11:19" s="75" customFormat="1" ht="12.75">
      <c r="K1018" s="122"/>
      <c r="S1018" s="122"/>
    </row>
    <row r="1019" spans="11:19" s="75" customFormat="1" ht="12.75">
      <c r="K1019" s="122"/>
      <c r="S1019" s="122"/>
    </row>
    <row r="1020" spans="11:19" s="75" customFormat="1" ht="12.75">
      <c r="K1020" s="122"/>
      <c r="S1020" s="122"/>
    </row>
    <row r="1021" spans="11:19" s="75" customFormat="1" ht="12.75">
      <c r="K1021" s="122"/>
      <c r="S1021" s="122"/>
    </row>
    <row r="1022" spans="11:19" s="75" customFormat="1" ht="12.75">
      <c r="K1022" s="122"/>
      <c r="S1022" s="122"/>
    </row>
    <row r="1023" spans="11:19" s="75" customFormat="1" ht="12.75">
      <c r="K1023" s="122"/>
      <c r="S1023" s="122"/>
    </row>
    <row r="1024" spans="11:19" s="75" customFormat="1" ht="12.75">
      <c r="K1024" s="122"/>
      <c r="S1024" s="122"/>
    </row>
    <row r="1025" spans="11:19" s="75" customFormat="1" ht="12.75">
      <c r="K1025" s="122"/>
      <c r="S1025" s="122"/>
    </row>
    <row r="1026" spans="11:19" s="75" customFormat="1" ht="12.75">
      <c r="K1026" s="122"/>
      <c r="S1026" s="122"/>
    </row>
    <row r="1027" spans="11:19" s="75" customFormat="1" ht="12.75">
      <c r="K1027" s="122"/>
      <c r="S1027" s="122"/>
    </row>
    <row r="1028" spans="11:19" s="75" customFormat="1" ht="12.75">
      <c r="K1028" s="122"/>
      <c r="S1028" s="122"/>
    </row>
    <row r="1029" spans="11:19" s="75" customFormat="1" ht="12.75">
      <c r="K1029" s="122"/>
      <c r="S1029" s="122"/>
    </row>
    <row r="1030" spans="11:19" s="75" customFormat="1" ht="12.75">
      <c r="K1030" s="122"/>
      <c r="S1030" s="122"/>
    </row>
    <row r="1031" spans="11:19" s="75" customFormat="1" ht="12.75">
      <c r="K1031" s="122"/>
      <c r="S1031" s="122"/>
    </row>
    <row r="1032" spans="11:19" s="75" customFormat="1" ht="12.75">
      <c r="K1032" s="122"/>
      <c r="S1032" s="122"/>
    </row>
    <row r="1033" spans="11:19" s="75" customFormat="1" ht="12.75">
      <c r="K1033" s="122"/>
      <c r="S1033" s="122"/>
    </row>
    <row r="1034" spans="11:19" s="75" customFormat="1" ht="12.75">
      <c r="K1034" s="122"/>
      <c r="S1034" s="122"/>
    </row>
    <row r="1035" spans="11:19" s="75" customFormat="1" ht="12.75">
      <c r="K1035" s="122"/>
      <c r="S1035" s="122"/>
    </row>
    <row r="1036" spans="11:19" s="75" customFormat="1" ht="12.75">
      <c r="K1036" s="122"/>
      <c r="S1036" s="122"/>
    </row>
    <row r="1037" spans="11:19" s="75" customFormat="1" ht="12.75">
      <c r="K1037" s="122"/>
      <c r="S1037" s="122"/>
    </row>
    <row r="1038" spans="11:19" s="75" customFormat="1" ht="12.75">
      <c r="K1038" s="122"/>
      <c r="S1038" s="122"/>
    </row>
    <row r="1039" spans="11:19" s="75" customFormat="1" ht="12.75">
      <c r="K1039" s="122"/>
      <c r="S1039" s="122"/>
    </row>
    <row r="1040" spans="11:19" s="75" customFormat="1" ht="12.75">
      <c r="K1040" s="122"/>
      <c r="S1040" s="122"/>
    </row>
    <row r="1041" spans="11:19" s="75" customFormat="1" ht="12.75">
      <c r="K1041" s="122"/>
      <c r="S1041" s="122"/>
    </row>
    <row r="1042" spans="11:19" s="75" customFormat="1" ht="12.75">
      <c r="K1042" s="122"/>
      <c r="S1042" s="122"/>
    </row>
    <row r="1043" spans="11:19" s="75" customFormat="1" ht="12.75">
      <c r="K1043" s="122"/>
      <c r="S1043" s="122"/>
    </row>
    <row r="1044" spans="11:19" s="75" customFormat="1" ht="12.75">
      <c r="K1044" s="122"/>
      <c r="S1044" s="122"/>
    </row>
    <row r="1045" spans="11:19" s="75" customFormat="1" ht="12.75">
      <c r="K1045" s="122"/>
      <c r="S1045" s="122"/>
    </row>
    <row r="1046" spans="11:19" s="75" customFormat="1" ht="12.75">
      <c r="K1046" s="122"/>
      <c r="S1046" s="122"/>
    </row>
    <row r="1047" spans="11:19" s="75" customFormat="1" ht="12.75">
      <c r="K1047" s="122"/>
      <c r="S1047" s="122"/>
    </row>
    <row r="1048" spans="11:19" s="75" customFormat="1" ht="12.75">
      <c r="K1048" s="122"/>
      <c r="S1048" s="122"/>
    </row>
    <row r="1049" spans="11:19" s="75" customFormat="1" ht="12.75">
      <c r="K1049" s="122"/>
      <c r="S1049" s="122"/>
    </row>
    <row r="1050" spans="11:19" s="75" customFormat="1" ht="12.75">
      <c r="K1050" s="122"/>
      <c r="S1050" s="122"/>
    </row>
    <row r="1051" spans="11:19" s="75" customFormat="1" ht="12.75">
      <c r="K1051" s="122"/>
      <c r="S1051" s="122"/>
    </row>
    <row r="1052" spans="11:19" s="75" customFormat="1" ht="12.75">
      <c r="K1052" s="122"/>
      <c r="S1052" s="122"/>
    </row>
    <row r="1053" spans="11:19" s="75" customFormat="1" ht="12.75">
      <c r="K1053" s="122"/>
      <c r="S1053" s="122"/>
    </row>
    <row r="1054" spans="11:19" s="75" customFormat="1" ht="12.75">
      <c r="K1054" s="122"/>
      <c r="S1054" s="122"/>
    </row>
    <row r="1055" spans="11:19" s="75" customFormat="1" ht="12.75">
      <c r="K1055" s="122"/>
      <c r="S1055" s="122"/>
    </row>
    <row r="1056" spans="11:19" s="75" customFormat="1" ht="12.75">
      <c r="K1056" s="122"/>
      <c r="S1056" s="122"/>
    </row>
    <row r="1057" spans="11:19" s="75" customFormat="1" ht="12.75">
      <c r="K1057" s="122"/>
      <c r="S1057" s="122"/>
    </row>
    <row r="1058" spans="11:19" s="75" customFormat="1" ht="12.75">
      <c r="K1058" s="122"/>
      <c r="S1058" s="122"/>
    </row>
    <row r="1059" spans="11:19" s="75" customFormat="1" ht="12.75">
      <c r="K1059" s="122"/>
      <c r="S1059" s="122"/>
    </row>
    <row r="1060" spans="11:19" s="75" customFormat="1" ht="12.75">
      <c r="K1060" s="122"/>
      <c r="S1060" s="122"/>
    </row>
    <row r="1061" spans="11:19" s="75" customFormat="1" ht="12.75">
      <c r="K1061" s="122"/>
      <c r="S1061" s="122"/>
    </row>
    <row r="1062" spans="11:19" s="75" customFormat="1" ht="12.75">
      <c r="K1062" s="122"/>
      <c r="S1062" s="122"/>
    </row>
    <row r="1063" spans="11:19" s="75" customFormat="1" ht="12.75">
      <c r="K1063" s="122"/>
      <c r="S1063" s="122"/>
    </row>
    <row r="1064" spans="11:19" s="75" customFormat="1" ht="12.75">
      <c r="K1064" s="122"/>
      <c r="S1064" s="122"/>
    </row>
    <row r="1065" spans="11:19" s="75" customFormat="1" ht="12.75">
      <c r="K1065" s="122"/>
      <c r="S1065" s="122"/>
    </row>
    <row r="1066" spans="11:19" s="75" customFormat="1" ht="12.75">
      <c r="K1066" s="122"/>
      <c r="S1066" s="122"/>
    </row>
    <row r="1067" spans="11:19" s="75" customFormat="1" ht="12.75">
      <c r="K1067" s="122"/>
      <c r="S1067" s="122"/>
    </row>
    <row r="1068" spans="11:19" s="75" customFormat="1" ht="12.75">
      <c r="K1068" s="122"/>
      <c r="S1068" s="122"/>
    </row>
    <row r="1069" spans="11:19" s="75" customFormat="1" ht="12.75">
      <c r="K1069" s="122"/>
      <c r="S1069" s="122"/>
    </row>
    <row r="1070" spans="11:19" s="75" customFormat="1" ht="12.75">
      <c r="K1070" s="122"/>
      <c r="S1070" s="122"/>
    </row>
    <row r="1071" spans="11:19" s="75" customFormat="1" ht="12.75">
      <c r="K1071" s="122"/>
      <c r="S1071" s="122"/>
    </row>
    <row r="1072" spans="11:19" s="75" customFormat="1" ht="12.75">
      <c r="K1072" s="122"/>
      <c r="S1072" s="122"/>
    </row>
    <row r="1073" spans="11:19" s="75" customFormat="1" ht="12.75">
      <c r="K1073" s="122"/>
      <c r="S1073" s="122"/>
    </row>
    <row r="1074" spans="11:19" s="75" customFormat="1" ht="12.75">
      <c r="K1074" s="122"/>
      <c r="S1074" s="122"/>
    </row>
    <row r="1075" spans="11:19" s="75" customFormat="1" ht="12.75">
      <c r="K1075" s="122"/>
      <c r="S1075" s="122"/>
    </row>
    <row r="1076" spans="11:19" s="75" customFormat="1" ht="12.75">
      <c r="K1076" s="122"/>
      <c r="S1076" s="122"/>
    </row>
    <row r="1077" spans="11:19" s="75" customFormat="1" ht="12.75">
      <c r="K1077" s="122"/>
      <c r="S1077" s="122"/>
    </row>
    <row r="1078" spans="11:19" s="75" customFormat="1" ht="12.75">
      <c r="K1078" s="122"/>
      <c r="S1078" s="122"/>
    </row>
    <row r="1079" spans="11:19" s="75" customFormat="1" ht="12.75">
      <c r="K1079" s="122"/>
      <c r="S1079" s="122"/>
    </row>
    <row r="1080" spans="11:19" s="75" customFormat="1" ht="12.75">
      <c r="K1080" s="122"/>
      <c r="S1080" s="122"/>
    </row>
    <row r="1081" spans="11:19" s="75" customFormat="1" ht="12.75">
      <c r="K1081" s="122"/>
      <c r="S1081" s="122"/>
    </row>
    <row r="1082" spans="11:19" s="75" customFormat="1" ht="12.75">
      <c r="K1082" s="122"/>
      <c r="S1082" s="122"/>
    </row>
    <row r="1083" spans="11:19" s="75" customFormat="1" ht="12.75">
      <c r="K1083" s="122"/>
      <c r="S1083" s="122"/>
    </row>
    <row r="1084" spans="11:19" s="75" customFormat="1" ht="12.75">
      <c r="K1084" s="122"/>
      <c r="S1084" s="122"/>
    </row>
    <row r="1085" spans="11:19" s="75" customFormat="1" ht="12.75">
      <c r="K1085" s="122"/>
      <c r="S1085" s="122"/>
    </row>
    <row r="1086" spans="11:19" s="75" customFormat="1" ht="12.75">
      <c r="K1086" s="122"/>
      <c r="S1086" s="122"/>
    </row>
    <row r="1087" spans="11:19" s="75" customFormat="1" ht="12.75">
      <c r="K1087" s="122"/>
      <c r="S1087" s="122"/>
    </row>
    <row r="1088" spans="11:19" s="75" customFormat="1" ht="12.75">
      <c r="K1088" s="122"/>
      <c r="S1088" s="122"/>
    </row>
    <row r="1089" spans="11:19" s="75" customFormat="1" ht="12.75">
      <c r="K1089" s="122"/>
      <c r="S1089" s="122"/>
    </row>
    <row r="1090" spans="11:19" s="75" customFormat="1" ht="12.75">
      <c r="K1090" s="122"/>
      <c r="S1090" s="122"/>
    </row>
    <row r="1091" spans="11:19" s="75" customFormat="1" ht="12.75">
      <c r="K1091" s="122"/>
      <c r="S1091" s="122"/>
    </row>
    <row r="1092" spans="11:19" s="75" customFormat="1" ht="12.75">
      <c r="K1092" s="122"/>
      <c r="S1092" s="122"/>
    </row>
    <row r="1093" spans="11:19" s="75" customFormat="1" ht="12.75">
      <c r="K1093" s="122"/>
      <c r="S1093" s="122"/>
    </row>
    <row r="1094" spans="11:19" s="75" customFormat="1" ht="12.75">
      <c r="K1094" s="122"/>
      <c r="S1094" s="122"/>
    </row>
    <row r="1095" spans="11:19" s="75" customFormat="1" ht="12.75">
      <c r="K1095" s="122"/>
      <c r="S1095" s="122"/>
    </row>
    <row r="1096" spans="11:19" s="75" customFormat="1" ht="12.75">
      <c r="K1096" s="122"/>
      <c r="S1096" s="122"/>
    </row>
    <row r="1097" spans="11:19" s="75" customFormat="1" ht="12.75">
      <c r="K1097" s="122"/>
      <c r="S1097" s="122"/>
    </row>
    <row r="1098" spans="11:19" s="75" customFormat="1" ht="12.75">
      <c r="K1098" s="122"/>
      <c r="S1098" s="122"/>
    </row>
    <row r="1099" spans="11:19" s="75" customFormat="1" ht="12.75">
      <c r="K1099" s="122"/>
      <c r="S1099" s="122"/>
    </row>
    <row r="1100" spans="11:19" s="75" customFormat="1" ht="12.75">
      <c r="K1100" s="122"/>
      <c r="S1100" s="122"/>
    </row>
    <row r="1101" spans="11:19" s="75" customFormat="1" ht="12.75">
      <c r="K1101" s="122"/>
      <c r="S1101" s="122"/>
    </row>
    <row r="1102" spans="11:19" s="75" customFormat="1" ht="12.75">
      <c r="K1102" s="122"/>
      <c r="S1102" s="122"/>
    </row>
    <row r="1103" spans="11:19" s="75" customFormat="1" ht="12.75">
      <c r="K1103" s="122"/>
      <c r="S1103" s="122"/>
    </row>
    <row r="1104" spans="11:19" s="75" customFormat="1" ht="12.75">
      <c r="K1104" s="122"/>
      <c r="S1104" s="122"/>
    </row>
    <row r="1105" spans="11:19" s="75" customFormat="1" ht="12.75">
      <c r="K1105" s="122"/>
      <c r="S1105" s="122"/>
    </row>
    <row r="1106" spans="11:19" s="75" customFormat="1" ht="12.75">
      <c r="K1106" s="122"/>
      <c r="S1106" s="122"/>
    </row>
    <row r="1107" spans="11:19" s="75" customFormat="1" ht="12.75">
      <c r="K1107" s="122"/>
      <c r="S1107" s="122"/>
    </row>
    <row r="1108" spans="11:19" s="75" customFormat="1" ht="12.75">
      <c r="K1108" s="122"/>
      <c r="S1108" s="122"/>
    </row>
    <row r="1109" spans="11:19" s="75" customFormat="1" ht="12.75">
      <c r="K1109" s="122"/>
      <c r="S1109" s="122"/>
    </row>
    <row r="1110" spans="11:19" s="75" customFormat="1" ht="12.75">
      <c r="K1110" s="122"/>
      <c r="S1110" s="122"/>
    </row>
    <row r="1111" spans="11:19" s="75" customFormat="1" ht="12.75">
      <c r="K1111" s="122"/>
      <c r="S1111" s="122"/>
    </row>
    <row r="1112" spans="11:19" s="75" customFormat="1" ht="12.75">
      <c r="K1112" s="122"/>
      <c r="S1112" s="122"/>
    </row>
    <row r="1113" spans="11:19" s="75" customFormat="1" ht="12.75">
      <c r="K1113" s="122"/>
      <c r="S1113" s="122"/>
    </row>
    <row r="1114" spans="11:19" s="75" customFormat="1" ht="12.75">
      <c r="K1114" s="122"/>
      <c r="S1114" s="122"/>
    </row>
    <row r="1115" spans="11:19" s="75" customFormat="1" ht="12.75">
      <c r="K1115" s="122"/>
      <c r="S1115" s="122"/>
    </row>
    <row r="1116" spans="11:19" s="75" customFormat="1" ht="12.75">
      <c r="K1116" s="122"/>
      <c r="S1116" s="122"/>
    </row>
    <row r="1117" spans="11:19" s="75" customFormat="1" ht="12.75">
      <c r="K1117" s="122"/>
      <c r="S1117" s="122"/>
    </row>
    <row r="1118" spans="11:19" s="75" customFormat="1" ht="12.75">
      <c r="K1118" s="122"/>
      <c r="S1118" s="122"/>
    </row>
    <row r="1119" spans="11:19" s="75" customFormat="1" ht="12.75">
      <c r="K1119" s="122"/>
      <c r="S1119" s="122"/>
    </row>
    <row r="1120" spans="11:19" s="75" customFormat="1" ht="12.75">
      <c r="K1120" s="122"/>
      <c r="S1120" s="122"/>
    </row>
    <row r="1121" spans="11:19" s="75" customFormat="1" ht="12.75">
      <c r="K1121" s="122"/>
      <c r="S1121" s="122"/>
    </row>
    <row r="1122" spans="11:19" s="75" customFormat="1" ht="12.75">
      <c r="K1122" s="122"/>
      <c r="S1122" s="122"/>
    </row>
    <row r="1123" spans="11:19" s="75" customFormat="1" ht="12.75">
      <c r="K1123" s="122"/>
      <c r="S1123" s="122"/>
    </row>
    <row r="1124" spans="11:19" s="75" customFormat="1" ht="12.75">
      <c r="K1124" s="122"/>
      <c r="S1124" s="122"/>
    </row>
    <row r="1125" spans="11:19" s="75" customFormat="1" ht="12.75">
      <c r="K1125" s="122"/>
      <c r="S1125" s="122"/>
    </row>
    <row r="1126" spans="11:19" s="75" customFormat="1" ht="12.75">
      <c r="K1126" s="122"/>
      <c r="S1126" s="122"/>
    </row>
    <row r="1127" spans="11:19" s="75" customFormat="1" ht="12.75">
      <c r="K1127" s="122"/>
      <c r="S1127" s="122"/>
    </row>
    <row r="1128" spans="11:19" s="75" customFormat="1" ht="12.75">
      <c r="K1128" s="122"/>
      <c r="S1128" s="122"/>
    </row>
    <row r="1129" spans="11:19" s="75" customFormat="1" ht="12.75">
      <c r="K1129" s="122"/>
      <c r="S1129" s="122"/>
    </row>
    <row r="1130" spans="11:19" s="75" customFormat="1" ht="12.75">
      <c r="K1130" s="122"/>
      <c r="S1130" s="122"/>
    </row>
    <row r="1131" spans="11:19" s="75" customFormat="1" ht="12.75">
      <c r="K1131" s="122"/>
      <c r="S1131" s="122"/>
    </row>
    <row r="1132" spans="11:19" s="75" customFormat="1" ht="12.75">
      <c r="K1132" s="122"/>
      <c r="S1132" s="122"/>
    </row>
    <row r="1133" spans="11:19" s="75" customFormat="1" ht="12.75">
      <c r="K1133" s="122"/>
      <c r="S1133" s="122"/>
    </row>
    <row r="1134" spans="11:19" s="75" customFormat="1" ht="12.75">
      <c r="K1134" s="122"/>
      <c r="S1134" s="122"/>
    </row>
    <row r="1135" spans="11:19" s="75" customFormat="1" ht="12.75">
      <c r="K1135" s="122"/>
      <c r="S1135" s="122"/>
    </row>
    <row r="1136" spans="11:19" s="75" customFormat="1" ht="12.75">
      <c r="K1136" s="122"/>
      <c r="S1136" s="122"/>
    </row>
    <row r="1137" spans="11:19" s="75" customFormat="1" ht="12.75">
      <c r="K1137" s="122"/>
      <c r="S1137" s="122"/>
    </row>
    <row r="1138" spans="11:19" s="75" customFormat="1" ht="12.75">
      <c r="K1138" s="122"/>
      <c r="S1138" s="122"/>
    </row>
    <row r="1139" spans="11:19" s="75" customFormat="1" ht="12.75">
      <c r="K1139" s="122"/>
      <c r="S1139" s="122"/>
    </row>
    <row r="1140" spans="11:19" s="75" customFormat="1" ht="12.75">
      <c r="K1140" s="122"/>
      <c r="S1140" s="122"/>
    </row>
    <row r="1141" spans="11:19" s="75" customFormat="1" ht="12.75">
      <c r="K1141" s="122"/>
      <c r="S1141" s="122"/>
    </row>
    <row r="1142" spans="11:19" s="75" customFormat="1" ht="12.75">
      <c r="K1142" s="122"/>
      <c r="S1142" s="122"/>
    </row>
    <row r="1143" spans="11:19" s="75" customFormat="1" ht="12.75">
      <c r="K1143" s="122"/>
      <c r="S1143" s="122"/>
    </row>
    <row r="1144" spans="11:19" s="75" customFormat="1" ht="12.75">
      <c r="K1144" s="122"/>
      <c r="S1144" s="122"/>
    </row>
    <row r="1145" spans="11:19" s="75" customFormat="1" ht="12.75">
      <c r="K1145" s="122"/>
      <c r="S1145" s="122"/>
    </row>
    <row r="1146" spans="11:19" s="75" customFormat="1" ht="12.75">
      <c r="K1146" s="122"/>
      <c r="S1146" s="122"/>
    </row>
    <row r="1147" spans="11:19" s="75" customFormat="1" ht="12.75">
      <c r="K1147" s="122"/>
      <c r="S1147" s="122"/>
    </row>
    <row r="1148" spans="11:19" s="75" customFormat="1" ht="12.75">
      <c r="K1148" s="122"/>
      <c r="S1148" s="122"/>
    </row>
    <row r="1149" spans="11:19" s="75" customFormat="1" ht="12.75">
      <c r="K1149" s="122"/>
      <c r="S1149" s="122"/>
    </row>
    <row r="1150" spans="11:19" s="75" customFormat="1" ht="12.75">
      <c r="K1150" s="122"/>
      <c r="S1150" s="122"/>
    </row>
    <row r="1151" spans="11:19" s="75" customFormat="1" ht="12.75">
      <c r="K1151" s="122"/>
      <c r="S1151" s="122"/>
    </row>
    <row r="1152" spans="11:19" s="75" customFormat="1" ht="12.75">
      <c r="K1152" s="122"/>
      <c r="S1152" s="122"/>
    </row>
    <row r="1153" spans="11:19" s="75" customFormat="1" ht="12.75">
      <c r="K1153" s="122"/>
      <c r="S1153" s="122"/>
    </row>
    <row r="1154" spans="11:19" s="75" customFormat="1" ht="12.75">
      <c r="K1154" s="122"/>
      <c r="S1154" s="122"/>
    </row>
    <row r="1155" spans="11:19" s="75" customFormat="1" ht="12.75">
      <c r="K1155" s="122"/>
      <c r="S1155" s="122"/>
    </row>
    <row r="1156" spans="11:19" s="75" customFormat="1" ht="12.75">
      <c r="K1156" s="122"/>
      <c r="S1156" s="122"/>
    </row>
    <row r="1157" spans="11:19" s="75" customFormat="1" ht="12.75">
      <c r="K1157" s="122"/>
      <c r="S1157" s="122"/>
    </row>
    <row r="1158" spans="11:19" s="75" customFormat="1" ht="12.75">
      <c r="K1158" s="122"/>
      <c r="S1158" s="122"/>
    </row>
    <row r="1159" spans="11:19" s="75" customFormat="1" ht="12.75">
      <c r="K1159" s="122"/>
      <c r="S1159" s="122"/>
    </row>
    <row r="1160" spans="11:19" s="75" customFormat="1" ht="12.75">
      <c r="K1160" s="122"/>
      <c r="S1160" s="122"/>
    </row>
    <row r="1161" spans="11:19" s="75" customFormat="1" ht="12.75">
      <c r="K1161" s="122"/>
      <c r="S1161" s="122"/>
    </row>
    <row r="1162" spans="11:19" s="75" customFormat="1" ht="12.75">
      <c r="K1162" s="122"/>
      <c r="S1162" s="122"/>
    </row>
    <row r="1163" spans="11:19" s="75" customFormat="1" ht="12.75">
      <c r="K1163" s="122"/>
      <c r="S1163" s="122"/>
    </row>
    <row r="1164" spans="11:19" s="75" customFormat="1" ht="12.75">
      <c r="K1164" s="122"/>
      <c r="S1164" s="122"/>
    </row>
    <row r="1165" spans="11:19" s="75" customFormat="1" ht="12.75">
      <c r="K1165" s="122"/>
      <c r="S1165" s="122"/>
    </row>
    <row r="1166" spans="11:19" s="75" customFormat="1" ht="12.75">
      <c r="K1166" s="122"/>
      <c r="S1166" s="122"/>
    </row>
    <row r="1167" spans="11:19" s="75" customFormat="1" ht="12.75">
      <c r="K1167" s="122"/>
      <c r="S1167" s="122"/>
    </row>
    <row r="1168" spans="11:19" s="75" customFormat="1" ht="12.75">
      <c r="K1168" s="122"/>
      <c r="S1168" s="122"/>
    </row>
    <row r="1169" spans="11:19" s="75" customFormat="1" ht="12.75">
      <c r="K1169" s="122"/>
      <c r="S1169" s="122"/>
    </row>
    <row r="1170" spans="11:19" s="75" customFormat="1" ht="12.75">
      <c r="K1170" s="122"/>
      <c r="S1170" s="122"/>
    </row>
    <row r="1171" spans="11:19" s="75" customFormat="1" ht="12.75">
      <c r="K1171" s="122"/>
      <c r="S1171" s="122"/>
    </row>
    <row r="1172" spans="11:19" s="75" customFormat="1" ht="12.75">
      <c r="K1172" s="122"/>
      <c r="S1172" s="122"/>
    </row>
    <row r="1173" spans="11:19" s="75" customFormat="1" ht="12.75">
      <c r="K1173" s="122"/>
      <c r="S1173" s="122"/>
    </row>
    <row r="1174" spans="11:19" s="75" customFormat="1" ht="12.75">
      <c r="K1174" s="122"/>
      <c r="S1174" s="122"/>
    </row>
    <row r="1175" spans="11:19" s="75" customFormat="1" ht="12.75">
      <c r="K1175" s="122"/>
      <c r="S1175" s="122"/>
    </row>
    <row r="1176" spans="11:19" s="75" customFormat="1" ht="12.75">
      <c r="K1176" s="122"/>
      <c r="S1176" s="122"/>
    </row>
    <row r="1177" spans="11:19" s="75" customFormat="1" ht="12.75">
      <c r="K1177" s="122"/>
      <c r="S1177" s="122"/>
    </row>
    <row r="1178" spans="11:19" s="75" customFormat="1" ht="12.75">
      <c r="K1178" s="122"/>
      <c r="S1178" s="122"/>
    </row>
    <row r="1179" spans="11:19" s="75" customFormat="1" ht="12.75">
      <c r="K1179" s="122"/>
      <c r="S1179" s="122"/>
    </row>
    <row r="1180" spans="11:19" s="75" customFormat="1" ht="12.75">
      <c r="K1180" s="122"/>
      <c r="S1180" s="122"/>
    </row>
    <row r="1181" spans="11:19" s="75" customFormat="1" ht="12.75">
      <c r="K1181" s="122"/>
      <c r="S1181" s="122"/>
    </row>
    <row r="1182" spans="11:19" s="75" customFormat="1" ht="12.75">
      <c r="K1182" s="122"/>
      <c r="S1182" s="122"/>
    </row>
    <row r="1183" spans="11:19" s="75" customFormat="1" ht="12.75">
      <c r="K1183" s="122"/>
      <c r="S1183" s="122"/>
    </row>
    <row r="1184" spans="11:19" s="75" customFormat="1" ht="12.75">
      <c r="K1184" s="122"/>
      <c r="S1184" s="122"/>
    </row>
    <row r="1185" spans="11:19" s="75" customFormat="1" ht="12.75">
      <c r="K1185" s="122"/>
      <c r="S1185" s="122"/>
    </row>
    <row r="1186" spans="11:19" s="75" customFormat="1" ht="12.75">
      <c r="K1186" s="122"/>
      <c r="S1186" s="122"/>
    </row>
    <row r="1187" spans="11:19" s="75" customFormat="1" ht="12.75">
      <c r="K1187" s="122"/>
      <c r="S1187" s="122"/>
    </row>
    <row r="1188" spans="11:19" s="75" customFormat="1" ht="12.75">
      <c r="K1188" s="122"/>
      <c r="S1188" s="122"/>
    </row>
    <row r="1189" spans="11:19" s="75" customFormat="1" ht="12.75">
      <c r="K1189" s="122"/>
      <c r="S1189" s="122"/>
    </row>
    <row r="1190" spans="11:19" s="75" customFormat="1" ht="12.75">
      <c r="K1190" s="122"/>
      <c r="S1190" s="122"/>
    </row>
    <row r="1191" spans="11:19" s="75" customFormat="1" ht="12.75">
      <c r="K1191" s="122"/>
      <c r="S1191" s="122"/>
    </row>
    <row r="1192" spans="11:19" s="75" customFormat="1" ht="12.75">
      <c r="K1192" s="122"/>
      <c r="S1192" s="122"/>
    </row>
    <row r="1193" spans="11:19" s="75" customFormat="1" ht="12.75">
      <c r="K1193" s="122"/>
      <c r="S1193" s="122"/>
    </row>
    <row r="1194" spans="11:19" s="75" customFormat="1" ht="12.75">
      <c r="K1194" s="122"/>
      <c r="S1194" s="122"/>
    </row>
    <row r="1195" spans="11:19" s="75" customFormat="1" ht="12.75">
      <c r="K1195" s="122"/>
      <c r="S1195" s="122"/>
    </row>
    <row r="1196" spans="11:19" s="75" customFormat="1" ht="12.75">
      <c r="K1196" s="122"/>
      <c r="S1196" s="122"/>
    </row>
    <row r="1197" spans="11:19" s="75" customFormat="1" ht="12.75">
      <c r="K1197" s="122"/>
      <c r="S1197" s="122"/>
    </row>
    <row r="1198" spans="11:19" s="75" customFormat="1" ht="12.75">
      <c r="K1198" s="122"/>
      <c r="S1198" s="122"/>
    </row>
    <row r="1199" spans="11:19" s="75" customFormat="1" ht="12.75">
      <c r="K1199" s="122"/>
      <c r="S1199" s="122"/>
    </row>
    <row r="1200" spans="11:19" s="75" customFormat="1" ht="12.75">
      <c r="K1200" s="122"/>
      <c r="S1200" s="122"/>
    </row>
    <row r="1201" spans="11:19" s="75" customFormat="1" ht="12.75">
      <c r="K1201" s="122"/>
      <c r="S1201" s="122"/>
    </row>
    <row r="1202" spans="11:19" s="75" customFormat="1" ht="12.75">
      <c r="K1202" s="122"/>
      <c r="S1202" s="122"/>
    </row>
    <row r="1203" spans="11:19" s="75" customFormat="1" ht="12.75">
      <c r="K1203" s="122"/>
      <c r="S1203" s="122"/>
    </row>
    <row r="1204" spans="11:19" s="75" customFormat="1" ht="12.75">
      <c r="K1204" s="122"/>
      <c r="S1204" s="122"/>
    </row>
    <row r="1205" spans="11:19" s="75" customFormat="1" ht="12.75">
      <c r="K1205" s="122"/>
      <c r="S1205" s="122"/>
    </row>
    <row r="1206" spans="11:19" s="75" customFormat="1" ht="12.75">
      <c r="K1206" s="122"/>
      <c r="S1206" s="122"/>
    </row>
    <row r="1207" spans="11:19" s="75" customFormat="1" ht="12.75">
      <c r="K1207" s="122"/>
      <c r="S1207" s="122"/>
    </row>
    <row r="1208" spans="11:19" s="75" customFormat="1" ht="12.75">
      <c r="K1208" s="122"/>
      <c r="S1208" s="122"/>
    </row>
    <row r="1209" spans="11:19" s="75" customFormat="1" ht="12.75">
      <c r="K1209" s="122"/>
      <c r="S1209" s="122"/>
    </row>
    <row r="1210" spans="11:19" s="75" customFormat="1" ht="12.75">
      <c r="K1210" s="122"/>
      <c r="S1210" s="122"/>
    </row>
    <row r="1211" spans="11:19" s="75" customFormat="1" ht="12.75">
      <c r="K1211" s="122"/>
      <c r="S1211" s="122"/>
    </row>
    <row r="1212" spans="11:19" s="75" customFormat="1" ht="12.75">
      <c r="K1212" s="122"/>
      <c r="S1212" s="122"/>
    </row>
    <row r="1213" spans="11:19" s="75" customFormat="1" ht="12.75">
      <c r="K1213" s="122"/>
      <c r="S1213" s="122"/>
    </row>
    <row r="1214" spans="11:19" s="75" customFormat="1" ht="12.75">
      <c r="K1214" s="122"/>
      <c r="S1214" s="122"/>
    </row>
    <row r="1215" spans="11:19" s="75" customFormat="1" ht="12.75">
      <c r="K1215" s="122"/>
      <c r="S1215" s="122"/>
    </row>
    <row r="1216" spans="11:19" s="75" customFormat="1" ht="12.75">
      <c r="K1216" s="122"/>
      <c r="S1216" s="122"/>
    </row>
    <row r="1217" spans="11:19" s="75" customFormat="1" ht="12.75">
      <c r="K1217" s="122"/>
      <c r="S1217" s="122"/>
    </row>
    <row r="1218" spans="11:19" s="75" customFormat="1" ht="12.75">
      <c r="K1218" s="122"/>
      <c r="S1218" s="122"/>
    </row>
    <row r="1219" spans="11:19" s="75" customFormat="1" ht="12.75">
      <c r="K1219" s="122"/>
      <c r="S1219" s="122"/>
    </row>
    <row r="1220" spans="11:19" s="75" customFormat="1" ht="12.75">
      <c r="K1220" s="122"/>
      <c r="S1220" s="122"/>
    </row>
    <row r="1221" spans="11:19" s="75" customFormat="1" ht="12.75">
      <c r="K1221" s="122"/>
      <c r="S1221" s="122"/>
    </row>
    <row r="1222" spans="11:19" s="75" customFormat="1" ht="12.75">
      <c r="K1222" s="122"/>
      <c r="S1222" s="122"/>
    </row>
  </sheetData>
  <mergeCells count="18">
    <mergeCell ref="A8:T8"/>
    <mergeCell ref="A9:T9"/>
    <mergeCell ref="A10:T10"/>
    <mergeCell ref="A44:T44"/>
    <mergeCell ref="A45:T45"/>
    <mergeCell ref="A46:T46"/>
    <mergeCell ref="A79:T79"/>
    <mergeCell ref="A80:T80"/>
    <mergeCell ref="A81:T81"/>
    <mergeCell ref="A113:T113"/>
    <mergeCell ref="A114:T114"/>
    <mergeCell ref="A115:T115"/>
    <mergeCell ref="A182:T182"/>
    <mergeCell ref="A183:T183"/>
    <mergeCell ref="A184:T184"/>
    <mergeCell ref="A148:T148"/>
    <mergeCell ref="A149:T149"/>
    <mergeCell ref="A150:T150"/>
  </mergeCells>
  <pageMargins left="0.7" right="0.7" top="1.07" bottom="0.75" header="0.3" footer="0.3"/>
  <pageSetup scale="48" fitToHeight="0" orientation="landscape" r:id="rId1"/>
  <headerFooter>
    <oddHeader>&amp;RDocket No 56165
Schedule &amp;A
Page &amp;P of &amp;N</oddHeader>
    <oddFooter>&amp;LSponsored by: Earlyne Reynolds</oddFooter>
  </headerFooter>
  <rowBreaks count="5" manualBreakCount="5">
    <brk id="42" max="16383" man="1"/>
    <brk id="78" max="16383" man="1"/>
    <brk id="112" max="16383" man="1"/>
    <brk id="145" max="16383" man="1"/>
    <brk id="181" max="16383" man="1"/>
  </rowBreaks>
  <colBreaks count="1" manualBreakCount="1">
    <brk id="20" max="1048575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N170"/>
  <sheetViews>
    <sheetView topLeftCell="A88" zoomScaleNormal="100" workbookViewId="0">
      <selection activeCell="A88" sqref="A1:XFD1048576"/>
    </sheetView>
  </sheetViews>
  <sheetFormatPr defaultColWidth="9.140625" defaultRowHeight="12.75"/>
  <cols>
    <col min="1" max="1" width="4.28515625" style="70" bestFit="1" customWidth="1"/>
    <col min="2" max="2" width="32.5703125" style="70" customWidth="1"/>
    <col min="3" max="3" width="7.42578125" style="70" bestFit="1" customWidth="1"/>
    <col min="4" max="4" width="10.85546875" style="456" customWidth="1"/>
    <col min="5" max="8" width="11.7109375" style="456" customWidth="1"/>
    <col min="9" max="14" width="11.7109375" style="457" customWidth="1"/>
    <col min="15" max="15" width="10.42578125" style="70" customWidth="1"/>
    <col min="16" max="16" width="12.28515625" style="458" bestFit="1" customWidth="1"/>
    <col min="17" max="17" width="9.28515625" style="70" bestFit="1" customWidth="1"/>
    <col min="18" max="18" width="25.42578125" style="70" customWidth="1"/>
    <col min="19" max="19" width="6.85546875" style="70" customWidth="1"/>
    <col min="20" max="20" width="8.28515625" style="70" customWidth="1"/>
    <col min="21" max="32" width="10.85546875" style="70" customWidth="1"/>
    <col min="33" max="33" width="11.85546875" style="70" customWidth="1"/>
    <col min="34" max="34" width="13.7109375" style="70" customWidth="1"/>
    <col min="35" max="16384" width="9.140625" style="70"/>
  </cols>
  <sheetData>
    <row r="1" spans="1:144" ht="13.5" thickBot="1"/>
    <row r="2" spans="1:144">
      <c r="B2" s="203" t="s">
        <v>100</v>
      </c>
    </row>
    <row r="3" spans="1:144">
      <c r="B3" s="204" t="s">
        <v>101</v>
      </c>
    </row>
    <row r="4" spans="1:144">
      <c r="B4" s="205" t="s">
        <v>143</v>
      </c>
    </row>
    <row r="5" spans="1:144">
      <c r="B5" s="205" t="s">
        <v>329</v>
      </c>
    </row>
    <row r="6" spans="1:144" ht="13.5" thickBot="1">
      <c r="B6" s="206" t="str">
        <f>+'II-H-1'!B6</f>
        <v>DOCKET 56165</v>
      </c>
    </row>
    <row r="8" spans="1:144">
      <c r="B8" s="172" t="str">
        <f>'II-H-1.2'!B7:O7</f>
        <v>AEP TEXAS</v>
      </c>
      <c r="C8" s="182"/>
      <c r="D8" s="459"/>
      <c r="E8" s="459"/>
      <c r="F8" s="459"/>
      <c r="G8" s="459"/>
      <c r="H8" s="459"/>
      <c r="I8" s="460"/>
      <c r="J8" s="460"/>
      <c r="K8" s="460"/>
      <c r="L8" s="460"/>
      <c r="M8" s="460"/>
      <c r="N8" s="460"/>
      <c r="O8" s="182"/>
      <c r="P8" s="427"/>
    </row>
    <row r="9" spans="1:144">
      <c r="B9" s="371" t="s">
        <v>41</v>
      </c>
      <c r="C9" s="371"/>
      <c r="D9" s="371"/>
      <c r="E9" s="371"/>
      <c r="F9" s="371"/>
      <c r="G9" s="371"/>
      <c r="H9" s="371"/>
      <c r="I9" s="371"/>
      <c r="J9" s="371"/>
      <c r="K9" s="371"/>
      <c r="L9" s="371"/>
      <c r="M9" s="371"/>
      <c r="N9" s="371"/>
      <c r="O9" s="371"/>
      <c r="P9" s="70" t="s">
        <v>1</v>
      </c>
    </row>
    <row r="10" spans="1:144">
      <c r="B10" s="371" t="s">
        <v>147</v>
      </c>
      <c r="C10" s="371"/>
      <c r="D10" s="371"/>
      <c r="E10" s="371"/>
      <c r="F10" s="371"/>
      <c r="G10" s="371"/>
      <c r="H10" s="371"/>
      <c r="I10" s="371"/>
      <c r="J10" s="371"/>
      <c r="K10" s="371"/>
      <c r="L10" s="371"/>
      <c r="M10" s="371"/>
      <c r="N10" s="371"/>
      <c r="O10" s="371"/>
      <c r="P10" s="70" t="s">
        <v>1</v>
      </c>
    </row>
    <row r="12" spans="1:144">
      <c r="B12" s="147"/>
      <c r="C12" s="99"/>
      <c r="D12" s="404"/>
      <c r="E12" s="405"/>
      <c r="F12" s="405"/>
      <c r="G12" s="404"/>
      <c r="H12" s="405"/>
      <c r="I12" s="405"/>
      <c r="K12" s="405"/>
      <c r="L12" s="405"/>
      <c r="M12" s="405"/>
      <c r="N12" s="405"/>
      <c r="O12" s="405"/>
      <c r="P12" s="405"/>
    </row>
    <row r="13" spans="1:144" s="81" customFormat="1">
      <c r="A13" s="361" t="s">
        <v>8</v>
      </c>
      <c r="B13" s="361" t="s">
        <v>0</v>
      </c>
      <c r="C13" s="361" t="s">
        <v>7</v>
      </c>
      <c r="D13" s="406" t="str">
        <f>'II-H-4.1 Dist kW'!D13</f>
        <v>Oct-22</v>
      </c>
      <c r="E13" s="406" t="str">
        <f>'II-H-4.1 Dist kW'!E13</f>
        <v>Nov-22</v>
      </c>
      <c r="F13" s="406" t="str">
        <f>'II-H-4.1 Dist kW'!F13</f>
        <v>Dec-22</v>
      </c>
      <c r="G13" s="406" t="str">
        <f>'II-H-4.1 Dist kW'!G13</f>
        <v>Jan-23</v>
      </c>
      <c r="H13" s="406" t="str">
        <f>'II-H-4.1 Dist kW'!H13</f>
        <v>Feb-23</v>
      </c>
      <c r="I13" s="406" t="str">
        <f>'II-H-4.1 Dist kW'!I13</f>
        <v>Mar-23</v>
      </c>
      <c r="J13" s="406" t="str">
        <f>'II-H-4.1 Dist kW'!J13</f>
        <v>Apr-23</v>
      </c>
      <c r="K13" s="406" t="str">
        <f>'II-H-4.1 Dist kW'!K13</f>
        <v>May-23</v>
      </c>
      <c r="L13" s="406" t="str">
        <f>'II-H-4.1 Dist kW'!L13</f>
        <v>Jun-23</v>
      </c>
      <c r="M13" s="406" t="str">
        <f>'II-H-4.1 Dist kW'!M13</f>
        <v>Jul-23</v>
      </c>
      <c r="N13" s="406" t="str">
        <f>'II-H-4.1 Dist kW'!N13</f>
        <v>Aug-23</v>
      </c>
      <c r="O13" s="406" t="str">
        <f>'II-H-4.1 Dist kW'!O13</f>
        <v>Sep-23</v>
      </c>
      <c r="P13" s="406" t="s">
        <v>2</v>
      </c>
      <c r="Q13" s="183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</row>
    <row r="14" spans="1:144" s="81" customFormat="1">
      <c r="A14" s="99"/>
      <c r="B14" s="361"/>
      <c r="C14" s="361"/>
      <c r="D14" s="184"/>
      <c r="E14" s="184"/>
      <c r="F14" s="184"/>
      <c r="G14" s="184"/>
      <c r="H14" s="184"/>
      <c r="I14" s="461"/>
      <c r="J14" s="461"/>
      <c r="K14" s="461"/>
      <c r="L14" s="461"/>
      <c r="M14" s="461"/>
      <c r="N14" s="461"/>
      <c r="O14" s="462"/>
      <c r="P14" s="463"/>
      <c r="Q14" s="183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</row>
    <row r="15" spans="1:144" s="87" customFormat="1" ht="11.25">
      <c r="A15" s="386" t="s">
        <v>9</v>
      </c>
      <c r="B15" s="87" t="s">
        <v>17</v>
      </c>
      <c r="C15" s="99" t="s">
        <v>4</v>
      </c>
      <c r="D15" s="177" cm="1">
        <f t="array" ref="D15">SUMPRODUCT((H_Rate_Class=$B15)*'[5]Demand - T'!D$9:D$118)</f>
        <v>0</v>
      </c>
      <c r="E15" s="177" cm="1">
        <f t="array" ref="E15">SUMPRODUCT((H_Rate_Class=$B15)*'[5]Demand - T'!E$9:E$118)</f>
        <v>0</v>
      </c>
      <c r="F15" s="177" cm="1">
        <f t="array" ref="F15">SUMPRODUCT((H_Rate_Class=$B15)*'[5]Demand - T'!F$9:F$118)</f>
        <v>0</v>
      </c>
      <c r="G15" s="177" cm="1">
        <f t="array" ref="G15">SUMPRODUCT((H_Rate_Class=$B15)*'[5]Demand - T'!G$9:G$118)</f>
        <v>0</v>
      </c>
      <c r="H15" s="177" cm="1">
        <f t="array" ref="H15">SUMPRODUCT((H_Rate_Class=$B15)*'[5]Demand - T'!H$9:H$118)</f>
        <v>0</v>
      </c>
      <c r="I15" s="177" cm="1">
        <f t="array" ref="I15">SUMPRODUCT((H_Rate_Class=$B15)*'[5]Demand - T'!I$9:I$118)</f>
        <v>0</v>
      </c>
      <c r="J15" s="177" cm="1">
        <f t="array" ref="J15">SUMPRODUCT((H_Rate_Class=$B15)*'[5]Demand - T'!J$9:J$118)</f>
        <v>0</v>
      </c>
      <c r="K15" s="177" cm="1">
        <f t="array" ref="K15">SUMPRODUCT((H_Rate_Class=$B15)*'[5]Demand - T'!K$9:K$118)</f>
        <v>0</v>
      </c>
      <c r="L15" s="177" cm="1">
        <f t="array" ref="L15">SUMPRODUCT((H_Rate_Class=$B15)*'[5]Demand - T'!L$9:L$118)</f>
        <v>0</v>
      </c>
      <c r="M15" s="177" cm="1">
        <f t="array" ref="M15">SUMPRODUCT((H_Rate_Class=$B15)*'[5]Demand - T'!M$9:M$118)</f>
        <v>0</v>
      </c>
      <c r="N15" s="177" cm="1">
        <f t="array" ref="N15">SUMPRODUCT((H_Rate_Class=$B15)*'[5]Demand - T'!N$9:N$118)</f>
        <v>0</v>
      </c>
      <c r="O15" s="177" cm="1">
        <f t="array" ref="O15">SUMPRODUCT((H_Rate_Class=$B15)*'[5]Demand - T'!O$9:O$118)</f>
        <v>0</v>
      </c>
      <c r="P15" s="15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89"/>
      <c r="DR15" s="89"/>
      <c r="DS15" s="89"/>
      <c r="DT15" s="89"/>
      <c r="DU15" s="89"/>
      <c r="DV15" s="89"/>
      <c r="DW15" s="89"/>
      <c r="DX15" s="89"/>
      <c r="DY15" s="89"/>
      <c r="DZ15" s="89"/>
      <c r="EA15" s="89"/>
      <c r="EB15" s="89"/>
      <c r="EC15" s="89"/>
      <c r="ED15" s="89"/>
      <c r="EE15" s="89"/>
      <c r="EF15" s="89"/>
      <c r="EG15" s="89"/>
      <c r="EH15" s="89"/>
      <c r="EI15" s="89"/>
      <c r="EJ15" s="89"/>
      <c r="EK15" s="89"/>
      <c r="EL15" s="89"/>
      <c r="EM15" s="89"/>
      <c r="EN15" s="89"/>
    </row>
    <row r="16" spans="1:144" s="87" customFormat="1" ht="11.25">
      <c r="A16" s="4"/>
      <c r="C16" s="99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5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89"/>
      <c r="BM16" s="89"/>
      <c r="BN16" s="89"/>
      <c r="BO16" s="89"/>
      <c r="BP16" s="89"/>
      <c r="BQ16" s="89"/>
      <c r="BR16" s="89"/>
      <c r="BS16" s="89"/>
      <c r="BT16" s="89"/>
      <c r="BU16" s="89"/>
      <c r="BV16" s="89"/>
      <c r="BW16" s="89"/>
      <c r="BX16" s="89"/>
      <c r="BY16" s="89"/>
      <c r="BZ16" s="89"/>
      <c r="CA16" s="89"/>
      <c r="CB16" s="89"/>
      <c r="CC16" s="89"/>
      <c r="CD16" s="89"/>
      <c r="CE16" s="89"/>
      <c r="CF16" s="89"/>
      <c r="CG16" s="89"/>
      <c r="CH16" s="89"/>
      <c r="CI16" s="89"/>
      <c r="CJ16" s="89"/>
      <c r="CK16" s="89"/>
      <c r="CL16" s="89"/>
      <c r="CM16" s="89"/>
      <c r="CN16" s="89"/>
      <c r="CO16" s="89"/>
      <c r="CP16" s="89"/>
      <c r="CQ16" s="89"/>
      <c r="CR16" s="89"/>
      <c r="CS16" s="89"/>
      <c r="CT16" s="89"/>
      <c r="CU16" s="89"/>
      <c r="CV16" s="89"/>
      <c r="CW16" s="89"/>
      <c r="CX16" s="89"/>
      <c r="CY16" s="89"/>
      <c r="CZ16" s="89"/>
      <c r="DA16" s="89"/>
      <c r="DB16" s="89"/>
      <c r="DC16" s="89"/>
      <c r="DD16" s="89"/>
      <c r="DE16" s="89"/>
      <c r="DF16" s="89"/>
      <c r="DG16" s="89"/>
      <c r="DH16" s="89"/>
      <c r="DI16" s="89"/>
      <c r="DJ16" s="89"/>
      <c r="DK16" s="89"/>
      <c r="DL16" s="89"/>
      <c r="DM16" s="89"/>
      <c r="DN16" s="89"/>
      <c r="DO16" s="89"/>
      <c r="DP16" s="89"/>
      <c r="DQ16" s="89"/>
      <c r="DR16" s="89"/>
      <c r="DS16" s="89"/>
      <c r="DT16" s="89"/>
      <c r="DU16" s="89"/>
      <c r="DV16" s="89"/>
      <c r="DW16" s="89"/>
      <c r="DX16" s="89"/>
      <c r="DY16" s="89"/>
      <c r="DZ16" s="89"/>
      <c r="EA16" s="89"/>
      <c r="EB16" s="89"/>
      <c r="EC16" s="89"/>
      <c r="ED16" s="89"/>
      <c r="EE16" s="89"/>
      <c r="EF16" s="89"/>
      <c r="EG16" s="89"/>
      <c r="EH16" s="89"/>
      <c r="EI16" s="89"/>
      <c r="EJ16" s="89"/>
      <c r="EK16" s="89"/>
      <c r="EL16" s="89"/>
      <c r="EM16" s="89"/>
      <c r="EN16" s="89"/>
    </row>
    <row r="17" spans="1:144" s="87" customFormat="1" ht="11.25">
      <c r="A17" s="386">
        <v>2</v>
      </c>
      <c r="B17" s="87" t="s">
        <v>20</v>
      </c>
      <c r="C17" s="99" t="s">
        <v>4</v>
      </c>
      <c r="D17" s="177" cm="1">
        <f t="array" ref="D17">SUMPRODUCT((H_Rate_Class=$B17)*'[5]Demand - T'!D$9:D$118)</f>
        <v>0</v>
      </c>
      <c r="E17" s="177" cm="1">
        <f t="array" ref="E17">SUMPRODUCT((H_Rate_Class=$B17)*'[5]Demand - T'!E$9:E$118)</f>
        <v>0</v>
      </c>
      <c r="F17" s="177" cm="1">
        <f t="array" ref="F17">SUMPRODUCT((H_Rate_Class=$B17)*'[5]Demand - T'!F$9:F$118)</f>
        <v>0</v>
      </c>
      <c r="G17" s="177" cm="1">
        <f t="array" ref="G17">SUMPRODUCT((H_Rate_Class=$B17)*'[5]Demand - T'!G$9:G$118)</f>
        <v>0</v>
      </c>
      <c r="H17" s="177" cm="1">
        <f t="array" ref="H17">SUMPRODUCT((H_Rate_Class=$B17)*'[5]Demand - T'!H$9:H$118)</f>
        <v>0</v>
      </c>
      <c r="I17" s="177" cm="1">
        <f t="array" ref="I17">SUMPRODUCT((H_Rate_Class=$B17)*'[5]Demand - T'!I$9:I$118)</f>
        <v>0</v>
      </c>
      <c r="J17" s="177" cm="1">
        <f t="array" ref="J17">SUMPRODUCT((H_Rate_Class=$B17)*'[5]Demand - T'!J$9:J$118)</f>
        <v>0</v>
      </c>
      <c r="K17" s="177" cm="1">
        <f t="array" ref="K17">SUMPRODUCT((H_Rate_Class=$B17)*'[5]Demand - T'!K$9:K$118)</f>
        <v>0</v>
      </c>
      <c r="L17" s="177" cm="1">
        <f t="array" ref="L17">SUMPRODUCT((H_Rate_Class=$B17)*'[5]Demand - T'!L$9:L$118)</f>
        <v>0</v>
      </c>
      <c r="M17" s="177" cm="1">
        <f t="array" ref="M17">SUMPRODUCT((H_Rate_Class=$B17)*'[5]Demand - T'!M$9:M$118)</f>
        <v>0</v>
      </c>
      <c r="N17" s="177" cm="1">
        <f t="array" ref="N17">SUMPRODUCT((H_Rate_Class=$B17)*'[5]Demand - T'!N$9:N$118)</f>
        <v>0</v>
      </c>
      <c r="O17" s="177" cm="1">
        <f t="array" ref="O17">SUMPRODUCT((H_Rate_Class=$B17)*'[5]Demand - T'!O$9:O$118)</f>
        <v>0</v>
      </c>
      <c r="P17" s="158">
        <f>SUM(D17:O17)</f>
        <v>0</v>
      </c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89"/>
      <c r="BH17" s="89"/>
      <c r="BI17" s="89"/>
      <c r="BJ17" s="89"/>
      <c r="BK17" s="89"/>
      <c r="BL17" s="89"/>
      <c r="BM17" s="89"/>
      <c r="BN17" s="89"/>
      <c r="BO17" s="89"/>
      <c r="BP17" s="89"/>
      <c r="BQ17" s="89"/>
      <c r="BR17" s="89"/>
      <c r="BS17" s="89"/>
      <c r="BT17" s="89"/>
      <c r="BU17" s="89"/>
      <c r="BV17" s="89"/>
      <c r="BW17" s="89"/>
      <c r="BX17" s="89"/>
      <c r="BY17" s="89"/>
      <c r="BZ17" s="89"/>
      <c r="CA17" s="89"/>
      <c r="CB17" s="89"/>
      <c r="CC17" s="89"/>
      <c r="CD17" s="89"/>
      <c r="CE17" s="89"/>
      <c r="CF17" s="89"/>
      <c r="CG17" s="89"/>
      <c r="CH17" s="89"/>
      <c r="CI17" s="89"/>
      <c r="CJ17" s="89"/>
      <c r="CK17" s="89"/>
      <c r="CL17" s="89"/>
      <c r="CM17" s="89"/>
      <c r="CN17" s="89"/>
      <c r="CO17" s="89"/>
      <c r="CP17" s="89"/>
      <c r="CQ17" s="89"/>
      <c r="CR17" s="89"/>
      <c r="CS17" s="89"/>
      <c r="CT17" s="89"/>
      <c r="CU17" s="89"/>
      <c r="CV17" s="89"/>
      <c r="CW17" s="89"/>
      <c r="CX17" s="89"/>
      <c r="CY17" s="89"/>
      <c r="CZ17" s="89"/>
      <c r="DA17" s="89"/>
      <c r="DB17" s="89"/>
      <c r="DC17" s="89"/>
      <c r="DD17" s="89"/>
      <c r="DE17" s="89"/>
      <c r="DF17" s="89"/>
      <c r="DG17" s="89"/>
      <c r="DH17" s="89"/>
      <c r="DI17" s="89"/>
      <c r="DJ17" s="89"/>
      <c r="DK17" s="89"/>
      <c r="DL17" s="89"/>
      <c r="DM17" s="89"/>
      <c r="DN17" s="89"/>
      <c r="DO17" s="89"/>
      <c r="DP17" s="89"/>
      <c r="DQ17" s="89"/>
      <c r="DR17" s="89"/>
      <c r="DS17" s="89"/>
      <c r="DT17" s="89"/>
      <c r="DU17" s="89"/>
      <c r="DV17" s="89"/>
      <c r="DW17" s="89"/>
      <c r="DX17" s="89"/>
      <c r="DY17" s="89"/>
      <c r="DZ17" s="89"/>
      <c r="EA17" s="89"/>
      <c r="EB17" s="89"/>
      <c r="EC17" s="89"/>
      <c r="ED17" s="89"/>
      <c r="EE17" s="89"/>
      <c r="EF17" s="89"/>
      <c r="EG17" s="89"/>
      <c r="EH17" s="89"/>
      <c r="EI17" s="89"/>
      <c r="EJ17" s="89"/>
      <c r="EK17" s="89"/>
      <c r="EL17" s="89"/>
      <c r="EM17" s="89"/>
      <c r="EN17" s="89"/>
    </row>
    <row r="18" spans="1:144" s="87" customFormat="1" ht="11.25">
      <c r="A18" s="386"/>
      <c r="C18" s="99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58"/>
      <c r="Q18" s="89" t="s">
        <v>75</v>
      </c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89"/>
      <c r="BM18" s="89"/>
      <c r="BN18" s="89"/>
      <c r="BO18" s="89"/>
      <c r="BP18" s="89"/>
      <c r="BQ18" s="89"/>
      <c r="BR18" s="89"/>
      <c r="BS18" s="89"/>
      <c r="BT18" s="89"/>
      <c r="BU18" s="89"/>
      <c r="BV18" s="89"/>
      <c r="BW18" s="89"/>
      <c r="BX18" s="89"/>
      <c r="BY18" s="89"/>
      <c r="BZ18" s="89"/>
      <c r="CA18" s="89"/>
      <c r="CB18" s="89"/>
      <c r="CC18" s="89"/>
      <c r="CD18" s="89"/>
      <c r="CE18" s="89"/>
      <c r="CF18" s="89"/>
      <c r="CG18" s="89"/>
      <c r="CH18" s="89"/>
      <c r="CI18" s="89"/>
      <c r="CJ18" s="89"/>
      <c r="CK18" s="89"/>
      <c r="CL18" s="89"/>
      <c r="CM18" s="89"/>
      <c r="CN18" s="89"/>
      <c r="CO18" s="89"/>
      <c r="CP18" s="89"/>
      <c r="CQ18" s="89"/>
      <c r="CR18" s="89"/>
      <c r="CS18" s="89"/>
      <c r="CT18" s="89"/>
      <c r="CU18" s="89"/>
      <c r="CV18" s="89"/>
      <c r="CW18" s="89"/>
      <c r="CX18" s="89"/>
      <c r="CY18" s="89"/>
      <c r="CZ18" s="89"/>
      <c r="DA18" s="89"/>
      <c r="DB18" s="89"/>
      <c r="DC18" s="89"/>
      <c r="DD18" s="89"/>
      <c r="DE18" s="89"/>
      <c r="DF18" s="89"/>
      <c r="DG18" s="89"/>
      <c r="DH18" s="89"/>
      <c r="DI18" s="89"/>
      <c r="DJ18" s="89"/>
      <c r="DK18" s="89"/>
      <c r="DL18" s="89"/>
      <c r="DM18" s="89"/>
      <c r="DN18" s="89"/>
      <c r="DO18" s="89"/>
      <c r="DP18" s="89"/>
      <c r="DQ18" s="89"/>
      <c r="DR18" s="89"/>
      <c r="DS18" s="89"/>
      <c r="DT18" s="89"/>
      <c r="DU18" s="89"/>
      <c r="DV18" s="89"/>
      <c r="DW18" s="89"/>
      <c r="DX18" s="89"/>
      <c r="DY18" s="89"/>
      <c r="DZ18" s="89"/>
      <c r="EA18" s="89"/>
      <c r="EB18" s="89"/>
      <c r="EC18" s="89"/>
      <c r="ED18" s="89"/>
      <c r="EE18" s="89"/>
      <c r="EF18" s="89"/>
      <c r="EG18" s="89"/>
      <c r="EH18" s="89"/>
      <c r="EI18" s="89"/>
      <c r="EJ18" s="89"/>
      <c r="EK18" s="89"/>
      <c r="EL18" s="89"/>
      <c r="EM18" s="89"/>
      <c r="EN18" s="89"/>
    </row>
    <row r="19" spans="1:144" s="87" customFormat="1" ht="11.25">
      <c r="A19" s="386">
        <v>3</v>
      </c>
      <c r="B19" s="87" t="s">
        <v>81</v>
      </c>
      <c r="C19" s="157" t="s">
        <v>4</v>
      </c>
      <c r="D19" s="390" cm="1">
        <f t="array" ref="D19">SUMPRODUCT((H_Rate_Class=$B19)*'[5]Demand - T'!D$9:D$118)</f>
        <v>2281411.6</v>
      </c>
      <c r="E19" s="390" cm="1">
        <f t="array" ref="E19">SUMPRODUCT((H_Rate_Class=$B19)*'[5]Demand - T'!E$9:E$118)</f>
        <v>2232552.4000000004</v>
      </c>
      <c r="F19" s="390" cm="1">
        <f t="array" ref="F19">SUMPRODUCT((H_Rate_Class=$B19)*'[5]Demand - T'!F$9:F$118)</f>
        <v>2323174.5</v>
      </c>
      <c r="G19" s="390" cm="1">
        <f t="array" ref="G19">SUMPRODUCT((H_Rate_Class=$B19)*'[5]Demand - T'!G$9:G$118)</f>
        <v>2357604.1</v>
      </c>
      <c r="H19" s="390" cm="1">
        <f t="array" ref="H19">SUMPRODUCT((H_Rate_Class=$B19)*'[5]Demand - T'!H$9:H$118)</f>
        <v>2359212.7999999998</v>
      </c>
      <c r="I19" s="390" cm="1">
        <f t="array" ref="I19">SUMPRODUCT((H_Rate_Class=$B19)*'[5]Demand - T'!I$9:I$118)</f>
        <v>2320876.9000000004</v>
      </c>
      <c r="J19" s="390" cm="1">
        <f t="array" ref="J19">SUMPRODUCT((H_Rate_Class=$B19)*'[5]Demand - T'!J$9:J$118)</f>
        <v>2262691.5</v>
      </c>
      <c r="K19" s="390" cm="1">
        <f t="array" ref="K19">SUMPRODUCT((H_Rate_Class=$B19)*'[5]Demand - T'!K$9:K$118)</f>
        <v>2226349.0999999996</v>
      </c>
      <c r="L19" s="390" cm="1">
        <f t="array" ref="L19">SUMPRODUCT((H_Rate_Class=$B19)*'[5]Demand - T'!L$9:L$118)</f>
        <v>2333516.7999999998</v>
      </c>
      <c r="M19" s="390" cm="1">
        <f t="array" ref="M19">SUMPRODUCT((H_Rate_Class=$B19)*'[5]Demand - T'!M$9:M$118)</f>
        <v>2451830.6999999997</v>
      </c>
      <c r="N19" s="390" cm="1">
        <f t="array" ref="N19">SUMPRODUCT((H_Rate_Class=$B19)*'[5]Demand - T'!N$9:N$118)</f>
        <v>2486314.5</v>
      </c>
      <c r="O19" s="390" cm="1">
        <f t="array" ref="O19">SUMPRODUCT((H_Rate_Class=$B19)*'[5]Demand - T'!O$9:O$118)</f>
        <v>2499353.2999999998</v>
      </c>
      <c r="P19" s="158">
        <f>SUM(D19:O19)</f>
        <v>28134888.199999999</v>
      </c>
      <c r="Q19" s="387">
        <f>'II-H-4.1 Functions'!I19/'II-H-4.1 Tran kW'!P19</f>
        <v>3.8209183848827237</v>
      </c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/>
      <c r="DY19" s="89"/>
      <c r="DZ19" s="89"/>
      <c r="EA19" s="89"/>
      <c r="EB19" s="89"/>
      <c r="EC19" s="89"/>
      <c r="ED19" s="89"/>
      <c r="EE19" s="89"/>
      <c r="EF19" s="89"/>
      <c r="EG19" s="89"/>
      <c r="EH19" s="89"/>
      <c r="EI19" s="89"/>
      <c r="EJ19" s="89"/>
      <c r="EK19" s="89"/>
      <c r="EL19" s="89"/>
      <c r="EM19" s="89"/>
      <c r="EN19" s="89"/>
    </row>
    <row r="20" spans="1:144" s="87" customFormat="1" ht="11.25">
      <c r="A20" s="386">
        <v>4</v>
      </c>
      <c r="B20" s="87" t="s">
        <v>85</v>
      </c>
      <c r="C20" s="157" t="s">
        <v>4</v>
      </c>
      <c r="D20" s="388" cm="1">
        <f t="array" ref="D20">SUMPRODUCT((H_Rate_Class=$B20)*'[5]Demand - T'!D$9:D$118)</f>
        <v>193841.8</v>
      </c>
      <c r="E20" s="388" cm="1">
        <f t="array" ref="E20">SUMPRODUCT((H_Rate_Class=$B20)*'[5]Demand - T'!E$9:E$118)</f>
        <v>198502.1</v>
      </c>
      <c r="F20" s="388" cm="1">
        <f t="array" ref="F20">SUMPRODUCT((H_Rate_Class=$B20)*'[5]Demand - T'!F$9:F$118)</f>
        <v>195840.4</v>
      </c>
      <c r="G20" s="388" cm="1">
        <f t="array" ref="G20">SUMPRODUCT((H_Rate_Class=$B20)*'[5]Demand - T'!G$9:G$118)</f>
        <v>188995.4</v>
      </c>
      <c r="H20" s="388" cm="1">
        <f t="array" ref="H20">SUMPRODUCT((H_Rate_Class=$B20)*'[5]Demand - T'!H$9:H$118)</f>
        <v>188162.4</v>
      </c>
      <c r="I20" s="388" cm="1">
        <f t="array" ref="I20">SUMPRODUCT((H_Rate_Class=$B20)*'[5]Demand - T'!I$9:I$118)</f>
        <v>189839.99999999997</v>
      </c>
      <c r="J20" s="388" cm="1">
        <f t="array" ref="J20">SUMPRODUCT((H_Rate_Class=$B20)*'[5]Demand - T'!J$9:J$118)</f>
        <v>188795.4</v>
      </c>
      <c r="K20" s="388" cm="1">
        <f t="array" ref="K20">SUMPRODUCT((H_Rate_Class=$B20)*'[5]Demand - T'!K$9:K$118)</f>
        <v>191873.4</v>
      </c>
      <c r="L20" s="388" cm="1">
        <f t="array" ref="L20">SUMPRODUCT((H_Rate_Class=$B20)*'[5]Demand - T'!L$9:L$118)</f>
        <v>192443.30000000002</v>
      </c>
      <c r="M20" s="388" cm="1">
        <f t="array" ref="M20">SUMPRODUCT((H_Rate_Class=$B20)*'[5]Demand - T'!M$9:M$118)</f>
        <v>193637.6</v>
      </c>
      <c r="N20" s="388" cm="1">
        <f t="array" ref="N20">SUMPRODUCT((H_Rate_Class=$B20)*'[5]Demand - T'!N$9:N$118)</f>
        <v>192913.6</v>
      </c>
      <c r="O20" s="388" cm="1">
        <f t="array" ref="O20">SUMPRODUCT((H_Rate_Class=$B20)*'[5]Demand - T'!O$9:O$118)</f>
        <v>192436.6</v>
      </c>
      <c r="P20" s="425">
        <f>SUM(D20:O20)</f>
        <v>2307282</v>
      </c>
      <c r="Q20" s="387">
        <f>'II-H-4.1 Functions'!I20/'II-H-4.1 Tran kW'!P20</f>
        <v>5.7759528570846577</v>
      </c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89"/>
      <c r="BM20" s="89"/>
      <c r="BN20" s="89"/>
      <c r="BO20" s="89"/>
      <c r="BP20" s="89"/>
      <c r="BQ20" s="89"/>
      <c r="BR20" s="89"/>
      <c r="BS20" s="89"/>
      <c r="BT20" s="89"/>
      <c r="BU20" s="89"/>
      <c r="BV20" s="89"/>
      <c r="BW20" s="89"/>
      <c r="BX20" s="89"/>
      <c r="BY20" s="89"/>
      <c r="BZ20" s="89"/>
      <c r="CA20" s="89"/>
      <c r="CB20" s="89"/>
      <c r="CC20" s="89"/>
      <c r="CD20" s="89"/>
      <c r="CE20" s="89"/>
      <c r="CF20" s="89"/>
      <c r="CG20" s="89"/>
      <c r="CH20" s="89"/>
      <c r="CI20" s="89"/>
      <c r="CJ20" s="89"/>
      <c r="CK20" s="89"/>
      <c r="CL20" s="89"/>
      <c r="CM20" s="89"/>
      <c r="CN20" s="89"/>
      <c r="CO20" s="89"/>
      <c r="CP20" s="89"/>
      <c r="CQ20" s="89"/>
      <c r="CR20" s="89"/>
      <c r="CS20" s="89"/>
      <c r="CT20" s="89"/>
      <c r="CU20" s="89"/>
      <c r="CV20" s="89"/>
      <c r="CW20" s="89"/>
      <c r="CX20" s="89"/>
      <c r="CY20" s="89"/>
      <c r="CZ20" s="89"/>
      <c r="DA20" s="89"/>
      <c r="DB20" s="89"/>
      <c r="DC20" s="89"/>
      <c r="DD20" s="89"/>
      <c r="DE20" s="89"/>
      <c r="DF20" s="89"/>
      <c r="DG20" s="89"/>
      <c r="DH20" s="89"/>
      <c r="DI20" s="89"/>
      <c r="DJ20" s="89"/>
      <c r="DK20" s="89"/>
      <c r="DL20" s="89"/>
      <c r="DM20" s="89"/>
      <c r="DN20" s="89"/>
      <c r="DO20" s="89"/>
      <c r="DP20" s="89"/>
      <c r="DQ20" s="89"/>
      <c r="DR20" s="89"/>
      <c r="DS20" s="89"/>
      <c r="DT20" s="89"/>
      <c r="DU20" s="89"/>
      <c r="DV20" s="89"/>
      <c r="DW20" s="89"/>
      <c r="DX20" s="89"/>
      <c r="DY20" s="89"/>
      <c r="DZ20" s="89"/>
      <c r="EA20" s="89"/>
      <c r="EB20" s="89"/>
      <c r="EC20" s="89"/>
      <c r="ED20" s="89"/>
      <c r="EE20" s="89"/>
      <c r="EF20" s="89"/>
      <c r="EG20" s="89"/>
      <c r="EH20" s="89"/>
      <c r="EI20" s="89"/>
      <c r="EJ20" s="89"/>
      <c r="EK20" s="89"/>
      <c r="EL20" s="89"/>
      <c r="EM20" s="89"/>
      <c r="EN20" s="89"/>
    </row>
    <row r="21" spans="1:144" s="87" customFormat="1" ht="11.25">
      <c r="A21" s="386">
        <v>5</v>
      </c>
      <c r="B21" s="131" t="s">
        <v>18</v>
      </c>
      <c r="C21" s="99"/>
      <c r="D21" s="177">
        <f>SUM(D19:D20)</f>
        <v>2475253.4</v>
      </c>
      <c r="E21" s="177">
        <f t="shared" ref="E21:O21" si="0">SUM(E19:E20)</f>
        <v>2431054.5000000005</v>
      </c>
      <c r="F21" s="177">
        <f t="shared" si="0"/>
        <v>2519014.9</v>
      </c>
      <c r="G21" s="177">
        <f t="shared" si="0"/>
        <v>2546599.5</v>
      </c>
      <c r="H21" s="177">
        <f t="shared" si="0"/>
        <v>2547375.1999999997</v>
      </c>
      <c r="I21" s="177">
        <f t="shared" si="0"/>
        <v>2510716.9000000004</v>
      </c>
      <c r="J21" s="177">
        <f t="shared" si="0"/>
        <v>2451486.9</v>
      </c>
      <c r="K21" s="177">
        <f t="shared" si="0"/>
        <v>2418222.4999999995</v>
      </c>
      <c r="L21" s="177">
        <f t="shared" si="0"/>
        <v>2525960.0999999996</v>
      </c>
      <c r="M21" s="177">
        <f t="shared" si="0"/>
        <v>2645468.2999999998</v>
      </c>
      <c r="N21" s="177">
        <f t="shared" si="0"/>
        <v>2679228.1</v>
      </c>
      <c r="O21" s="177">
        <f t="shared" si="0"/>
        <v>2691789.9</v>
      </c>
      <c r="P21" s="177">
        <f>SUM(P19:P20)</f>
        <v>30442170.199999999</v>
      </c>
      <c r="Q21" s="387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89"/>
      <c r="BK21" s="89"/>
      <c r="BL21" s="89"/>
      <c r="BM21" s="89"/>
      <c r="BN21" s="89"/>
      <c r="BO21" s="89"/>
      <c r="BP21" s="89"/>
      <c r="BQ21" s="89"/>
      <c r="BR21" s="89"/>
      <c r="BS21" s="89"/>
      <c r="BT21" s="89"/>
      <c r="BU21" s="89"/>
      <c r="BV21" s="89"/>
      <c r="BW21" s="89"/>
      <c r="BX21" s="89"/>
      <c r="BY21" s="89"/>
      <c r="BZ21" s="89"/>
      <c r="CA21" s="89"/>
      <c r="CB21" s="89"/>
      <c r="CC21" s="89"/>
      <c r="CD21" s="89"/>
      <c r="CE21" s="89"/>
      <c r="CF21" s="89"/>
      <c r="CG21" s="89"/>
      <c r="CH21" s="89"/>
      <c r="CI21" s="89"/>
      <c r="CJ21" s="89"/>
      <c r="CK21" s="89"/>
      <c r="CL21" s="89"/>
      <c r="CM21" s="89"/>
      <c r="CN21" s="89"/>
      <c r="CO21" s="89"/>
      <c r="CP21" s="89"/>
      <c r="CQ21" s="89"/>
      <c r="CR21" s="89"/>
      <c r="CS21" s="89"/>
      <c r="CT21" s="89"/>
      <c r="CU21" s="89"/>
      <c r="CV21" s="89"/>
      <c r="CW21" s="89"/>
      <c r="CX21" s="89"/>
      <c r="CY21" s="89"/>
      <c r="CZ21" s="89"/>
      <c r="DA21" s="89"/>
      <c r="DB21" s="89"/>
      <c r="DC21" s="89"/>
      <c r="DD21" s="89"/>
      <c r="DE21" s="89"/>
      <c r="DF21" s="89"/>
      <c r="DG21" s="89"/>
      <c r="DH21" s="89"/>
      <c r="DI21" s="89"/>
      <c r="DJ21" s="89"/>
      <c r="DK21" s="89"/>
      <c r="DL21" s="89"/>
      <c r="DM21" s="89"/>
      <c r="DN21" s="89"/>
      <c r="DO21" s="89"/>
      <c r="DP21" s="89"/>
      <c r="DQ21" s="89"/>
      <c r="DR21" s="89"/>
      <c r="DS21" s="89"/>
      <c r="DT21" s="89"/>
      <c r="DU21" s="89"/>
      <c r="DV21" s="89"/>
      <c r="DW21" s="89"/>
      <c r="DX21" s="89"/>
      <c r="DY21" s="89"/>
      <c r="DZ21" s="89"/>
      <c r="EA21" s="89"/>
      <c r="EB21" s="89"/>
      <c r="EC21" s="89"/>
      <c r="ED21" s="89"/>
      <c r="EE21" s="89"/>
      <c r="EF21" s="89"/>
      <c r="EG21" s="89"/>
      <c r="EH21" s="89"/>
      <c r="EI21" s="89"/>
      <c r="EJ21" s="89"/>
      <c r="EK21" s="89"/>
      <c r="EL21" s="89"/>
      <c r="EM21" s="89"/>
      <c r="EN21" s="89"/>
    </row>
    <row r="22" spans="1:144" s="87" customFormat="1" ht="11.25">
      <c r="A22" s="4"/>
      <c r="B22" s="147"/>
      <c r="C22" s="99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58"/>
      <c r="Q22" s="387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89"/>
      <c r="BM22" s="89"/>
      <c r="BN22" s="89"/>
      <c r="BO22" s="89"/>
      <c r="BP22" s="89"/>
      <c r="BQ22" s="89"/>
      <c r="BR22" s="89"/>
      <c r="BS22" s="89"/>
      <c r="BT22" s="89"/>
      <c r="BU22" s="89"/>
      <c r="BV22" s="89"/>
      <c r="BW22" s="89"/>
      <c r="BX22" s="89"/>
      <c r="BY22" s="89"/>
      <c r="BZ22" s="89"/>
      <c r="CA22" s="89"/>
      <c r="CB22" s="89"/>
      <c r="CC22" s="89"/>
      <c r="CD22" s="89"/>
      <c r="CE22" s="89"/>
      <c r="CF22" s="89"/>
      <c r="CG22" s="89"/>
      <c r="CH22" s="89"/>
      <c r="CI22" s="89"/>
      <c r="CJ22" s="89"/>
      <c r="CK22" s="89"/>
      <c r="CL22" s="89"/>
      <c r="CM22" s="89"/>
      <c r="CN22" s="89"/>
      <c r="CO22" s="89"/>
      <c r="CP22" s="89"/>
      <c r="CQ22" s="89"/>
      <c r="CR22" s="89"/>
      <c r="CS22" s="89"/>
      <c r="CT22" s="89"/>
      <c r="CU22" s="89"/>
      <c r="CV22" s="89"/>
      <c r="CW22" s="89"/>
      <c r="CX22" s="89"/>
      <c r="CY22" s="89"/>
      <c r="CZ22" s="89"/>
      <c r="DA22" s="89"/>
      <c r="DB22" s="89"/>
      <c r="DC22" s="89"/>
      <c r="DD22" s="89"/>
      <c r="DE22" s="89"/>
      <c r="DF22" s="89"/>
      <c r="DG22" s="89"/>
      <c r="DH22" s="89"/>
      <c r="DI22" s="89"/>
      <c r="DJ22" s="89"/>
      <c r="DK22" s="89"/>
      <c r="DL22" s="89"/>
      <c r="DM22" s="89"/>
      <c r="DN22" s="89"/>
      <c r="DO22" s="89"/>
      <c r="DP22" s="89"/>
      <c r="DQ22" s="89"/>
      <c r="DR22" s="89"/>
      <c r="DS22" s="89"/>
      <c r="DT22" s="89"/>
      <c r="DU22" s="89"/>
      <c r="DV22" s="89"/>
      <c r="DW22" s="89"/>
      <c r="DX22" s="89"/>
      <c r="DY22" s="89"/>
      <c r="DZ22" s="89"/>
      <c r="EA22" s="89"/>
      <c r="EB22" s="89"/>
      <c r="EC22" s="89"/>
      <c r="ED22" s="89"/>
      <c r="EE22" s="89"/>
      <c r="EF22" s="89"/>
      <c r="EG22" s="89"/>
      <c r="EH22" s="89"/>
      <c r="EI22" s="89"/>
      <c r="EJ22" s="89"/>
      <c r="EK22" s="89"/>
      <c r="EL22" s="89"/>
      <c r="EM22" s="89"/>
      <c r="EN22" s="89"/>
    </row>
    <row r="23" spans="1:144" s="87" customFormat="1" ht="11.25">
      <c r="A23" s="386">
        <v>6</v>
      </c>
      <c r="B23" s="87" t="s">
        <v>82</v>
      </c>
      <c r="C23" s="157" t="s">
        <v>5</v>
      </c>
      <c r="D23" s="390" cm="1">
        <f t="array" ref="D23">SUMPRODUCT((H_Rate_Class=$B23)*'[5]Demand - T'!D$9:D$118)-D25</f>
        <v>51013.499999999993</v>
      </c>
      <c r="E23" s="390" cm="1">
        <f t="array" ref="E23">SUMPRODUCT((H_Rate_Class=$B23)*'[5]Demand - T'!E$9:E$118)-E25</f>
        <v>52211.8</v>
      </c>
      <c r="F23" s="390" cm="1">
        <f t="array" ref="F23">SUMPRODUCT((H_Rate_Class=$B23)*'[5]Demand - T'!F$9:F$118)-F25</f>
        <v>53969.9</v>
      </c>
      <c r="G23" s="390" cm="1">
        <f t="array" ref="G23">SUMPRODUCT((H_Rate_Class=$B23)*'[5]Demand - T'!G$9:G$118)-G25</f>
        <v>52282.7</v>
      </c>
      <c r="H23" s="390" cm="1">
        <f t="array" ref="H23">SUMPRODUCT((H_Rate_Class=$B23)*'[5]Demand - T'!H$9:H$118)-H25</f>
        <v>52371.9</v>
      </c>
      <c r="I23" s="390" cm="1">
        <f t="array" ref="I23">SUMPRODUCT((H_Rate_Class=$B23)*'[5]Demand - T'!I$9:I$118)-I25</f>
        <v>55565.5</v>
      </c>
      <c r="J23" s="390" cm="1">
        <f t="array" ref="J23">SUMPRODUCT((H_Rate_Class=$B23)*'[5]Demand - T'!J$9:J$118)-J25</f>
        <v>58487.3</v>
      </c>
      <c r="K23" s="390" cm="1">
        <f t="array" ref="K23">SUMPRODUCT((H_Rate_Class=$B23)*'[5]Demand - T'!K$9:K$118)-K25</f>
        <v>57341.399999999994</v>
      </c>
      <c r="L23" s="390" cm="1">
        <f t="array" ref="L23">SUMPRODUCT((H_Rate_Class=$B23)*'[5]Demand - T'!L$9:L$118)-L25</f>
        <v>55515.499999999993</v>
      </c>
      <c r="M23" s="390" cm="1">
        <f t="array" ref="M23">SUMPRODUCT((H_Rate_Class=$B23)*'[5]Demand - T'!M$9:M$118)-M25</f>
        <v>62462.999999999993</v>
      </c>
      <c r="N23" s="390" cm="1">
        <f t="array" ref="N23">SUMPRODUCT((H_Rate_Class=$B23)*'[5]Demand - T'!N$9:N$118)-N25</f>
        <v>56747.8</v>
      </c>
      <c r="O23" s="390" cm="1">
        <f t="array" ref="O23">SUMPRODUCT((H_Rate_Class=$B23)*'[5]Demand - T'!O$9:O$118)-O25</f>
        <v>58090.399999999987</v>
      </c>
      <c r="P23" s="158">
        <f>SUM(D23:O23)</f>
        <v>666060.69999999995</v>
      </c>
      <c r="Q23" s="387">
        <f>'II-H-4.1 Functions'!I23/'II-H-4.1 Tran kW'!P23</f>
        <v>3.9313480738317099</v>
      </c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  <c r="DZ23" s="89"/>
      <c r="EA23" s="89"/>
      <c r="EB23" s="89"/>
      <c r="EC23" s="89"/>
      <c r="ED23" s="89"/>
      <c r="EE23" s="89"/>
      <c r="EF23" s="89"/>
      <c r="EG23" s="89"/>
      <c r="EH23" s="89"/>
      <c r="EI23" s="89"/>
      <c r="EJ23" s="89"/>
      <c r="EK23" s="89"/>
      <c r="EL23" s="89"/>
      <c r="EM23" s="89"/>
      <c r="EN23" s="89"/>
    </row>
    <row r="24" spans="1:144" s="87" customFormat="1" ht="11.25">
      <c r="A24" s="386">
        <v>7</v>
      </c>
      <c r="B24" s="87" t="s">
        <v>83</v>
      </c>
      <c r="C24" s="157" t="s">
        <v>5</v>
      </c>
      <c r="D24" s="390" cm="1">
        <f t="array" ref="D24">SUMPRODUCT((H_Rate_Class=$B24)*'[5]Demand - T'!D$9:D$118)-D26</f>
        <v>426046.70000000007</v>
      </c>
      <c r="E24" s="390" cm="1">
        <f t="array" ref="E24">SUMPRODUCT((H_Rate_Class=$B24)*'[5]Demand - T'!E$9:E$118)-E26</f>
        <v>430453.99999999988</v>
      </c>
      <c r="F24" s="390" cm="1">
        <f t="array" ref="F24">SUMPRODUCT((H_Rate_Class=$B24)*'[5]Demand - T'!F$9:F$118)-F26</f>
        <v>424411.79999999993</v>
      </c>
      <c r="G24" s="390" cm="1">
        <f t="array" ref="G24">SUMPRODUCT((H_Rate_Class=$B24)*'[5]Demand - T'!G$9:G$118)-G26</f>
        <v>459454.19999999995</v>
      </c>
      <c r="H24" s="390" cm="1">
        <f t="array" ref="H24">SUMPRODUCT((H_Rate_Class=$B24)*'[5]Demand - T'!H$9:H$118)-H26</f>
        <v>449906.10000000009</v>
      </c>
      <c r="I24" s="390" cm="1">
        <f t="array" ref="I24">SUMPRODUCT((H_Rate_Class=$B24)*'[5]Demand - T'!I$9:I$118)-I26</f>
        <v>448071.8000000001</v>
      </c>
      <c r="J24" s="390" cm="1">
        <f t="array" ref="J24">SUMPRODUCT((H_Rate_Class=$B24)*'[5]Demand - T'!J$9:J$118)-J26</f>
        <v>444946.90000000008</v>
      </c>
      <c r="K24" s="390" cm="1">
        <f t="array" ref="K24">SUMPRODUCT((H_Rate_Class=$B24)*'[5]Demand - T'!K$9:K$118)-K26</f>
        <v>469608.20000000007</v>
      </c>
      <c r="L24" s="390" cm="1">
        <f t="array" ref="L24">SUMPRODUCT((H_Rate_Class=$B24)*'[5]Demand - T'!L$9:L$118)-L26</f>
        <v>456014.60000000009</v>
      </c>
      <c r="M24" s="390" cm="1">
        <f t="array" ref="M24">SUMPRODUCT((H_Rate_Class=$B24)*'[5]Demand - T'!M$9:M$118)-M26</f>
        <v>449465.8000000001</v>
      </c>
      <c r="N24" s="390" cm="1">
        <f t="array" ref="N24">SUMPRODUCT((H_Rate_Class=$B24)*'[5]Demand - T'!N$9:N$118)-N26</f>
        <v>450093.60000000003</v>
      </c>
      <c r="O24" s="390" cm="1">
        <f t="array" ref="O24">SUMPRODUCT((H_Rate_Class=$B24)*'[5]Demand - T'!O$9:O$118)-O26</f>
        <v>436046.79999999993</v>
      </c>
      <c r="P24" s="158">
        <f>SUM(D24:O24)</f>
        <v>5344520.5</v>
      </c>
      <c r="Q24" s="387">
        <f>'II-H-4.1 Functions'!I24/'II-H-4.1 Tran kW'!P24</f>
        <v>6.2836644653154563</v>
      </c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89"/>
      <c r="BK24" s="89"/>
      <c r="BL24" s="89"/>
      <c r="BM24" s="89"/>
      <c r="BN24" s="89"/>
      <c r="BO24" s="89"/>
      <c r="BP24" s="89"/>
      <c r="BQ24" s="89"/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 s="89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89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89"/>
      <c r="DN24" s="89"/>
      <c r="DO24" s="89"/>
      <c r="DP24" s="89"/>
      <c r="DQ24" s="89"/>
      <c r="DR24" s="89"/>
      <c r="DS24" s="89"/>
      <c r="DT24" s="89"/>
      <c r="DU24" s="89"/>
      <c r="DV24" s="89"/>
      <c r="DW24" s="89"/>
      <c r="DX24" s="89"/>
      <c r="DY24" s="89"/>
      <c r="DZ24" s="89"/>
      <c r="EA24" s="89"/>
      <c r="EB24" s="89"/>
      <c r="EC24" s="89"/>
      <c r="ED24" s="89"/>
      <c r="EE24" s="89"/>
      <c r="EF24" s="89"/>
      <c r="EG24" s="89"/>
      <c r="EH24" s="89"/>
      <c r="EI24" s="89"/>
      <c r="EJ24" s="89"/>
      <c r="EK24" s="89"/>
      <c r="EL24" s="89"/>
      <c r="EM24" s="89"/>
      <c r="EN24" s="89"/>
    </row>
    <row r="25" spans="1:144" s="87" customFormat="1" ht="11.25">
      <c r="A25" s="386">
        <v>8</v>
      </c>
      <c r="B25" s="87" t="s">
        <v>148</v>
      </c>
      <c r="C25" s="157" t="s">
        <v>5</v>
      </c>
      <c r="D25" s="390">
        <f>'Primary Sub'!C22</f>
        <v>1391.8999999999999</v>
      </c>
      <c r="E25" s="390">
        <f>'Primary Sub'!D22</f>
        <v>1110.5999999999999</v>
      </c>
      <c r="F25" s="390">
        <f>'Primary Sub'!E22</f>
        <v>1034.8999999999999</v>
      </c>
      <c r="G25" s="390">
        <f>'Primary Sub'!F22</f>
        <v>1021.9999999999999</v>
      </c>
      <c r="H25" s="390">
        <f>'Primary Sub'!G22</f>
        <v>1033.0999999999999</v>
      </c>
      <c r="I25" s="390">
        <f>'Primary Sub'!H22</f>
        <v>1134.4000000000001</v>
      </c>
      <c r="J25" s="390">
        <f>'Primary Sub'!I22</f>
        <v>1201.9999999999998</v>
      </c>
      <c r="K25" s="390">
        <f>'Primary Sub'!J22</f>
        <v>1356.4</v>
      </c>
      <c r="L25" s="390">
        <f>'Primary Sub'!K22</f>
        <v>1314.1999999999998</v>
      </c>
      <c r="M25" s="390">
        <f>'Primary Sub'!L22</f>
        <v>1320.6</v>
      </c>
      <c r="N25" s="390">
        <f>'Primary Sub'!M22</f>
        <v>1305.3999999999999</v>
      </c>
      <c r="O25" s="390">
        <f>'Primary Sub'!N22</f>
        <v>1284.3</v>
      </c>
      <c r="P25" s="158">
        <f>IF(SUM(D25:O25)='Primary Sub'!O22,SUM(D25:O25),0)</f>
        <v>14509.8</v>
      </c>
      <c r="Q25" s="387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 s="89"/>
      <c r="CH25" s="89"/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89"/>
      <c r="DN25" s="89"/>
      <c r="DO25" s="89"/>
      <c r="DP25" s="89"/>
      <c r="DQ25" s="89"/>
      <c r="DR25" s="89"/>
      <c r="DS25" s="89"/>
      <c r="DT25" s="89"/>
      <c r="DU25" s="89"/>
      <c r="DV25" s="89"/>
      <c r="DW25" s="89"/>
      <c r="DX25" s="89"/>
      <c r="DY25" s="89"/>
      <c r="DZ25" s="89"/>
      <c r="EA25" s="89"/>
      <c r="EB25" s="89"/>
      <c r="EC25" s="89"/>
      <c r="ED25" s="89"/>
      <c r="EE25" s="89"/>
      <c r="EF25" s="89"/>
      <c r="EG25" s="89"/>
      <c r="EH25" s="89"/>
      <c r="EI25" s="89"/>
      <c r="EJ25" s="89"/>
      <c r="EK25" s="89"/>
      <c r="EL25" s="89"/>
      <c r="EM25" s="89"/>
      <c r="EN25" s="89"/>
    </row>
    <row r="26" spans="1:144" s="87" customFormat="1" ht="11.25">
      <c r="A26" s="386">
        <v>9</v>
      </c>
      <c r="B26" s="87" t="s">
        <v>149</v>
      </c>
      <c r="C26" s="157" t="s">
        <v>5</v>
      </c>
      <c r="D26" s="390">
        <f>'Primary Sub'!C23</f>
        <v>106232.09999999999</v>
      </c>
      <c r="E26" s="390">
        <f>'Primary Sub'!D23</f>
        <v>106137.1</v>
      </c>
      <c r="F26" s="390">
        <f>'Primary Sub'!E23</f>
        <v>105862.49999999999</v>
      </c>
      <c r="G26" s="390">
        <f>'Primary Sub'!F23</f>
        <v>111247.49999999997</v>
      </c>
      <c r="H26" s="390">
        <f>'Primary Sub'!G23</f>
        <v>112591.19999999997</v>
      </c>
      <c r="I26" s="390">
        <f>'Primary Sub'!H23</f>
        <v>110842.29999999997</v>
      </c>
      <c r="J26" s="390">
        <f>'Primary Sub'!I23</f>
        <v>110915.79999999997</v>
      </c>
      <c r="K26" s="390">
        <f>'Primary Sub'!J23</f>
        <v>108569.19999999998</v>
      </c>
      <c r="L26" s="390">
        <f>'Primary Sub'!K23</f>
        <v>106830.99999999999</v>
      </c>
      <c r="M26" s="390">
        <f>'Primary Sub'!L23</f>
        <v>105949.29999999997</v>
      </c>
      <c r="N26" s="390">
        <f>'Primary Sub'!M23</f>
        <v>105949.29999999997</v>
      </c>
      <c r="O26" s="390">
        <f>'Primary Sub'!N23</f>
        <v>105910.99999999999</v>
      </c>
      <c r="P26" s="158">
        <f>IF(SUM(D26:O26)='Primary Sub'!O23,SUM(D26:O26),0)</f>
        <v>1297038.2999999998</v>
      </c>
      <c r="Q26" s="387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89"/>
      <c r="BN26" s="89"/>
      <c r="BO26" s="89"/>
      <c r="BP26" s="89"/>
      <c r="BQ26" s="89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89"/>
      <c r="CD26" s="89"/>
      <c r="CE26" s="89"/>
      <c r="CF26" s="89"/>
      <c r="CG26" s="89"/>
      <c r="CH26" s="89"/>
      <c r="CI26" s="89"/>
      <c r="CJ26" s="89"/>
      <c r="CK26" s="89"/>
      <c r="CL26" s="89"/>
      <c r="CM26" s="89"/>
      <c r="CN26" s="89"/>
      <c r="CO26" s="89"/>
      <c r="CP26" s="89"/>
      <c r="CQ26" s="89"/>
      <c r="CR26" s="89"/>
      <c r="CS26" s="89"/>
      <c r="CT26" s="89"/>
      <c r="CU26" s="89"/>
      <c r="CV26" s="89"/>
      <c r="CW26" s="89"/>
      <c r="CX26" s="89"/>
      <c r="CY26" s="89"/>
      <c r="CZ26" s="89"/>
      <c r="DA26" s="89"/>
      <c r="DB26" s="89"/>
      <c r="DC26" s="89"/>
      <c r="DD26" s="89"/>
      <c r="DE26" s="89"/>
      <c r="DF26" s="89"/>
      <c r="DG26" s="89"/>
      <c r="DH26" s="89"/>
      <c r="DI26" s="89"/>
      <c r="DJ26" s="89"/>
      <c r="DK26" s="89"/>
      <c r="DL26" s="89"/>
      <c r="DM26" s="89"/>
      <c r="DN26" s="89"/>
      <c r="DO26" s="89"/>
      <c r="DP26" s="89"/>
      <c r="DQ26" s="89"/>
      <c r="DR26" s="89"/>
      <c r="DS26" s="89"/>
      <c r="DT26" s="89"/>
      <c r="DU26" s="89"/>
      <c r="DV26" s="89"/>
      <c r="DW26" s="89"/>
      <c r="DX26" s="89"/>
      <c r="DY26" s="89"/>
      <c r="DZ26" s="89"/>
      <c r="EA26" s="89"/>
      <c r="EB26" s="89"/>
      <c r="EC26" s="89"/>
      <c r="ED26" s="89"/>
      <c r="EE26" s="89"/>
      <c r="EF26" s="89"/>
      <c r="EG26" s="89"/>
      <c r="EH26" s="89"/>
      <c r="EI26" s="89"/>
      <c r="EJ26" s="89"/>
      <c r="EK26" s="89"/>
      <c r="EL26" s="89"/>
      <c r="EM26" s="89"/>
      <c r="EN26" s="89"/>
    </row>
    <row r="27" spans="1:144" s="87" customFormat="1" ht="11.25">
      <c r="A27" s="386">
        <v>10</v>
      </c>
      <c r="B27" s="87" t="s">
        <v>19</v>
      </c>
      <c r="C27" s="157"/>
      <c r="D27" s="391">
        <f>SUM(D23:D26)</f>
        <v>584684.20000000007</v>
      </c>
      <c r="E27" s="391">
        <f t="shared" ref="E27:O27" si="1">SUM(E23:E26)</f>
        <v>589913.49999999988</v>
      </c>
      <c r="F27" s="391">
        <f t="shared" si="1"/>
        <v>585279.1</v>
      </c>
      <c r="G27" s="391">
        <f t="shared" si="1"/>
        <v>624006.39999999991</v>
      </c>
      <c r="H27" s="391">
        <f t="shared" si="1"/>
        <v>615902.30000000005</v>
      </c>
      <c r="I27" s="391">
        <f t="shared" si="1"/>
        <v>615614.00000000012</v>
      </c>
      <c r="J27" s="391">
        <f t="shared" si="1"/>
        <v>615552</v>
      </c>
      <c r="K27" s="391">
        <f t="shared" si="1"/>
        <v>636875.20000000007</v>
      </c>
      <c r="L27" s="391">
        <f t="shared" si="1"/>
        <v>619675.30000000005</v>
      </c>
      <c r="M27" s="391">
        <f t="shared" si="1"/>
        <v>619198.70000000007</v>
      </c>
      <c r="N27" s="391">
        <f t="shared" si="1"/>
        <v>614096.1</v>
      </c>
      <c r="O27" s="391">
        <f t="shared" si="1"/>
        <v>601332.49999999988</v>
      </c>
      <c r="P27" s="391">
        <f>SUM(P23:P26)</f>
        <v>7322129.2999999998</v>
      </c>
      <c r="Q27" s="387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89"/>
      <c r="DU27" s="89"/>
      <c r="DV27" s="89"/>
      <c r="DW27" s="89"/>
      <c r="DX27" s="89"/>
      <c r="DY27" s="89"/>
      <c r="DZ27" s="89"/>
      <c r="EA27" s="89"/>
      <c r="EB27" s="89"/>
      <c r="EC27" s="89"/>
      <c r="ED27" s="89"/>
      <c r="EE27" s="89"/>
      <c r="EF27" s="89"/>
      <c r="EG27" s="89"/>
      <c r="EH27" s="89"/>
      <c r="EI27" s="89"/>
      <c r="EJ27" s="89"/>
      <c r="EK27" s="89"/>
      <c r="EL27" s="89"/>
      <c r="EM27" s="89"/>
      <c r="EN27" s="89"/>
    </row>
    <row r="28" spans="1:144" s="87" customFormat="1" ht="11.25">
      <c r="A28" s="386"/>
      <c r="C28" s="15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58"/>
      <c r="Q28" s="387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89"/>
      <c r="BL28" s="89"/>
      <c r="BM28" s="89"/>
      <c r="BN28" s="89"/>
      <c r="BO28" s="89"/>
      <c r="BP28" s="89"/>
      <c r="BQ28" s="89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89"/>
      <c r="CF28" s="89"/>
      <c r="CG28" s="89"/>
      <c r="CH28" s="89"/>
      <c r="CI28" s="89"/>
      <c r="CJ28" s="89"/>
      <c r="CK28" s="89"/>
      <c r="CL28" s="89"/>
      <c r="CM28" s="89"/>
      <c r="CN28" s="89"/>
      <c r="CO28" s="89"/>
      <c r="CP28" s="89"/>
      <c r="CQ28" s="89"/>
      <c r="CR28" s="89"/>
      <c r="CS28" s="89"/>
      <c r="CT28" s="89"/>
      <c r="CU28" s="89"/>
      <c r="CV28" s="89"/>
      <c r="CW28" s="89"/>
      <c r="CX28" s="89"/>
      <c r="CY28" s="89"/>
      <c r="CZ28" s="89"/>
      <c r="DA28" s="89"/>
      <c r="DB28" s="89"/>
      <c r="DC28" s="89"/>
      <c r="DD28" s="89"/>
      <c r="DE28" s="89"/>
      <c r="DF28" s="89"/>
      <c r="DG28" s="89"/>
      <c r="DH28" s="89"/>
      <c r="DI28" s="89"/>
      <c r="DJ28" s="89"/>
      <c r="DK28" s="89"/>
      <c r="DL28" s="89"/>
      <c r="DM28" s="89"/>
      <c r="DN28" s="89"/>
      <c r="DO28" s="89"/>
      <c r="DP28" s="89"/>
      <c r="DQ28" s="89"/>
      <c r="DR28" s="89"/>
      <c r="DS28" s="89"/>
      <c r="DT28" s="89"/>
      <c r="DU28" s="89"/>
      <c r="DV28" s="89"/>
      <c r="DW28" s="89"/>
      <c r="DX28" s="89"/>
      <c r="DY28" s="89"/>
      <c r="DZ28" s="89"/>
      <c r="EA28" s="89"/>
      <c r="EB28" s="89"/>
      <c r="EC28" s="89"/>
      <c r="ED28" s="89"/>
      <c r="EE28" s="89"/>
      <c r="EF28" s="89"/>
      <c r="EG28" s="89"/>
      <c r="EH28" s="89"/>
      <c r="EI28" s="89"/>
      <c r="EJ28" s="89"/>
      <c r="EK28" s="89"/>
      <c r="EL28" s="89"/>
      <c r="EM28" s="89"/>
      <c r="EN28" s="89"/>
    </row>
    <row r="29" spans="1:144" s="87" customFormat="1" ht="11.25">
      <c r="A29" s="386">
        <v>11</v>
      </c>
      <c r="B29" s="131" t="s">
        <v>86</v>
      </c>
      <c r="C29" s="157" t="s">
        <v>6</v>
      </c>
      <c r="D29" s="390" cm="1">
        <f t="array" ref="D29">SUMPRODUCT((H_Rate_Class=$B29)*'[5]Demand - T'!D$9:D$118)</f>
        <v>686275.29999999993</v>
      </c>
      <c r="E29" s="390" cm="1">
        <f t="array" ref="E29">SUMPRODUCT((H_Rate_Class=$B29)*'[5]Demand - T'!E$9:E$118)</f>
        <v>690641.10000000009</v>
      </c>
      <c r="F29" s="390" cm="1">
        <f t="array" ref="F29">SUMPRODUCT((H_Rate_Class=$B29)*'[5]Demand - T'!F$9:F$118)</f>
        <v>854607.3</v>
      </c>
      <c r="G29" s="390" cm="1">
        <f t="array" ref="G29">SUMPRODUCT((H_Rate_Class=$B29)*'[5]Demand - T'!G$9:G$118)</f>
        <v>841844.8</v>
      </c>
      <c r="H29" s="390" cm="1">
        <f t="array" ref="H29">SUMPRODUCT((H_Rate_Class=$B29)*'[5]Demand - T'!H$9:H$118)</f>
        <v>848647.9</v>
      </c>
      <c r="I29" s="390" cm="1">
        <f t="array" ref="I29">SUMPRODUCT((H_Rate_Class=$B29)*'[5]Demand - T'!I$9:I$118)</f>
        <v>1034765.2000000001</v>
      </c>
      <c r="J29" s="390" cm="1">
        <f t="array" ref="J29">SUMPRODUCT((H_Rate_Class=$B29)*'[5]Demand - T'!J$9:J$118)</f>
        <v>935977.9</v>
      </c>
      <c r="K29" s="390" cm="1">
        <f t="array" ref="K29">SUMPRODUCT((H_Rate_Class=$B29)*'[5]Demand - T'!K$9:K$118)</f>
        <v>1014399.4000000001</v>
      </c>
      <c r="L29" s="390" cm="1">
        <f t="array" ref="L29">SUMPRODUCT((H_Rate_Class=$B29)*'[5]Demand - T'!L$9:L$118)</f>
        <v>902543.1</v>
      </c>
      <c r="M29" s="390" cm="1">
        <f t="array" ref="M29">SUMPRODUCT((H_Rate_Class=$B29)*'[5]Demand - T'!M$9:M$118)</f>
        <v>1038078.9</v>
      </c>
      <c r="N29" s="390" cm="1">
        <f t="array" ref="N29">SUMPRODUCT((H_Rate_Class=$B29)*'[5]Demand - T'!N$9:N$118)</f>
        <v>828590.1</v>
      </c>
      <c r="O29" s="390" cm="1">
        <f t="array" ref="O29">SUMPRODUCT((H_Rate_Class=$B29)*'[5]Demand - T'!O$9:O$118)</f>
        <v>758941.4</v>
      </c>
      <c r="P29" s="158">
        <f>SUM(D29:O29)</f>
        <v>10435312.4</v>
      </c>
      <c r="Q29" s="387">
        <f>'II-H-4.1 Functions'!I29/'II-H-4.1 Tran kW'!P29</f>
        <v>5.0299593359562476</v>
      </c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89"/>
      <c r="BN29" s="89"/>
      <c r="BO29" s="89"/>
      <c r="BP29" s="89"/>
      <c r="BQ29" s="89"/>
      <c r="BR29" s="89"/>
      <c r="BS29" s="89"/>
      <c r="BT29" s="89"/>
      <c r="BU29" s="89"/>
      <c r="BV29" s="89"/>
      <c r="BW29" s="89"/>
      <c r="BX29" s="89"/>
      <c r="BY29" s="89"/>
      <c r="BZ29" s="89"/>
      <c r="CA29" s="89"/>
      <c r="CB29" s="89"/>
      <c r="CC29" s="89"/>
      <c r="CD29" s="89"/>
      <c r="CE29" s="89"/>
      <c r="CF29" s="89"/>
      <c r="CG29" s="89"/>
      <c r="CH29" s="89"/>
      <c r="CI29" s="89"/>
      <c r="CJ29" s="89"/>
      <c r="CK29" s="89"/>
      <c r="CL29" s="89"/>
      <c r="CM29" s="89"/>
      <c r="CN29" s="89"/>
      <c r="CO29" s="89"/>
      <c r="CP29" s="89"/>
      <c r="CQ29" s="89"/>
      <c r="CR29" s="89"/>
      <c r="CS29" s="89"/>
      <c r="CT29" s="89"/>
      <c r="CU29" s="89"/>
      <c r="CV29" s="89"/>
      <c r="CW29" s="89"/>
      <c r="CX29" s="89"/>
      <c r="CY29" s="89"/>
      <c r="CZ29" s="89"/>
      <c r="DA29" s="89"/>
      <c r="DB29" s="89"/>
      <c r="DC29" s="89"/>
      <c r="DD29" s="89"/>
      <c r="DE29" s="89"/>
      <c r="DF29" s="89"/>
      <c r="DG29" s="89"/>
      <c r="DH29" s="89"/>
      <c r="DI29" s="89"/>
      <c r="DJ29" s="89"/>
      <c r="DK29" s="89"/>
      <c r="DL29" s="89"/>
      <c r="DM29" s="89"/>
      <c r="DN29" s="89"/>
      <c r="DO29" s="89"/>
      <c r="DP29" s="89"/>
      <c r="DQ29" s="89"/>
      <c r="DR29" s="89"/>
      <c r="DS29" s="89"/>
      <c r="DT29" s="89"/>
      <c r="DU29" s="89"/>
      <c r="DV29" s="89"/>
      <c r="DW29" s="89"/>
      <c r="DX29" s="89"/>
      <c r="DY29" s="89"/>
      <c r="DZ29" s="89"/>
      <c r="EA29" s="89"/>
      <c r="EB29" s="89"/>
      <c r="EC29" s="89"/>
      <c r="ED29" s="89"/>
      <c r="EE29" s="89"/>
      <c r="EF29" s="89"/>
      <c r="EG29" s="89"/>
      <c r="EH29" s="89"/>
      <c r="EI29" s="89"/>
      <c r="EJ29" s="89"/>
      <c r="EK29" s="89"/>
      <c r="EL29" s="89"/>
      <c r="EM29" s="89"/>
      <c r="EN29" s="89"/>
    </row>
    <row r="30" spans="1:144" s="87" customFormat="1" ht="11.25">
      <c r="A30" s="4"/>
      <c r="C30" s="99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5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89"/>
      <c r="BP30" s="89"/>
      <c r="BQ30" s="89"/>
      <c r="BR30" s="89"/>
      <c r="BS30" s="89"/>
      <c r="BT30" s="89"/>
      <c r="BU30" s="89"/>
      <c r="BV30" s="89"/>
      <c r="BW30" s="89"/>
      <c r="BX30" s="89"/>
      <c r="BY30" s="89"/>
      <c r="BZ30" s="89"/>
      <c r="CA30" s="89"/>
      <c r="CB30" s="89"/>
      <c r="CC30" s="89"/>
      <c r="CD30" s="89"/>
      <c r="CE30" s="89"/>
      <c r="CF30" s="89"/>
      <c r="CG30" s="89"/>
      <c r="CH30" s="89"/>
      <c r="CI30" s="89"/>
      <c r="CJ30" s="89"/>
      <c r="CK30" s="89"/>
      <c r="CL30" s="89"/>
      <c r="CM30" s="89"/>
      <c r="CN30" s="89"/>
      <c r="CO30" s="89"/>
      <c r="CP30" s="89"/>
      <c r="CQ30" s="89"/>
      <c r="CR30" s="89"/>
      <c r="CS30" s="89"/>
      <c r="CT30" s="89"/>
      <c r="CU30" s="89"/>
      <c r="CV30" s="89"/>
      <c r="CW30" s="89"/>
      <c r="CX30" s="89"/>
      <c r="CY30" s="89"/>
      <c r="CZ30" s="89"/>
      <c r="DA30" s="89"/>
      <c r="DB30" s="89"/>
      <c r="DC30" s="89"/>
      <c r="DD30" s="89"/>
      <c r="DE30" s="89"/>
      <c r="DF30" s="89"/>
      <c r="DG30" s="89"/>
      <c r="DH30" s="89"/>
      <c r="DI30" s="89"/>
      <c r="DJ30" s="89"/>
      <c r="DK30" s="89"/>
      <c r="DL30" s="89"/>
      <c r="DM30" s="89"/>
      <c r="DN30" s="89"/>
      <c r="DO30" s="89"/>
      <c r="DP30" s="89"/>
      <c r="DQ30" s="89"/>
      <c r="DR30" s="89"/>
      <c r="DS30" s="89"/>
      <c r="DT30" s="89"/>
      <c r="DU30" s="89"/>
      <c r="DV30" s="89"/>
      <c r="DW30" s="89"/>
      <c r="DX30" s="89"/>
      <c r="DY30" s="89"/>
      <c r="DZ30" s="89"/>
      <c r="EA30" s="89"/>
      <c r="EB30" s="89"/>
      <c r="EC30" s="89"/>
      <c r="ED30" s="89"/>
      <c r="EE30" s="89"/>
      <c r="EF30" s="89"/>
      <c r="EG30" s="89"/>
      <c r="EH30" s="89"/>
      <c r="EI30" s="89"/>
      <c r="EJ30" s="89"/>
      <c r="EK30" s="89"/>
      <c r="EL30" s="89"/>
      <c r="EM30" s="89"/>
      <c r="EN30" s="89"/>
    </row>
    <row r="31" spans="1:144" s="87" customFormat="1" ht="11.25">
      <c r="A31" s="386">
        <v>12</v>
      </c>
      <c r="B31" s="89" t="s">
        <v>21</v>
      </c>
      <c r="C31" s="157" t="s">
        <v>4</v>
      </c>
      <c r="D31" s="177" cm="1">
        <f t="array" ref="D31">SUMPRODUCT((H_Rate_Class=$B31)*'[5]Demand - T'!D$9:D$118)</f>
        <v>0</v>
      </c>
      <c r="E31" s="177" cm="1">
        <f t="array" ref="E31">SUMPRODUCT((H_Rate_Class=$B31)*'[5]Demand - T'!E$9:E$118)</f>
        <v>0</v>
      </c>
      <c r="F31" s="177" cm="1">
        <f t="array" ref="F31">SUMPRODUCT((H_Rate_Class=$B31)*'[5]Demand - T'!F$9:F$118)</f>
        <v>0</v>
      </c>
      <c r="G31" s="177" cm="1">
        <f t="array" ref="G31">SUMPRODUCT((H_Rate_Class=$B31)*'[5]Demand - T'!G$9:G$118)</f>
        <v>0</v>
      </c>
      <c r="H31" s="177" cm="1">
        <f t="array" ref="H31">SUMPRODUCT((H_Rate_Class=$B31)*'[5]Demand - T'!H$9:H$118)</f>
        <v>0</v>
      </c>
      <c r="I31" s="177" cm="1">
        <f t="array" ref="I31">SUMPRODUCT((H_Rate_Class=$B31)*'[5]Demand - T'!I$9:I$118)</f>
        <v>0</v>
      </c>
      <c r="J31" s="177" cm="1">
        <f t="array" ref="J31">SUMPRODUCT((H_Rate_Class=$B31)*'[5]Demand - T'!J$9:J$118)</f>
        <v>0</v>
      </c>
      <c r="K31" s="177" cm="1">
        <f t="array" ref="K31">SUMPRODUCT((H_Rate_Class=$B31)*'[5]Demand - T'!K$9:K$118)</f>
        <v>0</v>
      </c>
      <c r="L31" s="177" cm="1">
        <f t="array" ref="L31">SUMPRODUCT((H_Rate_Class=$B31)*'[5]Demand - T'!L$9:L$118)</f>
        <v>0</v>
      </c>
      <c r="M31" s="177" cm="1">
        <f t="array" ref="M31">SUMPRODUCT((H_Rate_Class=$B31)*'[5]Demand - T'!M$9:M$118)</f>
        <v>0</v>
      </c>
      <c r="N31" s="177" cm="1">
        <f t="array" ref="N31">SUMPRODUCT((H_Rate_Class=$B31)*'[5]Demand - T'!N$9:N$118)</f>
        <v>0</v>
      </c>
      <c r="O31" s="177" cm="1">
        <f t="array" ref="O31">SUMPRODUCT((H_Rate_Class=$B31)*'[5]Demand - T'!O$9:O$118)</f>
        <v>0</v>
      </c>
      <c r="P31" s="158">
        <f>SUM(D31:O31)</f>
        <v>0</v>
      </c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9"/>
      <c r="ED31" s="89"/>
      <c r="EE31" s="89"/>
      <c r="EF31" s="89"/>
      <c r="EG31" s="89"/>
      <c r="EH31" s="89"/>
      <c r="EI31" s="89"/>
      <c r="EJ31" s="89"/>
      <c r="EK31" s="89"/>
      <c r="EL31" s="89"/>
      <c r="EM31" s="89"/>
      <c r="EN31" s="89"/>
    </row>
    <row r="32" spans="1:144" s="87" customFormat="1" ht="11.25">
      <c r="A32" s="386"/>
      <c r="C32" s="99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5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U32" s="89"/>
      <c r="BV32" s="89"/>
      <c r="BW32" s="89"/>
      <c r="BX32" s="89"/>
      <c r="BY32" s="89"/>
      <c r="BZ32" s="89"/>
      <c r="CA32" s="89"/>
      <c r="CB32" s="89"/>
      <c r="CC32" s="89"/>
      <c r="CD32" s="89"/>
      <c r="CE32" s="89"/>
      <c r="CF32" s="89"/>
      <c r="CG32" s="89"/>
      <c r="CH32" s="89"/>
      <c r="CI32" s="89"/>
      <c r="CJ32" s="89"/>
      <c r="CK32" s="89"/>
      <c r="CL32" s="89"/>
      <c r="CM32" s="89"/>
      <c r="CN32" s="89"/>
      <c r="CO32" s="89"/>
      <c r="CP32" s="89"/>
      <c r="CQ32" s="89"/>
      <c r="CR32" s="89"/>
      <c r="CS32" s="89"/>
      <c r="CT32" s="89"/>
      <c r="CU32" s="89"/>
      <c r="CV32" s="89"/>
      <c r="CW32" s="89"/>
      <c r="CX32" s="89"/>
      <c r="CY32" s="89"/>
      <c r="CZ32" s="89"/>
      <c r="DA32" s="89"/>
      <c r="DB32" s="89"/>
      <c r="DC32" s="89"/>
      <c r="DD32" s="89"/>
      <c r="DE32" s="89"/>
      <c r="DF32" s="89"/>
      <c r="DG32" s="89"/>
      <c r="DH32" s="89"/>
      <c r="DI32" s="89"/>
      <c r="DJ32" s="89"/>
      <c r="DK32" s="89"/>
      <c r="DL32" s="89"/>
      <c r="DM32" s="89"/>
      <c r="DN32" s="89"/>
      <c r="DO32" s="89"/>
      <c r="DP32" s="89"/>
      <c r="DQ32" s="89"/>
      <c r="DR32" s="89"/>
      <c r="DS32" s="89"/>
      <c r="DT32" s="89"/>
      <c r="DU32" s="89"/>
      <c r="DV32" s="89"/>
      <c r="DW32" s="89"/>
      <c r="DX32" s="89"/>
      <c r="DY32" s="89"/>
      <c r="DZ32" s="89"/>
      <c r="EA32" s="89"/>
      <c r="EB32" s="89"/>
      <c r="EC32" s="89"/>
      <c r="ED32" s="89"/>
      <c r="EE32" s="89"/>
      <c r="EF32" s="89"/>
      <c r="EG32" s="89"/>
      <c r="EH32" s="89"/>
      <c r="EI32" s="89"/>
      <c r="EJ32" s="89"/>
      <c r="EK32" s="89"/>
      <c r="EL32" s="89"/>
      <c r="EM32" s="89"/>
      <c r="EN32" s="89"/>
    </row>
    <row r="33" spans="1:144" s="87" customFormat="1" ht="11.25">
      <c r="A33" s="386">
        <v>13</v>
      </c>
      <c r="B33" s="393" t="s">
        <v>22</v>
      </c>
      <c r="C33" s="362"/>
      <c r="D33" s="394">
        <f t="shared" ref="D33:P33" si="2">D31+D29+D27+D21+D17+D15</f>
        <v>3746212.9</v>
      </c>
      <c r="E33" s="394">
        <f t="shared" si="2"/>
        <v>3711609.1000000006</v>
      </c>
      <c r="F33" s="394">
        <f t="shared" si="2"/>
        <v>3958901.3</v>
      </c>
      <c r="G33" s="394">
        <f t="shared" si="2"/>
        <v>4012450.7</v>
      </c>
      <c r="H33" s="394">
        <f t="shared" si="2"/>
        <v>4011925.4</v>
      </c>
      <c r="I33" s="394">
        <f t="shared" si="2"/>
        <v>4161096.1000000006</v>
      </c>
      <c r="J33" s="394">
        <f t="shared" si="2"/>
        <v>4003016.8</v>
      </c>
      <c r="K33" s="394">
        <f t="shared" si="2"/>
        <v>4069497.0999999996</v>
      </c>
      <c r="L33" s="394">
        <f t="shared" si="2"/>
        <v>4048178.4999999995</v>
      </c>
      <c r="M33" s="394">
        <f t="shared" si="2"/>
        <v>4302745.9000000004</v>
      </c>
      <c r="N33" s="394">
        <f t="shared" si="2"/>
        <v>4121914.3</v>
      </c>
      <c r="O33" s="394">
        <f t="shared" si="2"/>
        <v>4052063.8</v>
      </c>
      <c r="P33" s="394">
        <f t="shared" si="2"/>
        <v>48199611.899999999</v>
      </c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89"/>
      <c r="BN33" s="89"/>
      <c r="BO33" s="89"/>
      <c r="BP33" s="89"/>
      <c r="BQ33" s="89"/>
      <c r="BR33" s="89"/>
      <c r="BS33" s="89"/>
      <c r="BT33" s="89"/>
      <c r="BU33" s="89"/>
      <c r="BV33" s="89"/>
      <c r="BW33" s="89"/>
      <c r="BX33" s="89"/>
      <c r="BY33" s="89"/>
      <c r="BZ33" s="89"/>
      <c r="CA33" s="89"/>
      <c r="CB33" s="89"/>
      <c r="CC33" s="89"/>
      <c r="CD33" s="89"/>
      <c r="CE33" s="89"/>
      <c r="CF33" s="89"/>
      <c r="CG33" s="89"/>
      <c r="CH33" s="89"/>
      <c r="CI33" s="89"/>
      <c r="CJ33" s="89"/>
      <c r="CK33" s="89"/>
      <c r="CL33" s="89"/>
      <c r="CM33" s="89"/>
      <c r="CN33" s="89"/>
      <c r="CO33" s="89"/>
      <c r="CP33" s="89"/>
      <c r="CQ33" s="89"/>
      <c r="CR33" s="89"/>
      <c r="CS33" s="89"/>
      <c r="CT33" s="89"/>
      <c r="CU33" s="89"/>
      <c r="CV33" s="89"/>
      <c r="CW33" s="89"/>
      <c r="CX33" s="89"/>
      <c r="CY33" s="89"/>
      <c r="CZ33" s="89"/>
      <c r="DA33" s="89"/>
      <c r="DB33" s="89"/>
      <c r="DC33" s="89"/>
      <c r="DD33" s="89"/>
      <c r="DE33" s="89"/>
      <c r="DF33" s="89"/>
      <c r="DG33" s="89"/>
      <c r="DH33" s="89"/>
      <c r="DI33" s="89"/>
      <c r="DJ33" s="89"/>
      <c r="DK33" s="89"/>
      <c r="DL33" s="89"/>
      <c r="DM33" s="89"/>
      <c r="DN33" s="89"/>
      <c r="DO33" s="89"/>
      <c r="DP33" s="89"/>
      <c r="DQ33" s="89"/>
      <c r="DR33" s="89"/>
      <c r="DS33" s="89"/>
      <c r="DT33" s="89"/>
      <c r="DU33" s="89"/>
      <c r="DV33" s="89"/>
      <c r="DW33" s="89"/>
      <c r="DX33" s="89"/>
      <c r="DY33" s="89"/>
      <c r="DZ33" s="89"/>
      <c r="EA33" s="89"/>
      <c r="EB33" s="89"/>
      <c r="EC33" s="89"/>
      <c r="ED33" s="89"/>
      <c r="EE33" s="89"/>
      <c r="EF33" s="89"/>
      <c r="EG33" s="89"/>
      <c r="EH33" s="89"/>
      <c r="EI33" s="89"/>
      <c r="EJ33" s="89"/>
      <c r="EK33" s="89"/>
      <c r="EL33" s="89"/>
      <c r="EM33" s="89"/>
      <c r="EN33" s="89"/>
    </row>
    <row r="34" spans="1:144" s="87" customFormat="1" ht="11.25">
      <c r="A34" s="4"/>
      <c r="B34" s="362"/>
      <c r="C34" s="362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5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89"/>
      <c r="BK34" s="89"/>
      <c r="BL34" s="89"/>
      <c r="BM34" s="89"/>
      <c r="BN34" s="89"/>
      <c r="BO34" s="89"/>
      <c r="BP34" s="89"/>
      <c r="BQ34" s="89"/>
      <c r="BR34" s="89"/>
      <c r="BS34" s="89"/>
      <c r="BT34" s="89"/>
      <c r="BU34" s="89"/>
      <c r="BV34" s="89"/>
      <c r="BW34" s="89"/>
      <c r="BX34" s="89"/>
      <c r="BY34" s="89"/>
      <c r="BZ34" s="89"/>
      <c r="CA34" s="89"/>
      <c r="CB34" s="89"/>
      <c r="CC34" s="89"/>
      <c r="CD34" s="89"/>
      <c r="CE34" s="89"/>
      <c r="CF34" s="89"/>
      <c r="CG34" s="89"/>
      <c r="CH34" s="89"/>
      <c r="CI34" s="89"/>
      <c r="CJ34" s="89"/>
      <c r="CK34" s="89"/>
      <c r="CL34" s="89"/>
      <c r="CM34" s="89"/>
      <c r="CN34" s="89"/>
      <c r="CO34" s="89"/>
      <c r="CP34" s="89"/>
      <c r="CQ34" s="89"/>
      <c r="CR34" s="89"/>
      <c r="CS34" s="89"/>
      <c r="CT34" s="89"/>
      <c r="CU34" s="89"/>
      <c r="CV34" s="89"/>
      <c r="CW34" s="89"/>
      <c r="CX34" s="89"/>
      <c r="CY34" s="89"/>
      <c r="CZ34" s="89"/>
      <c r="DA34" s="89"/>
      <c r="DB34" s="89"/>
      <c r="DC34" s="89"/>
      <c r="DD34" s="89"/>
      <c r="DE34" s="89"/>
      <c r="DF34" s="89"/>
      <c r="DG34" s="89"/>
      <c r="DH34" s="89"/>
      <c r="DI34" s="89"/>
      <c r="DJ34" s="89"/>
      <c r="DK34" s="89"/>
      <c r="DL34" s="89"/>
      <c r="DM34" s="89"/>
      <c r="DN34" s="89"/>
      <c r="DO34" s="89"/>
      <c r="DP34" s="89"/>
      <c r="DQ34" s="89"/>
      <c r="DR34" s="89"/>
      <c r="DS34" s="89"/>
      <c r="DT34" s="89"/>
      <c r="DU34" s="89"/>
      <c r="DV34" s="89"/>
      <c r="DW34" s="89"/>
      <c r="DX34" s="89"/>
      <c r="DY34" s="89"/>
      <c r="DZ34" s="89"/>
      <c r="EA34" s="89"/>
      <c r="EB34" s="89"/>
      <c r="EC34" s="89"/>
      <c r="ED34" s="89"/>
      <c r="EE34" s="89"/>
      <c r="EF34" s="89"/>
      <c r="EG34" s="89"/>
      <c r="EH34" s="89"/>
      <c r="EI34" s="89"/>
      <c r="EJ34" s="89"/>
      <c r="EK34" s="89"/>
      <c r="EL34" s="89"/>
      <c r="EM34" s="89"/>
      <c r="EN34" s="89"/>
    </row>
    <row r="35" spans="1:144" s="87" customFormat="1" ht="11.25">
      <c r="A35" s="386">
        <v>14</v>
      </c>
      <c r="B35" s="89" t="s">
        <v>69</v>
      </c>
      <c r="C35" s="157" t="s">
        <v>5</v>
      </c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58">
        <f>SUM(D35:O35)</f>
        <v>0</v>
      </c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  <c r="DZ35" s="89"/>
      <c r="EA35" s="89"/>
      <c r="EB35" s="89"/>
      <c r="EC35" s="89"/>
      <c r="ED35" s="89"/>
      <c r="EE35" s="89"/>
      <c r="EF35" s="89"/>
      <c r="EG35" s="89"/>
      <c r="EH35" s="89"/>
      <c r="EI35" s="89"/>
      <c r="EJ35" s="89"/>
      <c r="EK35" s="89"/>
      <c r="EL35" s="89"/>
      <c r="EM35" s="89"/>
      <c r="EN35" s="89"/>
    </row>
    <row r="36" spans="1:144" s="87" customFormat="1" ht="11.25">
      <c r="A36" s="386">
        <v>15</v>
      </c>
      <c r="B36" s="89" t="s">
        <v>70</v>
      </c>
      <c r="C36" s="157" t="s">
        <v>6</v>
      </c>
      <c r="D36" s="388"/>
      <c r="E36" s="388"/>
      <c r="F36" s="388"/>
      <c r="G36" s="388"/>
      <c r="H36" s="388"/>
      <c r="I36" s="388"/>
      <c r="J36" s="388"/>
      <c r="K36" s="388"/>
      <c r="L36" s="388"/>
      <c r="M36" s="388"/>
      <c r="N36" s="388"/>
      <c r="O36" s="388"/>
      <c r="P36" s="425">
        <f>SUM(D36:O36)</f>
        <v>0</v>
      </c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89"/>
      <c r="BN36" s="89"/>
      <c r="BO36" s="89"/>
      <c r="BP36" s="89"/>
      <c r="BQ36" s="89"/>
      <c r="BR36" s="89"/>
      <c r="BS36" s="89"/>
      <c r="BT36" s="89"/>
      <c r="BU36" s="89"/>
      <c r="BV36" s="89"/>
      <c r="BW36" s="89"/>
      <c r="BX36" s="89"/>
      <c r="BY36" s="89"/>
      <c r="BZ36" s="89"/>
      <c r="CA36" s="89"/>
      <c r="CB36" s="89"/>
      <c r="CC36" s="89"/>
      <c r="CD36" s="89"/>
      <c r="CE36" s="89"/>
      <c r="CF36" s="89"/>
      <c r="CG36" s="89"/>
      <c r="CH36" s="89"/>
      <c r="CI36" s="89"/>
      <c r="CJ36" s="89"/>
      <c r="CK36" s="89"/>
      <c r="CL36" s="89"/>
      <c r="CM36" s="89"/>
      <c r="CN36" s="89"/>
      <c r="CO36" s="89"/>
      <c r="CP36" s="89"/>
      <c r="CQ36" s="89"/>
      <c r="CR36" s="89"/>
      <c r="CS36" s="89"/>
      <c r="CT36" s="89"/>
      <c r="CU36" s="89"/>
      <c r="CV36" s="89"/>
      <c r="CW36" s="89"/>
      <c r="CX36" s="89"/>
      <c r="CY36" s="89"/>
      <c r="CZ36" s="89"/>
      <c r="DA36" s="89"/>
      <c r="DB36" s="89"/>
      <c r="DC36" s="89"/>
      <c r="DD36" s="89"/>
      <c r="DE36" s="89"/>
      <c r="DF36" s="89"/>
      <c r="DG36" s="89"/>
      <c r="DH36" s="89"/>
      <c r="DI36" s="89"/>
      <c r="DJ36" s="89"/>
      <c r="DK36" s="89"/>
      <c r="DL36" s="89"/>
      <c r="DM36" s="89"/>
      <c r="DN36" s="89"/>
      <c r="DO36" s="89"/>
      <c r="DP36" s="89"/>
      <c r="DQ36" s="89"/>
      <c r="DR36" s="89"/>
      <c r="DS36" s="89"/>
      <c r="DT36" s="89"/>
      <c r="DU36" s="89"/>
      <c r="DV36" s="89"/>
      <c r="DW36" s="89"/>
      <c r="DX36" s="89"/>
      <c r="DY36" s="89"/>
      <c r="DZ36" s="89"/>
      <c r="EA36" s="89"/>
      <c r="EB36" s="89"/>
      <c r="EC36" s="89"/>
      <c r="ED36" s="89"/>
      <c r="EE36" s="89"/>
      <c r="EF36" s="89"/>
      <c r="EG36" s="89"/>
      <c r="EH36" s="89"/>
      <c r="EI36" s="89"/>
      <c r="EJ36" s="89"/>
      <c r="EK36" s="89"/>
      <c r="EL36" s="89"/>
      <c r="EM36" s="89"/>
      <c r="EN36" s="89"/>
    </row>
    <row r="37" spans="1:144" s="87" customFormat="1" ht="11.25">
      <c r="A37" s="386">
        <v>16</v>
      </c>
      <c r="B37" s="393" t="s">
        <v>23</v>
      </c>
      <c r="C37" s="361"/>
      <c r="D37" s="101">
        <f t="shared" ref="D37:P37" si="3">SUM(D35:D36)</f>
        <v>0</v>
      </c>
      <c r="E37" s="101">
        <f t="shared" si="3"/>
        <v>0</v>
      </c>
      <c r="F37" s="101">
        <f t="shared" si="3"/>
        <v>0</v>
      </c>
      <c r="G37" s="101">
        <f t="shared" si="3"/>
        <v>0</v>
      </c>
      <c r="H37" s="101">
        <f t="shared" si="3"/>
        <v>0</v>
      </c>
      <c r="I37" s="101">
        <f t="shared" si="3"/>
        <v>0</v>
      </c>
      <c r="J37" s="101">
        <f t="shared" si="3"/>
        <v>0</v>
      </c>
      <c r="K37" s="101">
        <f t="shared" si="3"/>
        <v>0</v>
      </c>
      <c r="L37" s="101">
        <f t="shared" si="3"/>
        <v>0</v>
      </c>
      <c r="M37" s="101">
        <f t="shared" si="3"/>
        <v>0</v>
      </c>
      <c r="N37" s="101">
        <f t="shared" si="3"/>
        <v>0</v>
      </c>
      <c r="O37" s="101">
        <f t="shared" si="3"/>
        <v>0</v>
      </c>
      <c r="P37" s="101">
        <f t="shared" si="3"/>
        <v>0</v>
      </c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89"/>
      <c r="BN37" s="89"/>
      <c r="BO37" s="89"/>
      <c r="BP37" s="89"/>
      <c r="BQ37" s="89"/>
      <c r="BR37" s="89"/>
      <c r="BS37" s="89"/>
      <c r="BT37" s="89"/>
      <c r="BU37" s="89"/>
      <c r="BV37" s="89"/>
      <c r="BW37" s="89"/>
      <c r="BX37" s="89"/>
      <c r="BY37" s="89"/>
      <c r="BZ37" s="89"/>
      <c r="CA37" s="89"/>
      <c r="CB37" s="89"/>
      <c r="CC37" s="89"/>
      <c r="CD37" s="89"/>
      <c r="CE37" s="89"/>
      <c r="CF37" s="89"/>
      <c r="CG37" s="89"/>
      <c r="CH37" s="89"/>
      <c r="CI37" s="89"/>
      <c r="CJ37" s="89"/>
      <c r="CK37" s="89"/>
      <c r="CL37" s="89"/>
      <c r="CM37" s="89"/>
      <c r="CN37" s="89"/>
      <c r="CO37" s="89"/>
      <c r="CP37" s="89"/>
      <c r="CQ37" s="89"/>
      <c r="CR37" s="89"/>
      <c r="CS37" s="89"/>
      <c r="CT37" s="89"/>
      <c r="CU37" s="89"/>
      <c r="CV37" s="89"/>
      <c r="CW37" s="89"/>
      <c r="CX37" s="89"/>
      <c r="CY37" s="89"/>
      <c r="CZ37" s="89"/>
      <c r="DA37" s="89"/>
      <c r="DB37" s="89"/>
      <c r="DC37" s="89"/>
      <c r="DD37" s="89"/>
      <c r="DE37" s="89"/>
      <c r="DF37" s="89"/>
      <c r="DG37" s="89"/>
      <c r="DH37" s="89"/>
      <c r="DI37" s="89"/>
      <c r="DJ37" s="89"/>
      <c r="DK37" s="89"/>
      <c r="DL37" s="89"/>
      <c r="DM37" s="89"/>
      <c r="DN37" s="89"/>
      <c r="DO37" s="89"/>
      <c r="DP37" s="89"/>
      <c r="DQ37" s="89"/>
      <c r="DR37" s="89"/>
      <c r="DS37" s="89"/>
      <c r="DT37" s="89"/>
      <c r="DU37" s="89"/>
      <c r="DV37" s="89"/>
      <c r="DW37" s="89"/>
      <c r="DX37" s="89"/>
      <c r="DY37" s="89"/>
      <c r="DZ37" s="89"/>
      <c r="EA37" s="89"/>
      <c r="EB37" s="89"/>
      <c r="EC37" s="89"/>
      <c r="ED37" s="89"/>
      <c r="EE37" s="89"/>
      <c r="EF37" s="89"/>
      <c r="EG37" s="89"/>
      <c r="EH37" s="89"/>
      <c r="EI37" s="89"/>
      <c r="EJ37" s="89"/>
      <c r="EK37" s="89"/>
      <c r="EL37" s="89"/>
      <c r="EM37" s="89"/>
      <c r="EN37" s="89"/>
    </row>
    <row r="38" spans="1:144" s="87" customFormat="1" ht="11.25">
      <c r="A38" s="386"/>
      <c r="C38" s="396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58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89"/>
      <c r="BL38" s="89"/>
      <c r="BM38" s="89"/>
      <c r="BN38" s="89"/>
      <c r="BO38" s="89"/>
      <c r="BP38" s="89"/>
      <c r="BQ38" s="89"/>
      <c r="BR38" s="89"/>
      <c r="BS38" s="89"/>
      <c r="BT38" s="89"/>
      <c r="BU38" s="89"/>
      <c r="BV38" s="89"/>
      <c r="BW38" s="89"/>
      <c r="BX38" s="89"/>
      <c r="BY38" s="89"/>
      <c r="BZ38" s="89"/>
      <c r="CA38" s="89"/>
      <c r="CB38" s="89"/>
      <c r="CC38" s="89"/>
      <c r="CD38" s="89"/>
      <c r="CE38" s="89"/>
      <c r="CF38" s="89"/>
      <c r="CG38" s="89"/>
      <c r="CH38" s="89"/>
      <c r="CI38" s="89"/>
      <c r="CJ38" s="89"/>
      <c r="CK38" s="89"/>
      <c r="CL38" s="89"/>
      <c r="CM38" s="89"/>
      <c r="CN38" s="89"/>
      <c r="CO38" s="89"/>
      <c r="CP38" s="89"/>
      <c r="CQ38" s="89"/>
      <c r="CR38" s="89"/>
      <c r="CS38" s="89"/>
      <c r="CT38" s="89"/>
      <c r="CU38" s="89"/>
      <c r="CV38" s="89"/>
      <c r="CW38" s="89"/>
      <c r="CX38" s="89"/>
      <c r="CY38" s="89"/>
      <c r="CZ38" s="89"/>
      <c r="DA38" s="89"/>
      <c r="DB38" s="89"/>
      <c r="DC38" s="89"/>
      <c r="DD38" s="89"/>
      <c r="DE38" s="89"/>
      <c r="DF38" s="89"/>
      <c r="DG38" s="89"/>
      <c r="DH38" s="89"/>
      <c r="DI38" s="89"/>
      <c r="DJ38" s="89"/>
      <c r="DK38" s="89"/>
      <c r="DL38" s="89"/>
      <c r="DM38" s="89"/>
      <c r="DN38" s="89"/>
      <c r="DO38" s="89"/>
      <c r="DP38" s="89"/>
      <c r="DQ38" s="89"/>
      <c r="DR38" s="89"/>
      <c r="DS38" s="89"/>
      <c r="DT38" s="89"/>
      <c r="DU38" s="89"/>
      <c r="DV38" s="89"/>
      <c r="DW38" s="89"/>
      <c r="DX38" s="89"/>
      <c r="DY38" s="89"/>
      <c r="DZ38" s="89"/>
      <c r="EA38" s="89"/>
      <c r="EB38" s="89"/>
      <c r="EC38" s="89"/>
      <c r="ED38" s="89"/>
      <c r="EE38" s="89"/>
      <c r="EF38" s="89"/>
      <c r="EG38" s="89"/>
      <c r="EH38" s="89"/>
      <c r="EI38" s="89"/>
      <c r="EJ38" s="89"/>
      <c r="EK38" s="89"/>
      <c r="EL38" s="89"/>
      <c r="EM38" s="89"/>
      <c r="EN38" s="89"/>
    </row>
    <row r="39" spans="1:144" s="87" customFormat="1" ht="12" thickBot="1">
      <c r="A39" s="386">
        <v>17</v>
      </c>
      <c r="B39" s="147" t="s">
        <v>92</v>
      </c>
      <c r="C39" s="361"/>
      <c r="D39" s="397">
        <f t="shared" ref="D39:P39" si="4">+D37+D33</f>
        <v>3746212.9</v>
      </c>
      <c r="E39" s="397">
        <f t="shared" si="4"/>
        <v>3711609.1000000006</v>
      </c>
      <c r="F39" s="397">
        <f t="shared" si="4"/>
        <v>3958901.3</v>
      </c>
      <c r="G39" s="397">
        <f t="shared" si="4"/>
        <v>4012450.7</v>
      </c>
      <c r="H39" s="397">
        <f t="shared" si="4"/>
        <v>4011925.4</v>
      </c>
      <c r="I39" s="397">
        <f t="shared" si="4"/>
        <v>4161096.1000000006</v>
      </c>
      <c r="J39" s="397">
        <f t="shared" si="4"/>
        <v>4003016.8</v>
      </c>
      <c r="K39" s="397">
        <f t="shared" si="4"/>
        <v>4069497.0999999996</v>
      </c>
      <c r="L39" s="397">
        <f t="shared" si="4"/>
        <v>4048178.4999999995</v>
      </c>
      <c r="M39" s="397">
        <f t="shared" si="4"/>
        <v>4302745.9000000004</v>
      </c>
      <c r="N39" s="397">
        <f t="shared" si="4"/>
        <v>4121914.3</v>
      </c>
      <c r="O39" s="397">
        <f t="shared" si="4"/>
        <v>4052063.8</v>
      </c>
      <c r="P39" s="397">
        <f t="shared" si="4"/>
        <v>48199611.899999999</v>
      </c>
      <c r="Q39" s="39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  <c r="DZ39" s="89"/>
      <c r="EA39" s="89"/>
      <c r="EB39" s="89"/>
      <c r="EC39" s="89"/>
      <c r="ED39" s="89"/>
      <c r="EE39" s="89"/>
      <c r="EF39" s="89"/>
      <c r="EG39" s="89"/>
      <c r="EH39" s="89"/>
      <c r="EI39" s="89"/>
      <c r="EJ39" s="89"/>
      <c r="EK39" s="89"/>
      <c r="EL39" s="89"/>
      <c r="EM39" s="89"/>
      <c r="EN39" s="89"/>
    </row>
    <row r="40" spans="1:144" ht="13.5" thickTop="1">
      <c r="A40" s="99"/>
      <c r="B40" s="87"/>
      <c r="C40" s="99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464"/>
      <c r="Q40" s="465"/>
      <c r="R40" s="466"/>
      <c r="S40" s="466"/>
      <c r="T40" s="466"/>
      <c r="U40" s="466"/>
      <c r="V40" s="466"/>
    </row>
    <row r="41" spans="1:144" s="81" customFormat="1">
      <c r="B41" s="171" t="str">
        <f>+B8</f>
        <v>AEP TEXAS</v>
      </c>
      <c r="C41" s="172"/>
      <c r="D41" s="467"/>
      <c r="E41" s="467"/>
      <c r="F41" s="467"/>
      <c r="G41" s="467"/>
      <c r="H41" s="467"/>
      <c r="I41" s="467"/>
      <c r="J41" s="467"/>
      <c r="K41" s="467"/>
      <c r="L41" s="467"/>
      <c r="M41" s="467"/>
      <c r="N41" s="467"/>
      <c r="O41" s="467"/>
      <c r="P41" s="427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</row>
    <row r="42" spans="1:144" s="81" customFormat="1">
      <c r="B42" s="172" t="s">
        <v>51</v>
      </c>
      <c r="C42" s="80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468" t="s">
        <v>1</v>
      </c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</row>
    <row r="43" spans="1:144" s="81" customFormat="1">
      <c r="B43" s="371" t="str">
        <f>+B10</f>
        <v>FOR TEST YEAR ENDED SEPTEMBER 30, 2023</v>
      </c>
      <c r="C43" s="371"/>
      <c r="D43" s="371"/>
      <c r="E43" s="371"/>
      <c r="F43" s="371"/>
      <c r="G43" s="371"/>
      <c r="H43" s="371"/>
      <c r="I43" s="371"/>
      <c r="J43" s="371"/>
      <c r="K43" s="371"/>
      <c r="L43" s="371"/>
      <c r="M43" s="371"/>
      <c r="N43" s="371"/>
      <c r="O43" s="371"/>
      <c r="P43" s="70" t="s">
        <v>1</v>
      </c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</row>
    <row r="44" spans="1:144" s="81" customFormat="1">
      <c r="B44" s="361"/>
      <c r="C44" s="361"/>
      <c r="D44" s="361"/>
      <c r="E44" s="361"/>
      <c r="F44" s="361"/>
      <c r="G44" s="361"/>
      <c r="H44" s="361"/>
      <c r="I44" s="361"/>
      <c r="J44" s="361"/>
      <c r="K44" s="361"/>
      <c r="L44" s="361"/>
      <c r="M44" s="361"/>
      <c r="N44" s="361"/>
      <c r="O44" s="361"/>
      <c r="P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</row>
    <row r="45" spans="1:144" s="81" customFormat="1">
      <c r="B45" s="147"/>
      <c r="C45" s="87"/>
      <c r="D45" s="404"/>
      <c r="E45" s="405"/>
      <c r="F45" s="405"/>
      <c r="G45" s="404"/>
      <c r="H45" s="405"/>
      <c r="I45" s="405"/>
      <c r="K45" s="405"/>
      <c r="L45" s="405"/>
      <c r="M45" s="405"/>
      <c r="N45" s="405"/>
      <c r="O45" s="405"/>
      <c r="P45" s="405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</row>
    <row r="46" spans="1:144" s="81" customFormat="1">
      <c r="A46" s="361" t="s">
        <v>8</v>
      </c>
      <c r="B46" s="361" t="s">
        <v>0</v>
      </c>
      <c r="C46" s="361" t="s">
        <v>7</v>
      </c>
      <c r="D46" s="404" t="str">
        <f t="shared" ref="D46:P46" si="5">+D13</f>
        <v>Oct-22</v>
      </c>
      <c r="E46" s="404" t="str">
        <f t="shared" si="5"/>
        <v>Nov-22</v>
      </c>
      <c r="F46" s="404" t="str">
        <f t="shared" si="5"/>
        <v>Dec-22</v>
      </c>
      <c r="G46" s="404" t="str">
        <f t="shared" si="5"/>
        <v>Jan-23</v>
      </c>
      <c r="H46" s="404" t="str">
        <f t="shared" si="5"/>
        <v>Feb-23</v>
      </c>
      <c r="I46" s="404" t="str">
        <f t="shared" si="5"/>
        <v>Mar-23</v>
      </c>
      <c r="J46" s="404" t="str">
        <f t="shared" si="5"/>
        <v>Apr-23</v>
      </c>
      <c r="K46" s="404" t="str">
        <f t="shared" si="5"/>
        <v>May-23</v>
      </c>
      <c r="L46" s="404" t="str">
        <f t="shared" si="5"/>
        <v>Jun-23</v>
      </c>
      <c r="M46" s="404" t="str">
        <f t="shared" si="5"/>
        <v>Jul-23</v>
      </c>
      <c r="N46" s="404" t="str">
        <f t="shared" si="5"/>
        <v>Aug-23</v>
      </c>
      <c r="O46" s="404" t="str">
        <f t="shared" si="5"/>
        <v>Sep-23</v>
      </c>
      <c r="P46" s="404" t="str">
        <f t="shared" si="5"/>
        <v>TOTAL</v>
      </c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</row>
    <row r="47" spans="1:144" s="81" customFormat="1">
      <c r="B47" s="87"/>
      <c r="C47" s="87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464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</row>
    <row r="48" spans="1:144" s="87" customFormat="1" ht="11.25">
      <c r="A48" s="386" t="s">
        <v>9</v>
      </c>
      <c r="B48" s="87" t="s">
        <v>17</v>
      </c>
      <c r="C48" s="99" t="s">
        <v>4</v>
      </c>
      <c r="D48" s="177" cm="1">
        <f t="array" ref="D48">SUMPRODUCT((H_Rate_Class=$B48)*'[5]Demand - T'!D$249:D$358)</f>
        <v>0</v>
      </c>
      <c r="E48" s="177" cm="1">
        <f t="array" ref="E48">SUMPRODUCT((H_Rate_Class=$B48)*'[5]Demand - T'!E$249:E$358)</f>
        <v>0</v>
      </c>
      <c r="F48" s="177" cm="1">
        <f t="array" ref="F48">SUMPRODUCT((H_Rate_Class=$B48)*'[5]Demand - T'!F$249:F$358)</f>
        <v>0</v>
      </c>
      <c r="G48" s="177" cm="1">
        <f t="array" ref="G48">SUMPRODUCT((H_Rate_Class=$B48)*'[5]Demand - T'!G$249:G$358)</f>
        <v>0</v>
      </c>
      <c r="H48" s="177" cm="1">
        <f t="array" ref="H48">SUMPRODUCT((H_Rate_Class=$B48)*'[5]Demand - T'!H$249:H$358)</f>
        <v>0</v>
      </c>
      <c r="I48" s="177" cm="1">
        <f t="array" ref="I48">SUMPRODUCT((H_Rate_Class=$B48)*'[5]Demand - T'!I$249:I$358)</f>
        <v>0</v>
      </c>
      <c r="J48" s="177" cm="1">
        <f t="array" ref="J48">SUMPRODUCT((H_Rate_Class=$B48)*'[5]Demand - T'!J$249:J$358)</f>
        <v>0</v>
      </c>
      <c r="K48" s="177" cm="1">
        <f t="array" ref="K48">SUMPRODUCT((H_Rate_Class=$B48)*'[5]Demand - T'!K$249:K$358)</f>
        <v>0</v>
      </c>
      <c r="L48" s="177" cm="1">
        <f t="array" ref="L48">SUMPRODUCT((H_Rate_Class=$B48)*'[5]Demand - T'!L$249:L$358)</f>
        <v>0</v>
      </c>
      <c r="M48" s="177" cm="1">
        <f t="array" ref="M48">SUMPRODUCT((H_Rate_Class=$B48)*'[5]Demand - T'!M$249:M$358)</f>
        <v>0</v>
      </c>
      <c r="N48" s="177" cm="1">
        <f t="array" ref="N48">SUMPRODUCT((H_Rate_Class=$B48)*'[5]Demand - T'!N$249:N$358)</f>
        <v>0</v>
      </c>
      <c r="O48" s="177" cm="1">
        <f t="array" ref="O48">SUMPRODUCT((H_Rate_Class=$B48)*'[5]Demand - T'!O$249:O$358)</f>
        <v>0</v>
      </c>
      <c r="P48" s="158">
        <f>SUM(D48:O48)</f>
        <v>0</v>
      </c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89"/>
      <c r="BK48" s="89"/>
      <c r="BL48" s="89"/>
      <c r="BM48" s="89"/>
      <c r="BN48" s="89"/>
      <c r="BO48" s="89"/>
      <c r="BP48" s="89"/>
      <c r="BQ48" s="89"/>
      <c r="BR48" s="89"/>
      <c r="BS48" s="89"/>
      <c r="BT48" s="89"/>
      <c r="BU48" s="89"/>
      <c r="BV48" s="89"/>
      <c r="BW48" s="89"/>
      <c r="BX48" s="89"/>
      <c r="BY48" s="89"/>
      <c r="BZ48" s="89"/>
      <c r="CA48" s="89"/>
      <c r="CB48" s="89"/>
      <c r="CC48" s="89"/>
      <c r="CD48" s="89"/>
      <c r="CE48" s="89"/>
      <c r="CF48" s="89"/>
      <c r="CG48" s="89"/>
      <c r="CH48" s="89"/>
      <c r="CI48" s="89"/>
      <c r="CJ48" s="89"/>
      <c r="CK48" s="89"/>
      <c r="CL48" s="89"/>
      <c r="CM48" s="89"/>
      <c r="CN48" s="89"/>
      <c r="CO48" s="89"/>
      <c r="CP48" s="89"/>
      <c r="CQ48" s="89"/>
      <c r="CR48" s="89"/>
      <c r="CS48" s="89"/>
      <c r="CT48" s="89"/>
      <c r="CU48" s="89"/>
      <c r="CV48" s="89"/>
      <c r="CW48" s="89"/>
      <c r="CX48" s="89"/>
      <c r="CY48" s="89"/>
      <c r="CZ48" s="89"/>
      <c r="DA48" s="89"/>
      <c r="DB48" s="89"/>
      <c r="DC48" s="89"/>
      <c r="DD48" s="89"/>
      <c r="DE48" s="89"/>
      <c r="DF48" s="89"/>
      <c r="DG48" s="89"/>
      <c r="DH48" s="89"/>
      <c r="DI48" s="89"/>
      <c r="DJ48" s="89"/>
      <c r="DK48" s="89"/>
      <c r="DL48" s="89"/>
      <c r="DM48" s="89"/>
      <c r="DN48" s="89"/>
      <c r="DO48" s="89"/>
      <c r="DP48" s="89"/>
      <c r="DQ48" s="89"/>
      <c r="DR48" s="89"/>
      <c r="DS48" s="89"/>
      <c r="DT48" s="89"/>
      <c r="DU48" s="89"/>
      <c r="DV48" s="89"/>
      <c r="DW48" s="89"/>
      <c r="DX48" s="89"/>
      <c r="DY48" s="89"/>
      <c r="DZ48" s="89"/>
      <c r="EA48" s="89"/>
      <c r="EB48" s="89"/>
      <c r="EC48" s="89"/>
      <c r="ED48" s="89"/>
      <c r="EE48" s="89"/>
      <c r="EF48" s="89"/>
      <c r="EG48" s="89"/>
      <c r="EH48" s="89"/>
      <c r="EI48" s="89"/>
      <c r="EJ48" s="89"/>
      <c r="EK48" s="89"/>
      <c r="EL48" s="89"/>
      <c r="EM48" s="89"/>
      <c r="EN48" s="89"/>
    </row>
    <row r="49" spans="1:144" s="87" customFormat="1" ht="11.25">
      <c r="A49" s="4"/>
      <c r="C49" s="99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58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89"/>
      <c r="BJ49" s="89"/>
      <c r="BK49" s="89"/>
      <c r="BL49" s="89"/>
      <c r="BM49" s="89"/>
      <c r="BN49" s="89"/>
      <c r="BO49" s="89"/>
      <c r="BP49" s="89"/>
      <c r="BQ49" s="89"/>
      <c r="BR49" s="89"/>
      <c r="BS49" s="89"/>
      <c r="BT49" s="89"/>
      <c r="BU49" s="89"/>
      <c r="BV49" s="89"/>
      <c r="BW49" s="89"/>
      <c r="BX49" s="89"/>
      <c r="BY49" s="89"/>
      <c r="BZ49" s="89"/>
      <c r="CA49" s="89"/>
      <c r="CB49" s="89"/>
      <c r="CC49" s="89"/>
      <c r="CD49" s="89"/>
      <c r="CE49" s="89"/>
      <c r="CF49" s="89"/>
      <c r="CG49" s="89"/>
      <c r="CH49" s="89"/>
      <c r="CI49" s="89"/>
      <c r="CJ49" s="89"/>
      <c r="CK49" s="89"/>
      <c r="CL49" s="89"/>
      <c r="CM49" s="89"/>
      <c r="CN49" s="89"/>
      <c r="CO49" s="89"/>
      <c r="CP49" s="89"/>
      <c r="CQ49" s="89"/>
      <c r="CR49" s="89"/>
      <c r="CS49" s="89"/>
      <c r="CT49" s="89"/>
      <c r="CU49" s="89"/>
      <c r="CV49" s="89"/>
      <c r="CW49" s="89"/>
      <c r="CX49" s="89"/>
      <c r="CY49" s="89"/>
      <c r="CZ49" s="89"/>
      <c r="DA49" s="89"/>
      <c r="DB49" s="89"/>
      <c r="DC49" s="89"/>
      <c r="DD49" s="89"/>
      <c r="DE49" s="89"/>
      <c r="DF49" s="89"/>
      <c r="DG49" s="89"/>
      <c r="DH49" s="89"/>
      <c r="DI49" s="89"/>
      <c r="DJ49" s="89"/>
      <c r="DK49" s="89"/>
      <c r="DL49" s="89"/>
      <c r="DM49" s="89"/>
      <c r="DN49" s="89"/>
      <c r="DO49" s="89"/>
      <c r="DP49" s="89"/>
      <c r="DQ49" s="89"/>
      <c r="DR49" s="89"/>
      <c r="DS49" s="89"/>
      <c r="DT49" s="89"/>
      <c r="DU49" s="89"/>
      <c r="DV49" s="89"/>
      <c r="DW49" s="89"/>
      <c r="DX49" s="89"/>
      <c r="DY49" s="89"/>
      <c r="DZ49" s="89"/>
      <c r="EA49" s="89"/>
      <c r="EB49" s="89"/>
      <c r="EC49" s="89"/>
      <c r="ED49" s="89"/>
      <c r="EE49" s="89"/>
      <c r="EF49" s="89"/>
      <c r="EG49" s="89"/>
      <c r="EH49" s="89"/>
      <c r="EI49" s="89"/>
      <c r="EJ49" s="89"/>
      <c r="EK49" s="89"/>
      <c r="EL49" s="89"/>
      <c r="EM49" s="89"/>
      <c r="EN49" s="89"/>
    </row>
    <row r="50" spans="1:144" s="87" customFormat="1" ht="11.25">
      <c r="A50" s="386">
        <v>2</v>
      </c>
      <c r="B50" s="87" t="s">
        <v>20</v>
      </c>
      <c r="C50" s="99" t="s">
        <v>4</v>
      </c>
      <c r="D50" s="177" cm="1">
        <f t="array" ref="D50">SUMPRODUCT((H_Rate_Class=$B50)*'[5]Demand - T'!D$249:D$358)</f>
        <v>0</v>
      </c>
      <c r="E50" s="177" cm="1">
        <f t="array" ref="E50">SUMPRODUCT((H_Rate_Class=$B50)*'[5]Demand - T'!E$249:E$358)</f>
        <v>0</v>
      </c>
      <c r="F50" s="177" cm="1">
        <f t="array" ref="F50">SUMPRODUCT((H_Rate_Class=$B50)*'[5]Demand - T'!F$249:F$358)</f>
        <v>0</v>
      </c>
      <c r="G50" s="177" cm="1">
        <f t="array" ref="G50">SUMPRODUCT((H_Rate_Class=$B50)*'[5]Demand - T'!G$249:G$358)</f>
        <v>0</v>
      </c>
      <c r="H50" s="177" cm="1">
        <f t="array" ref="H50">SUMPRODUCT((H_Rate_Class=$B50)*'[5]Demand - T'!H$249:H$358)</f>
        <v>0</v>
      </c>
      <c r="I50" s="177" cm="1">
        <f t="array" ref="I50">SUMPRODUCT((H_Rate_Class=$B50)*'[5]Demand - T'!I$249:I$358)</f>
        <v>0</v>
      </c>
      <c r="J50" s="177" cm="1">
        <f t="array" ref="J50">SUMPRODUCT((H_Rate_Class=$B50)*'[5]Demand - T'!J$249:J$358)</f>
        <v>0</v>
      </c>
      <c r="K50" s="177" cm="1">
        <f t="array" ref="K50">SUMPRODUCT((H_Rate_Class=$B50)*'[5]Demand - T'!K$249:K$358)</f>
        <v>0</v>
      </c>
      <c r="L50" s="177" cm="1">
        <f t="array" ref="L50">SUMPRODUCT((H_Rate_Class=$B50)*'[5]Demand - T'!L$249:L$358)</f>
        <v>0</v>
      </c>
      <c r="M50" s="177" cm="1">
        <f t="array" ref="M50">SUMPRODUCT((H_Rate_Class=$B50)*'[5]Demand - T'!M$249:M$358)</f>
        <v>0</v>
      </c>
      <c r="N50" s="177" cm="1">
        <f t="array" ref="N50">SUMPRODUCT((H_Rate_Class=$B50)*'[5]Demand - T'!N$249:N$358)</f>
        <v>0</v>
      </c>
      <c r="O50" s="177" cm="1">
        <f t="array" ref="O50">SUMPRODUCT((H_Rate_Class=$B50)*'[5]Demand - T'!O$249:O$358)</f>
        <v>0</v>
      </c>
      <c r="P50" s="158">
        <f>SUM(D50:O50)</f>
        <v>0</v>
      </c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89"/>
      <c r="BI50" s="89"/>
      <c r="BJ50" s="89"/>
      <c r="BK50" s="89"/>
      <c r="BL50" s="89"/>
      <c r="BM50" s="89"/>
      <c r="BN50" s="89"/>
      <c r="BO50" s="89"/>
      <c r="BP50" s="89"/>
      <c r="BQ50" s="89"/>
      <c r="BR50" s="89"/>
      <c r="BS50" s="89"/>
      <c r="BT50" s="89"/>
      <c r="BU50" s="89"/>
      <c r="BV50" s="89"/>
      <c r="BW50" s="89"/>
      <c r="BX50" s="89"/>
      <c r="BY50" s="89"/>
      <c r="BZ50" s="89"/>
      <c r="CA50" s="89"/>
      <c r="CB50" s="89"/>
      <c r="CC50" s="89"/>
      <c r="CD50" s="89"/>
      <c r="CE50" s="89"/>
      <c r="CF50" s="89"/>
      <c r="CG50" s="89"/>
      <c r="CH50" s="89"/>
      <c r="CI50" s="89"/>
      <c r="CJ50" s="89"/>
      <c r="CK50" s="89"/>
      <c r="CL50" s="89"/>
      <c r="CM50" s="89"/>
      <c r="CN50" s="89"/>
      <c r="CO50" s="89"/>
      <c r="CP50" s="89"/>
      <c r="CQ50" s="89"/>
      <c r="CR50" s="89"/>
      <c r="CS50" s="89"/>
      <c r="CT50" s="89"/>
      <c r="CU50" s="89"/>
      <c r="CV50" s="89"/>
      <c r="CW50" s="89"/>
      <c r="CX50" s="89"/>
      <c r="CY50" s="89"/>
      <c r="CZ50" s="89"/>
      <c r="DA50" s="89"/>
      <c r="DB50" s="89"/>
      <c r="DC50" s="89"/>
      <c r="DD50" s="89"/>
      <c r="DE50" s="89"/>
      <c r="DF50" s="89"/>
      <c r="DG50" s="89"/>
      <c r="DH50" s="89"/>
      <c r="DI50" s="89"/>
      <c r="DJ50" s="89"/>
      <c r="DK50" s="89"/>
      <c r="DL50" s="89"/>
      <c r="DM50" s="89"/>
      <c r="DN50" s="89"/>
      <c r="DO50" s="89"/>
      <c r="DP50" s="89"/>
      <c r="DQ50" s="89"/>
      <c r="DR50" s="89"/>
      <c r="DS50" s="89"/>
      <c r="DT50" s="89"/>
      <c r="DU50" s="89"/>
      <c r="DV50" s="89"/>
      <c r="DW50" s="89"/>
      <c r="DX50" s="89"/>
      <c r="DY50" s="89"/>
      <c r="DZ50" s="89"/>
      <c r="EA50" s="89"/>
      <c r="EB50" s="89"/>
      <c r="EC50" s="89"/>
      <c r="ED50" s="89"/>
      <c r="EE50" s="89"/>
      <c r="EF50" s="89"/>
      <c r="EG50" s="89"/>
      <c r="EH50" s="89"/>
      <c r="EI50" s="89"/>
      <c r="EJ50" s="89"/>
      <c r="EK50" s="89"/>
      <c r="EL50" s="89"/>
      <c r="EM50" s="89"/>
      <c r="EN50" s="89"/>
    </row>
    <row r="51" spans="1:144" s="87" customFormat="1" ht="11.25">
      <c r="A51" s="386"/>
      <c r="C51" s="99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58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89"/>
      <c r="BI51" s="89"/>
      <c r="BJ51" s="89"/>
      <c r="BK51" s="89"/>
      <c r="BL51" s="89"/>
      <c r="BM51" s="89"/>
      <c r="BN51" s="89"/>
      <c r="BO51" s="89"/>
      <c r="BP51" s="89"/>
      <c r="BQ51" s="89"/>
      <c r="BR51" s="89"/>
      <c r="BS51" s="89"/>
      <c r="BT51" s="89"/>
      <c r="BU51" s="89"/>
      <c r="BV51" s="89"/>
      <c r="BW51" s="89"/>
      <c r="BX51" s="89"/>
      <c r="BY51" s="89"/>
      <c r="BZ51" s="89"/>
      <c r="CA51" s="89"/>
      <c r="CB51" s="89"/>
      <c r="CC51" s="89"/>
      <c r="CD51" s="89"/>
      <c r="CE51" s="89"/>
      <c r="CF51" s="89"/>
      <c r="CG51" s="89"/>
      <c r="CH51" s="89"/>
      <c r="CI51" s="89"/>
      <c r="CJ51" s="89"/>
      <c r="CK51" s="89"/>
      <c r="CL51" s="89"/>
      <c r="CM51" s="89"/>
      <c r="CN51" s="89"/>
      <c r="CO51" s="89"/>
      <c r="CP51" s="89"/>
      <c r="CQ51" s="89"/>
      <c r="CR51" s="89"/>
      <c r="CS51" s="89"/>
      <c r="CT51" s="89"/>
      <c r="CU51" s="89"/>
      <c r="CV51" s="89"/>
      <c r="CW51" s="89"/>
      <c r="CX51" s="89"/>
      <c r="CY51" s="89"/>
      <c r="CZ51" s="89"/>
      <c r="DA51" s="89"/>
      <c r="DB51" s="89"/>
      <c r="DC51" s="89"/>
      <c r="DD51" s="89"/>
      <c r="DE51" s="89"/>
      <c r="DF51" s="89"/>
      <c r="DG51" s="89"/>
      <c r="DH51" s="89"/>
      <c r="DI51" s="89"/>
      <c r="DJ51" s="89"/>
      <c r="DK51" s="89"/>
      <c r="DL51" s="89"/>
      <c r="DM51" s="89"/>
      <c r="DN51" s="89"/>
      <c r="DO51" s="89"/>
      <c r="DP51" s="89"/>
      <c r="DQ51" s="89"/>
      <c r="DR51" s="89"/>
      <c r="DS51" s="89"/>
      <c r="DT51" s="89"/>
      <c r="DU51" s="89"/>
      <c r="DV51" s="89"/>
      <c r="DW51" s="89"/>
      <c r="DX51" s="89"/>
      <c r="DY51" s="89"/>
      <c r="DZ51" s="89"/>
      <c r="EA51" s="89"/>
      <c r="EB51" s="89"/>
      <c r="EC51" s="89"/>
      <c r="ED51" s="89"/>
      <c r="EE51" s="89"/>
      <c r="EF51" s="89"/>
      <c r="EG51" s="89"/>
      <c r="EH51" s="89"/>
      <c r="EI51" s="89"/>
      <c r="EJ51" s="89"/>
      <c r="EK51" s="89"/>
      <c r="EL51" s="89"/>
      <c r="EM51" s="89"/>
      <c r="EN51" s="89"/>
    </row>
    <row r="52" spans="1:144" s="87" customFormat="1" ht="11.25">
      <c r="A52" s="386">
        <v>3</v>
      </c>
      <c r="B52" s="87" t="s">
        <v>81</v>
      </c>
      <c r="C52" s="157" t="s">
        <v>4</v>
      </c>
      <c r="D52" s="390" cm="1">
        <f t="array" ref="D52">SUMPRODUCT((H_Rate_Class=$B52)*'[5]Demand - T'!D$249:D$358)</f>
        <v>19015.419091418473</v>
      </c>
      <c r="E52" s="390" cm="1">
        <f t="array" ref="E52">SUMPRODUCT((H_Rate_Class=$B52)*'[5]Demand - T'!E$249:E$358)</f>
        <v>28716.312133434858</v>
      </c>
      <c r="F52" s="390" cm="1">
        <f t="array" ref="F52">SUMPRODUCT((H_Rate_Class=$B52)*'[5]Demand - T'!F$249:F$358)</f>
        <v>-22286.890538781547</v>
      </c>
      <c r="G52" s="390" cm="1">
        <f t="array" ref="G52">SUMPRODUCT((H_Rate_Class=$B52)*'[5]Demand - T'!G$249:G$358)</f>
        <v>-14948.970444730141</v>
      </c>
      <c r="H52" s="390" cm="1">
        <f t="array" ref="H52">SUMPRODUCT((H_Rate_Class=$B52)*'[5]Demand - T'!H$249:H$358)</f>
        <v>334.17099094961054</v>
      </c>
      <c r="I52" s="390" cm="1">
        <f t="array" ref="I52">SUMPRODUCT((H_Rate_Class=$B52)*'[5]Demand - T'!I$249:I$358)</f>
        <v>-88103.577263612606</v>
      </c>
      <c r="J52" s="390" cm="1">
        <f t="array" ref="J52">SUMPRODUCT((H_Rate_Class=$B52)*'[5]Demand - T'!J$249:J$358)</f>
        <v>-37763.558954727254</v>
      </c>
      <c r="K52" s="390" cm="1">
        <f t="array" ref="K52">SUMPRODUCT((H_Rate_Class=$B52)*'[5]Demand - T'!K$249:K$358)</f>
        <v>43409.456120015071</v>
      </c>
      <c r="L52" s="390" cm="1">
        <f t="array" ref="L52">SUMPRODUCT((H_Rate_Class=$B52)*'[5]Demand - T'!L$249:L$358)</f>
        <v>30023.818406480535</v>
      </c>
      <c r="M52" s="390" cm="1">
        <f t="array" ref="M52">SUMPRODUCT((H_Rate_Class=$B52)*'[5]Demand - T'!M$249:M$358)</f>
        <v>-109201.74702689548</v>
      </c>
      <c r="N52" s="390" cm="1">
        <f t="array" ref="N52">SUMPRODUCT((H_Rate_Class=$B52)*'[5]Demand - T'!N$249:N$358)</f>
        <v>-102774.6441850694</v>
      </c>
      <c r="O52" s="390" cm="1">
        <f t="array" ref="O52">SUMPRODUCT((H_Rate_Class=$B52)*'[5]Demand - T'!O$249:O$358)</f>
        <v>-104311.23499501479</v>
      </c>
      <c r="P52" s="158">
        <f t="shared" ref="P52:P53" si="6">SUM(D52:O52)</f>
        <v>-357891.44666653266</v>
      </c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89"/>
      <c r="BI52" s="89"/>
      <c r="BJ52" s="89"/>
      <c r="BK52" s="89"/>
      <c r="BL52" s="89"/>
      <c r="BM52" s="89"/>
      <c r="BN52" s="89"/>
      <c r="BO52" s="89"/>
      <c r="BP52" s="89"/>
      <c r="BQ52" s="89"/>
      <c r="BR52" s="89"/>
      <c r="BS52" s="89"/>
      <c r="BT52" s="89"/>
      <c r="BU52" s="89"/>
      <c r="BV52" s="89"/>
      <c r="BW52" s="89"/>
      <c r="BX52" s="89"/>
      <c r="BY52" s="89"/>
      <c r="BZ52" s="89"/>
      <c r="CA52" s="89"/>
      <c r="CB52" s="89"/>
      <c r="CC52" s="89"/>
      <c r="CD52" s="89"/>
      <c r="CE52" s="89"/>
      <c r="CF52" s="89"/>
      <c r="CG52" s="89"/>
      <c r="CH52" s="89"/>
      <c r="CI52" s="89"/>
      <c r="CJ52" s="89"/>
      <c r="CK52" s="89"/>
      <c r="CL52" s="89"/>
      <c r="CM52" s="89"/>
      <c r="CN52" s="89"/>
      <c r="CO52" s="89"/>
      <c r="CP52" s="89"/>
      <c r="CQ52" s="89"/>
      <c r="CR52" s="89"/>
      <c r="CS52" s="89"/>
      <c r="CT52" s="89"/>
      <c r="CU52" s="89"/>
      <c r="CV52" s="89"/>
      <c r="CW52" s="89"/>
      <c r="CX52" s="89"/>
      <c r="CY52" s="89"/>
      <c r="CZ52" s="89"/>
      <c r="DA52" s="89"/>
      <c r="DB52" s="89"/>
      <c r="DC52" s="89"/>
      <c r="DD52" s="89"/>
      <c r="DE52" s="89"/>
      <c r="DF52" s="89"/>
      <c r="DG52" s="89"/>
      <c r="DH52" s="89"/>
      <c r="DI52" s="89"/>
      <c r="DJ52" s="89"/>
      <c r="DK52" s="89"/>
      <c r="DL52" s="89"/>
      <c r="DM52" s="89"/>
      <c r="DN52" s="89"/>
      <c r="DO52" s="89"/>
      <c r="DP52" s="89"/>
      <c r="DQ52" s="89"/>
      <c r="DR52" s="89"/>
      <c r="DS52" s="89"/>
      <c r="DT52" s="89"/>
      <c r="DU52" s="89"/>
      <c r="DV52" s="89"/>
      <c r="DW52" s="89"/>
      <c r="DX52" s="89"/>
      <c r="DY52" s="89"/>
      <c r="DZ52" s="89"/>
      <c r="EA52" s="89"/>
      <c r="EB52" s="89"/>
      <c r="EC52" s="89"/>
      <c r="ED52" s="89"/>
      <c r="EE52" s="89"/>
      <c r="EF52" s="89"/>
      <c r="EG52" s="89"/>
      <c r="EH52" s="89"/>
      <c r="EI52" s="89"/>
      <c r="EJ52" s="89"/>
      <c r="EK52" s="89"/>
      <c r="EL52" s="89"/>
      <c r="EM52" s="89"/>
      <c r="EN52" s="89"/>
    </row>
    <row r="53" spans="1:144" s="87" customFormat="1" ht="11.25">
      <c r="A53" s="386">
        <v>4</v>
      </c>
      <c r="B53" s="87" t="s">
        <v>85</v>
      </c>
      <c r="C53" s="157" t="s">
        <v>4</v>
      </c>
      <c r="D53" s="388" cm="1">
        <f t="array" ref="D53">SUMPRODUCT((H_Rate_Class=$B53)*'[5]Demand - T'!D$249:D$358)</f>
        <v>1688.2059205879764</v>
      </c>
      <c r="E53" s="388" cm="1">
        <f t="array" ref="E53">SUMPRODUCT((H_Rate_Class=$B53)*'[5]Demand - T'!E$249:E$358)</f>
        <v>2085.6200376037573</v>
      </c>
      <c r="F53" s="388" cm="1">
        <f t="array" ref="F53">SUMPRODUCT((H_Rate_Class=$B53)*'[5]Demand - T'!F$249:F$358)</f>
        <v>-853.4909653774555</v>
      </c>
      <c r="G53" s="388" cm="1">
        <f t="array" ref="G53">SUMPRODUCT((H_Rate_Class=$B53)*'[5]Demand - T'!G$249:G$358)</f>
        <v>-1037.0040778948926</v>
      </c>
      <c r="H53" s="388" cm="1">
        <f t="array" ref="H53">SUMPRODUCT((H_Rate_Class=$B53)*'[5]Demand - T'!H$249:H$358)</f>
        <v>217.51944379448469</v>
      </c>
      <c r="I53" s="388" cm="1">
        <f t="array" ref="I53">SUMPRODUCT((H_Rate_Class=$B53)*'[5]Demand - T'!I$249:I$358)</f>
        <v>-5555.0305470359945</v>
      </c>
      <c r="J53" s="388" cm="1">
        <f t="array" ref="J53">SUMPRODUCT((H_Rate_Class=$B53)*'[5]Demand - T'!J$249:J$358)</f>
        <v>-2031.0977410548355</v>
      </c>
      <c r="K53" s="388" cm="1">
        <f t="array" ref="K53">SUMPRODUCT((H_Rate_Class=$B53)*'[5]Demand - T'!K$249:K$358)</f>
        <v>3345.1153046269819</v>
      </c>
      <c r="L53" s="388" cm="1">
        <f t="array" ref="L53">SUMPRODUCT((H_Rate_Class=$B53)*'[5]Demand - T'!L$249:L$358)</f>
        <v>1370.4468389390793</v>
      </c>
      <c r="M53" s="388" cm="1">
        <f t="array" ref="M53">SUMPRODUCT((H_Rate_Class=$B53)*'[5]Demand - T'!M$249:M$358)</f>
        <v>-4811.0606343450054</v>
      </c>
      <c r="N53" s="388" cm="1">
        <f t="array" ref="N53">SUMPRODUCT((H_Rate_Class=$B53)*'[5]Demand - T'!N$249:N$358)</f>
        <v>-3601.7993185798264</v>
      </c>
      <c r="O53" s="388" cm="1">
        <f t="array" ref="O53">SUMPRODUCT((H_Rate_Class=$B53)*'[5]Demand - T'!O$249:O$358)</f>
        <v>-3445.0281993490285</v>
      </c>
      <c r="P53" s="425">
        <f t="shared" si="6"/>
        <v>-12627.603938084758</v>
      </c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89"/>
      <c r="BR53" s="89"/>
      <c r="BS53" s="89"/>
      <c r="BT53" s="89"/>
      <c r="BU53" s="89"/>
      <c r="BV53" s="89"/>
      <c r="BW53" s="89"/>
      <c r="BX53" s="89"/>
      <c r="BY53" s="89"/>
      <c r="BZ53" s="89"/>
      <c r="CA53" s="89"/>
      <c r="CB53" s="89"/>
      <c r="CC53" s="89"/>
      <c r="CD53" s="89"/>
      <c r="CE53" s="89"/>
      <c r="CF53" s="89"/>
      <c r="CG53" s="89"/>
      <c r="CH53" s="89"/>
      <c r="CI53" s="89"/>
      <c r="CJ53" s="89"/>
      <c r="CK53" s="89"/>
      <c r="CL53" s="89"/>
      <c r="CM53" s="89"/>
      <c r="CN53" s="89"/>
      <c r="CO53" s="89"/>
      <c r="CP53" s="89"/>
      <c r="CQ53" s="89"/>
      <c r="CR53" s="89"/>
      <c r="CS53" s="89"/>
      <c r="CT53" s="89"/>
      <c r="CU53" s="89"/>
      <c r="CV53" s="89"/>
      <c r="CW53" s="89"/>
      <c r="CX53" s="89"/>
      <c r="CY53" s="89"/>
      <c r="CZ53" s="89"/>
      <c r="DA53" s="89"/>
      <c r="DB53" s="89"/>
      <c r="DC53" s="89"/>
      <c r="DD53" s="89"/>
      <c r="DE53" s="89"/>
      <c r="DF53" s="89"/>
      <c r="DG53" s="89"/>
      <c r="DH53" s="89"/>
      <c r="DI53" s="89"/>
      <c r="DJ53" s="89"/>
      <c r="DK53" s="89"/>
      <c r="DL53" s="89"/>
      <c r="DM53" s="89"/>
      <c r="DN53" s="89"/>
      <c r="DO53" s="89"/>
      <c r="DP53" s="89"/>
      <c r="DQ53" s="89"/>
      <c r="DR53" s="89"/>
      <c r="DS53" s="89"/>
      <c r="DT53" s="89"/>
      <c r="DU53" s="89"/>
      <c r="DV53" s="89"/>
      <c r="DW53" s="89"/>
      <c r="DX53" s="89"/>
      <c r="DY53" s="89"/>
      <c r="DZ53" s="89"/>
      <c r="EA53" s="89"/>
      <c r="EB53" s="89"/>
      <c r="EC53" s="89"/>
      <c r="ED53" s="89"/>
      <c r="EE53" s="89"/>
      <c r="EF53" s="89"/>
      <c r="EG53" s="89"/>
      <c r="EH53" s="89"/>
      <c r="EI53" s="89"/>
      <c r="EJ53" s="89"/>
      <c r="EK53" s="89"/>
      <c r="EL53" s="89"/>
      <c r="EM53" s="89"/>
      <c r="EN53" s="89"/>
    </row>
    <row r="54" spans="1:144" s="87" customFormat="1" ht="11.25">
      <c r="A54" s="386">
        <v>5</v>
      </c>
      <c r="B54" s="131" t="s">
        <v>18</v>
      </c>
      <c r="C54" s="99"/>
      <c r="D54" s="177">
        <f t="shared" ref="D54:P54" si="7">SUM(D52:D53)</f>
        <v>20703.625012006451</v>
      </c>
      <c r="E54" s="177">
        <f t="shared" si="7"/>
        <v>30801.932171038614</v>
      </c>
      <c r="F54" s="177">
        <f t="shared" si="7"/>
        <v>-23140.381504159002</v>
      </c>
      <c r="G54" s="177">
        <f t="shared" si="7"/>
        <v>-15985.974522625034</v>
      </c>
      <c r="H54" s="177">
        <f t="shared" si="7"/>
        <v>551.69043474409523</v>
      </c>
      <c r="I54" s="177">
        <f t="shared" si="7"/>
        <v>-93658.607810648595</v>
      </c>
      <c r="J54" s="177">
        <f t="shared" si="7"/>
        <v>-39794.656695782091</v>
      </c>
      <c r="K54" s="177">
        <f t="shared" si="7"/>
        <v>46754.571424642054</v>
      </c>
      <c r="L54" s="177">
        <f t="shared" si="7"/>
        <v>31394.265245419614</v>
      </c>
      <c r="M54" s="177">
        <f t="shared" si="7"/>
        <v>-114012.80766124048</v>
      </c>
      <c r="N54" s="177">
        <f t="shared" si="7"/>
        <v>-106376.44350364922</v>
      </c>
      <c r="O54" s="177">
        <f t="shared" si="7"/>
        <v>-107756.26319436383</v>
      </c>
      <c r="P54" s="177">
        <f t="shared" si="7"/>
        <v>-370519.0506046174</v>
      </c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89"/>
      <c r="BI54" s="89"/>
      <c r="BJ54" s="89"/>
      <c r="BK54" s="89"/>
      <c r="BL54" s="89"/>
      <c r="BM54" s="89"/>
      <c r="BN54" s="89"/>
      <c r="BO54" s="89"/>
      <c r="BP54" s="89"/>
      <c r="BQ54" s="89"/>
      <c r="BR54" s="89"/>
      <c r="BS54" s="89"/>
      <c r="BT54" s="89"/>
      <c r="BU54" s="89"/>
      <c r="BV54" s="89"/>
      <c r="BW54" s="89"/>
      <c r="BX54" s="89"/>
      <c r="BY54" s="89"/>
      <c r="BZ54" s="89"/>
      <c r="CA54" s="89"/>
      <c r="CB54" s="89"/>
      <c r="CC54" s="89"/>
      <c r="CD54" s="89"/>
      <c r="CE54" s="89"/>
      <c r="CF54" s="89"/>
      <c r="CG54" s="89"/>
      <c r="CH54" s="89"/>
      <c r="CI54" s="89"/>
      <c r="CJ54" s="89"/>
      <c r="CK54" s="89"/>
      <c r="CL54" s="89"/>
      <c r="CM54" s="89"/>
      <c r="CN54" s="89"/>
      <c r="CO54" s="89"/>
      <c r="CP54" s="89"/>
      <c r="CQ54" s="89"/>
      <c r="CR54" s="89"/>
      <c r="CS54" s="89"/>
      <c r="CT54" s="89"/>
      <c r="CU54" s="89"/>
      <c r="CV54" s="89"/>
      <c r="CW54" s="89"/>
      <c r="CX54" s="89"/>
      <c r="CY54" s="89"/>
      <c r="CZ54" s="89"/>
      <c r="DA54" s="89"/>
      <c r="DB54" s="89"/>
      <c r="DC54" s="89"/>
      <c r="DD54" s="89"/>
      <c r="DE54" s="89"/>
      <c r="DF54" s="89"/>
      <c r="DG54" s="89"/>
      <c r="DH54" s="89"/>
      <c r="DI54" s="89"/>
      <c r="DJ54" s="89"/>
      <c r="DK54" s="89"/>
      <c r="DL54" s="89"/>
      <c r="DM54" s="89"/>
      <c r="DN54" s="89"/>
      <c r="DO54" s="89"/>
      <c r="DP54" s="89"/>
      <c r="DQ54" s="89"/>
      <c r="DR54" s="89"/>
      <c r="DS54" s="89"/>
      <c r="DT54" s="89"/>
      <c r="DU54" s="89"/>
      <c r="DV54" s="89"/>
      <c r="DW54" s="89"/>
      <c r="DX54" s="89"/>
      <c r="DY54" s="89"/>
      <c r="DZ54" s="89"/>
      <c r="EA54" s="89"/>
      <c r="EB54" s="89"/>
      <c r="EC54" s="89"/>
      <c r="ED54" s="89"/>
      <c r="EE54" s="89"/>
      <c r="EF54" s="89"/>
      <c r="EG54" s="89"/>
      <c r="EH54" s="89"/>
      <c r="EI54" s="89"/>
      <c r="EJ54" s="89"/>
      <c r="EK54" s="89"/>
      <c r="EL54" s="89"/>
      <c r="EM54" s="89"/>
      <c r="EN54" s="89"/>
    </row>
    <row r="55" spans="1:144" s="87" customFormat="1" ht="11.25">
      <c r="A55" s="4"/>
      <c r="B55" s="147"/>
      <c r="C55" s="99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58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89"/>
      <c r="BL55" s="89"/>
      <c r="BM55" s="89"/>
      <c r="BN55" s="89"/>
      <c r="BO55" s="89"/>
      <c r="BP55" s="89"/>
      <c r="BQ55" s="89"/>
      <c r="BR55" s="89"/>
      <c r="BS55" s="89"/>
      <c r="BT55" s="89"/>
      <c r="BU55" s="89"/>
      <c r="BV55" s="89"/>
      <c r="BW55" s="89"/>
      <c r="BX55" s="89"/>
      <c r="BY55" s="89"/>
      <c r="BZ55" s="89"/>
      <c r="CA55" s="89"/>
      <c r="CB55" s="89"/>
      <c r="CC55" s="89"/>
      <c r="CD55" s="89"/>
      <c r="CE55" s="89"/>
      <c r="CF55" s="89"/>
      <c r="CG55" s="89"/>
      <c r="CH55" s="89"/>
      <c r="CI55" s="89"/>
      <c r="CJ55" s="89"/>
      <c r="CK55" s="89"/>
      <c r="CL55" s="89"/>
      <c r="CM55" s="89"/>
      <c r="CN55" s="89"/>
      <c r="CO55" s="89"/>
      <c r="CP55" s="89"/>
      <c r="CQ55" s="89"/>
      <c r="CR55" s="89"/>
      <c r="CS55" s="89"/>
      <c r="CT55" s="89"/>
      <c r="CU55" s="89"/>
      <c r="CV55" s="89"/>
      <c r="CW55" s="89"/>
      <c r="CX55" s="89"/>
      <c r="CY55" s="89"/>
      <c r="CZ55" s="89"/>
      <c r="DA55" s="89"/>
      <c r="DB55" s="89"/>
      <c r="DC55" s="89"/>
      <c r="DD55" s="89"/>
      <c r="DE55" s="89"/>
      <c r="DF55" s="89"/>
      <c r="DG55" s="89"/>
      <c r="DH55" s="89"/>
      <c r="DI55" s="89"/>
      <c r="DJ55" s="89"/>
      <c r="DK55" s="89"/>
      <c r="DL55" s="89"/>
      <c r="DM55" s="89"/>
      <c r="DN55" s="89"/>
      <c r="DO55" s="89"/>
      <c r="DP55" s="89"/>
      <c r="DQ55" s="89"/>
      <c r="DR55" s="89"/>
      <c r="DS55" s="89"/>
      <c r="DT55" s="89"/>
      <c r="DU55" s="89"/>
      <c r="DV55" s="89"/>
      <c r="DW55" s="89"/>
      <c r="DX55" s="89"/>
      <c r="DY55" s="89"/>
      <c r="DZ55" s="89"/>
      <c r="EA55" s="89"/>
      <c r="EB55" s="89"/>
      <c r="EC55" s="89"/>
      <c r="ED55" s="89"/>
      <c r="EE55" s="89"/>
      <c r="EF55" s="89"/>
      <c r="EG55" s="89"/>
      <c r="EH55" s="89"/>
      <c r="EI55" s="89"/>
      <c r="EJ55" s="89"/>
      <c r="EK55" s="89"/>
      <c r="EL55" s="89"/>
      <c r="EM55" s="89"/>
      <c r="EN55" s="89"/>
    </row>
    <row r="56" spans="1:144" s="87" customFormat="1" ht="11.25">
      <c r="A56" s="386">
        <v>6</v>
      </c>
      <c r="B56" s="87" t="s">
        <v>82</v>
      </c>
      <c r="C56" s="157" t="s">
        <v>5</v>
      </c>
      <c r="D56" s="390" cm="1">
        <f t="array" ref="D56">SUMPRODUCT((H_Rate_Class=$B56)*'[5]Demand - T'!D$249:D$358)</f>
        <v>82.647259163129306</v>
      </c>
      <c r="E56" s="390" cm="1">
        <f t="array" ref="E56">SUMPRODUCT((H_Rate_Class=$B56)*'[5]Demand - T'!E$249:E$358)</f>
        <v>127.79526599090744</v>
      </c>
      <c r="F56" s="390" cm="1">
        <f t="array" ref="F56">SUMPRODUCT((H_Rate_Class=$B56)*'[5]Demand - T'!F$249:F$358)</f>
        <v>-307.93101181345861</v>
      </c>
      <c r="G56" s="390" cm="1">
        <f t="array" ref="G56">SUMPRODUCT((H_Rate_Class=$B56)*'[5]Demand - T'!G$249:G$358)</f>
        <v>-361.58747847554588</v>
      </c>
      <c r="H56" s="390" cm="1">
        <f t="array" ref="H56">SUMPRODUCT((H_Rate_Class=$B56)*'[5]Demand - T'!H$249:H$358)</f>
        <v>-148.92916334466886</v>
      </c>
      <c r="I56" s="390" cm="1">
        <f t="array" ref="I56">SUMPRODUCT((H_Rate_Class=$B56)*'[5]Demand - T'!I$249:I$358)</f>
        <v>-1381.6790574921918</v>
      </c>
      <c r="J56" s="390" cm="1">
        <f t="array" ref="J56">SUMPRODUCT((H_Rate_Class=$B56)*'[5]Demand - T'!J$249:J$358)</f>
        <v>-723.27762317066208</v>
      </c>
      <c r="K56" s="390" cm="1">
        <f t="array" ref="K56">SUMPRODUCT((H_Rate_Class=$B56)*'[5]Demand - T'!K$249:K$358)</f>
        <v>658.3402066929325</v>
      </c>
      <c r="L56" s="390" cm="1">
        <f t="array" ref="L56">SUMPRODUCT((H_Rate_Class=$B56)*'[5]Demand - T'!L$249:L$358)</f>
        <v>102.16934448565466</v>
      </c>
      <c r="M56" s="390" cm="1">
        <f t="array" ref="M56">SUMPRODUCT((H_Rate_Class=$B56)*'[5]Demand - T'!M$249:M$358)</f>
        <v>-1453.2162532642481</v>
      </c>
      <c r="N56" s="390" cm="1">
        <f t="array" ref="N56">SUMPRODUCT((H_Rate_Class=$B56)*'[5]Demand - T'!N$249:N$358)</f>
        <v>-1049.5329097866274</v>
      </c>
      <c r="O56" s="390" cm="1">
        <f t="array" ref="O56">SUMPRODUCT((H_Rate_Class=$B56)*'[5]Demand - T'!O$249:O$358)</f>
        <v>-972.71891252504929</v>
      </c>
      <c r="P56" s="158">
        <f t="shared" ref="P56:P59" si="8">SUM(D56:O56)</f>
        <v>-5427.9203335398288</v>
      </c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89"/>
      <c r="BI56" s="89"/>
      <c r="BJ56" s="89"/>
      <c r="BK56" s="89"/>
      <c r="BL56" s="89"/>
      <c r="BM56" s="89"/>
      <c r="BN56" s="89"/>
      <c r="BO56" s="89"/>
      <c r="BP56" s="89"/>
      <c r="BQ56" s="89"/>
      <c r="BR56" s="89"/>
      <c r="BS56" s="89"/>
      <c r="BT56" s="89"/>
      <c r="BU56" s="89"/>
      <c r="BV56" s="89"/>
      <c r="BW56" s="89"/>
      <c r="BX56" s="89"/>
      <c r="BY56" s="89"/>
      <c r="BZ56" s="89"/>
      <c r="CA56" s="89"/>
      <c r="CB56" s="89"/>
      <c r="CC56" s="89"/>
      <c r="CD56" s="89"/>
      <c r="CE56" s="89"/>
      <c r="CF56" s="89"/>
      <c r="CG56" s="89"/>
      <c r="CH56" s="89"/>
      <c r="CI56" s="89"/>
      <c r="CJ56" s="89"/>
      <c r="CK56" s="89"/>
      <c r="CL56" s="89"/>
      <c r="CM56" s="89"/>
      <c r="CN56" s="89"/>
      <c r="CO56" s="89"/>
      <c r="CP56" s="89"/>
      <c r="CQ56" s="89"/>
      <c r="CR56" s="89"/>
      <c r="CS56" s="89"/>
      <c r="CT56" s="89"/>
      <c r="CU56" s="89"/>
      <c r="CV56" s="89"/>
      <c r="CW56" s="89"/>
      <c r="CX56" s="89"/>
      <c r="CY56" s="89"/>
      <c r="CZ56" s="89"/>
      <c r="DA56" s="89"/>
      <c r="DB56" s="89"/>
      <c r="DC56" s="89"/>
      <c r="DD56" s="89"/>
      <c r="DE56" s="89"/>
      <c r="DF56" s="89"/>
      <c r="DG56" s="89"/>
      <c r="DH56" s="89"/>
      <c r="DI56" s="89"/>
      <c r="DJ56" s="89"/>
      <c r="DK56" s="89"/>
      <c r="DL56" s="89"/>
      <c r="DM56" s="89"/>
      <c r="DN56" s="89"/>
      <c r="DO56" s="89"/>
      <c r="DP56" s="89"/>
      <c r="DQ56" s="89"/>
      <c r="DR56" s="89"/>
      <c r="DS56" s="89"/>
      <c r="DT56" s="89"/>
      <c r="DU56" s="89"/>
      <c r="DV56" s="89"/>
      <c r="DW56" s="89"/>
      <c r="DX56" s="89"/>
      <c r="DY56" s="89"/>
      <c r="DZ56" s="89"/>
      <c r="EA56" s="89"/>
      <c r="EB56" s="89"/>
      <c r="EC56" s="89"/>
      <c r="ED56" s="89"/>
      <c r="EE56" s="89"/>
      <c r="EF56" s="89"/>
      <c r="EG56" s="89"/>
      <c r="EH56" s="89"/>
      <c r="EI56" s="89"/>
      <c r="EJ56" s="89"/>
      <c r="EK56" s="89"/>
      <c r="EL56" s="89"/>
      <c r="EM56" s="89"/>
      <c r="EN56" s="89"/>
    </row>
    <row r="57" spans="1:144" s="87" customFormat="1" ht="11.25">
      <c r="A57" s="386">
        <v>7</v>
      </c>
      <c r="B57" s="87" t="s">
        <v>83</v>
      </c>
      <c r="C57" s="157" t="s">
        <v>5</v>
      </c>
      <c r="D57" s="390" cm="1">
        <f t="array" ref="D57">SUMPRODUCT((H_Rate_Class=$B57)*'[5]Demand - T'!D$249:D$358)</f>
        <v>1053.1712467632449</v>
      </c>
      <c r="E57" s="390" cm="1">
        <f t="array" ref="E57">SUMPRODUCT((H_Rate_Class=$B57)*'[5]Demand - T'!E$249:E$358)</f>
        <v>1799.7216078538017</v>
      </c>
      <c r="F57" s="390" cm="1">
        <f t="array" ref="F57">SUMPRODUCT((H_Rate_Class=$B57)*'[5]Demand - T'!F$249:F$358)</f>
        <v>-2642.498455741742</v>
      </c>
      <c r="G57" s="390" cm="1">
        <f t="array" ref="G57">SUMPRODUCT((H_Rate_Class=$B57)*'[5]Demand - T'!G$249:G$358)</f>
        <v>-2779.4912407806473</v>
      </c>
      <c r="H57" s="390" cm="1">
        <f t="array" ref="H57">SUMPRODUCT((H_Rate_Class=$B57)*'[5]Demand - T'!H$249:H$358)</f>
        <v>-552.32227518079901</v>
      </c>
      <c r="I57" s="390" cm="1">
        <f t="array" ref="I57">SUMPRODUCT((H_Rate_Class=$B57)*'[5]Demand - T'!I$249:I$358)</f>
        <v>-9775.1396385040571</v>
      </c>
      <c r="J57" s="390" cm="1">
        <f t="array" ref="J57">SUMPRODUCT((H_Rate_Class=$B57)*'[5]Demand - T'!J$249:J$358)</f>
        <v>-4512.3260675710962</v>
      </c>
      <c r="K57" s="390" cm="1">
        <f t="array" ref="K57">SUMPRODUCT((H_Rate_Class=$B57)*'[5]Demand - T'!K$249:K$358)</f>
        <v>3877.2723799754208</v>
      </c>
      <c r="L57" s="390" cm="1">
        <f t="array" ref="L57">SUMPRODUCT((H_Rate_Class=$B57)*'[5]Demand - T'!L$249:L$358)</f>
        <v>1796.3654973356583</v>
      </c>
      <c r="M57" s="390" cm="1">
        <f t="array" ref="M57">SUMPRODUCT((H_Rate_Class=$B57)*'[5]Demand - T'!M$249:M$358)</f>
        <v>-11548.324392918405</v>
      </c>
      <c r="N57" s="390" cm="1">
        <f t="array" ref="N57">SUMPRODUCT((H_Rate_Class=$B57)*'[5]Demand - T'!N$249:N$358)</f>
        <v>-10627.106172327429</v>
      </c>
      <c r="O57" s="390" cm="1">
        <f t="array" ref="O57">SUMPRODUCT((H_Rate_Class=$B57)*'[5]Demand - T'!O$249:O$358)</f>
        <v>-9953.331715652299</v>
      </c>
      <c r="P57" s="158">
        <f t="shared" si="8"/>
        <v>-43864.009226748341</v>
      </c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  <c r="BE57" s="89"/>
      <c r="BF57" s="89"/>
      <c r="BG57" s="89"/>
      <c r="BH57" s="89"/>
      <c r="BI57" s="89"/>
      <c r="BJ57" s="89"/>
      <c r="BK57" s="89"/>
      <c r="BL57" s="89"/>
      <c r="BM57" s="89"/>
      <c r="BN57" s="89"/>
      <c r="BO57" s="89"/>
      <c r="BP57" s="89"/>
      <c r="BQ57" s="89"/>
      <c r="BR57" s="89"/>
      <c r="BS57" s="89"/>
      <c r="BT57" s="89"/>
      <c r="BU57" s="89"/>
      <c r="BV57" s="89"/>
      <c r="BW57" s="89"/>
      <c r="BX57" s="89"/>
      <c r="BY57" s="89"/>
      <c r="BZ57" s="89"/>
      <c r="CA57" s="89"/>
      <c r="CB57" s="89"/>
      <c r="CC57" s="89"/>
      <c r="CD57" s="89"/>
      <c r="CE57" s="89"/>
      <c r="CF57" s="89"/>
      <c r="CG57" s="89"/>
      <c r="CH57" s="89"/>
      <c r="CI57" s="89"/>
      <c r="CJ57" s="89"/>
      <c r="CK57" s="89"/>
      <c r="CL57" s="89"/>
      <c r="CM57" s="89"/>
      <c r="CN57" s="89"/>
      <c r="CO57" s="89"/>
      <c r="CP57" s="89"/>
      <c r="CQ57" s="89"/>
      <c r="CR57" s="89"/>
      <c r="CS57" s="89"/>
      <c r="CT57" s="89"/>
      <c r="CU57" s="89"/>
      <c r="CV57" s="89"/>
      <c r="CW57" s="89"/>
      <c r="CX57" s="89"/>
      <c r="CY57" s="89"/>
      <c r="CZ57" s="89"/>
      <c r="DA57" s="89"/>
      <c r="DB57" s="89"/>
      <c r="DC57" s="89"/>
      <c r="DD57" s="89"/>
      <c r="DE57" s="89"/>
      <c r="DF57" s="89"/>
      <c r="DG57" s="89"/>
      <c r="DH57" s="89"/>
      <c r="DI57" s="89"/>
      <c r="DJ57" s="89"/>
      <c r="DK57" s="89"/>
      <c r="DL57" s="89"/>
      <c r="DM57" s="89"/>
      <c r="DN57" s="89"/>
      <c r="DO57" s="89"/>
      <c r="DP57" s="89"/>
      <c r="DQ57" s="89"/>
      <c r="DR57" s="89"/>
      <c r="DS57" s="89"/>
      <c r="DT57" s="89"/>
      <c r="DU57" s="89"/>
      <c r="DV57" s="89"/>
      <c r="DW57" s="89"/>
      <c r="DX57" s="89"/>
      <c r="DY57" s="89"/>
      <c r="DZ57" s="89"/>
      <c r="EA57" s="89"/>
      <c r="EB57" s="89"/>
      <c r="EC57" s="89"/>
      <c r="ED57" s="89"/>
      <c r="EE57" s="89"/>
      <c r="EF57" s="89"/>
      <c r="EG57" s="89"/>
      <c r="EH57" s="89"/>
      <c r="EI57" s="89"/>
      <c r="EJ57" s="89"/>
      <c r="EK57" s="89"/>
      <c r="EL57" s="89"/>
      <c r="EM57" s="89"/>
      <c r="EN57" s="89"/>
    </row>
    <row r="58" spans="1:144" s="87" customFormat="1" ht="11.25">
      <c r="A58" s="386">
        <v>8</v>
      </c>
      <c r="B58" s="87" t="s">
        <v>148</v>
      </c>
      <c r="C58" s="157" t="s">
        <v>5</v>
      </c>
      <c r="D58" s="390" cm="1">
        <f t="array" ref="D58">SUMPRODUCT((H_Rate_Class=$B58)*'[5]Demand - T'!D$249:D$358)</f>
        <v>0</v>
      </c>
      <c r="E58" s="390" cm="1">
        <f t="array" ref="E58">SUMPRODUCT((H_Rate_Class=$B58)*'[5]Demand - T'!E$249:E$358)</f>
        <v>0</v>
      </c>
      <c r="F58" s="390" cm="1">
        <f t="array" ref="F58">SUMPRODUCT((H_Rate_Class=$B58)*'[5]Demand - T'!F$249:F$358)</f>
        <v>0</v>
      </c>
      <c r="G58" s="390" cm="1">
        <f t="array" ref="G58">SUMPRODUCT((H_Rate_Class=$B58)*'[5]Demand - T'!G$249:G$358)</f>
        <v>0</v>
      </c>
      <c r="H58" s="390" cm="1">
        <f t="array" ref="H58">SUMPRODUCT((H_Rate_Class=$B58)*'[5]Demand - T'!H$249:H$358)</f>
        <v>0</v>
      </c>
      <c r="I58" s="390" cm="1">
        <f t="array" ref="I58">SUMPRODUCT((H_Rate_Class=$B58)*'[5]Demand - T'!I$249:I$358)</f>
        <v>0</v>
      </c>
      <c r="J58" s="390" cm="1">
        <f t="array" ref="J58">SUMPRODUCT((H_Rate_Class=$B58)*'[5]Demand - T'!J$249:J$358)</f>
        <v>0</v>
      </c>
      <c r="K58" s="390" cm="1">
        <f t="array" ref="K58">SUMPRODUCT((H_Rate_Class=$B58)*'[5]Demand - T'!K$249:K$358)</f>
        <v>0</v>
      </c>
      <c r="L58" s="390" cm="1">
        <f t="array" ref="L58">SUMPRODUCT((H_Rate_Class=$B58)*'[5]Demand - T'!L$249:L$358)</f>
        <v>0</v>
      </c>
      <c r="M58" s="390" cm="1">
        <f t="array" ref="M58">SUMPRODUCT((H_Rate_Class=$B58)*'[5]Demand - T'!M$249:M$358)</f>
        <v>0</v>
      </c>
      <c r="N58" s="390" cm="1">
        <f t="array" ref="N58">SUMPRODUCT((H_Rate_Class=$B58)*'[5]Demand - T'!N$249:N$358)</f>
        <v>0</v>
      </c>
      <c r="O58" s="390" cm="1">
        <f t="array" ref="O58">SUMPRODUCT((H_Rate_Class=$B58)*'[5]Demand - T'!O$249:O$358)</f>
        <v>0</v>
      </c>
      <c r="P58" s="158">
        <f t="shared" si="8"/>
        <v>0</v>
      </c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89"/>
      <c r="BH58" s="89"/>
      <c r="BI58" s="89"/>
      <c r="BJ58" s="89"/>
      <c r="BK58" s="89"/>
      <c r="BL58" s="89"/>
      <c r="BM58" s="89"/>
      <c r="BN58" s="89"/>
      <c r="BO58" s="89"/>
      <c r="BP58" s="89"/>
      <c r="BQ58" s="89"/>
      <c r="BR58" s="89"/>
      <c r="BS58" s="89"/>
      <c r="BT58" s="89"/>
      <c r="BU58" s="89"/>
      <c r="BV58" s="89"/>
      <c r="BW58" s="89"/>
      <c r="BX58" s="89"/>
      <c r="BY58" s="89"/>
      <c r="BZ58" s="89"/>
      <c r="CA58" s="89"/>
      <c r="CB58" s="89"/>
      <c r="CC58" s="89"/>
      <c r="CD58" s="89"/>
      <c r="CE58" s="89"/>
      <c r="CF58" s="89"/>
      <c r="CG58" s="89"/>
      <c r="CH58" s="89"/>
      <c r="CI58" s="89"/>
      <c r="CJ58" s="89"/>
      <c r="CK58" s="89"/>
      <c r="CL58" s="89"/>
      <c r="CM58" s="89"/>
      <c r="CN58" s="89"/>
      <c r="CO58" s="89"/>
      <c r="CP58" s="89"/>
      <c r="CQ58" s="89"/>
      <c r="CR58" s="89"/>
      <c r="CS58" s="89"/>
      <c r="CT58" s="89"/>
      <c r="CU58" s="89"/>
      <c r="CV58" s="89"/>
      <c r="CW58" s="89"/>
      <c r="CX58" s="89"/>
      <c r="CY58" s="89"/>
      <c r="CZ58" s="89"/>
      <c r="DA58" s="89"/>
      <c r="DB58" s="89"/>
      <c r="DC58" s="89"/>
      <c r="DD58" s="89"/>
      <c r="DE58" s="89"/>
      <c r="DF58" s="89"/>
      <c r="DG58" s="89"/>
      <c r="DH58" s="89"/>
      <c r="DI58" s="89"/>
      <c r="DJ58" s="89"/>
      <c r="DK58" s="89"/>
      <c r="DL58" s="89"/>
      <c r="DM58" s="89"/>
      <c r="DN58" s="89"/>
      <c r="DO58" s="89"/>
      <c r="DP58" s="89"/>
      <c r="DQ58" s="89"/>
      <c r="DR58" s="89"/>
      <c r="DS58" s="89"/>
      <c r="DT58" s="89"/>
      <c r="DU58" s="89"/>
      <c r="DV58" s="89"/>
      <c r="DW58" s="89"/>
      <c r="DX58" s="89"/>
      <c r="DY58" s="89"/>
      <c r="DZ58" s="89"/>
      <c r="EA58" s="89"/>
      <c r="EB58" s="89"/>
      <c r="EC58" s="89"/>
      <c r="ED58" s="89"/>
      <c r="EE58" s="89"/>
      <c r="EF58" s="89"/>
      <c r="EG58" s="89"/>
      <c r="EH58" s="89"/>
      <c r="EI58" s="89"/>
      <c r="EJ58" s="89"/>
      <c r="EK58" s="89"/>
      <c r="EL58" s="89"/>
      <c r="EM58" s="89"/>
      <c r="EN58" s="89"/>
    </row>
    <row r="59" spans="1:144" s="87" customFormat="1" ht="11.25">
      <c r="A59" s="386">
        <v>9</v>
      </c>
      <c r="B59" s="87" t="s">
        <v>149</v>
      </c>
      <c r="C59" s="157" t="s">
        <v>5</v>
      </c>
      <c r="D59" s="390" cm="1">
        <f t="array" ref="D59">SUMPRODUCT((H_Rate_Class=$B59)*'[5]Demand - T'!D$249:D$358)</f>
        <v>0</v>
      </c>
      <c r="E59" s="390" cm="1">
        <f t="array" ref="E59">SUMPRODUCT((H_Rate_Class=$B59)*'[5]Demand - T'!E$249:E$358)</f>
        <v>0</v>
      </c>
      <c r="F59" s="390" cm="1">
        <f t="array" ref="F59">SUMPRODUCT((H_Rate_Class=$B59)*'[5]Demand - T'!F$249:F$358)</f>
        <v>0</v>
      </c>
      <c r="G59" s="390" cm="1">
        <f t="array" ref="G59">SUMPRODUCT((H_Rate_Class=$B59)*'[5]Demand - T'!G$249:G$358)</f>
        <v>0</v>
      </c>
      <c r="H59" s="390" cm="1">
        <f t="array" ref="H59">SUMPRODUCT((H_Rate_Class=$B59)*'[5]Demand - T'!H$249:H$358)</f>
        <v>0</v>
      </c>
      <c r="I59" s="390" cm="1">
        <f t="array" ref="I59">SUMPRODUCT((H_Rate_Class=$B59)*'[5]Demand - T'!I$249:I$358)</f>
        <v>0</v>
      </c>
      <c r="J59" s="390" cm="1">
        <f t="array" ref="J59">SUMPRODUCT((H_Rate_Class=$B59)*'[5]Demand - T'!J$249:J$358)</f>
        <v>0</v>
      </c>
      <c r="K59" s="390" cm="1">
        <f t="array" ref="K59">SUMPRODUCT((H_Rate_Class=$B59)*'[5]Demand - T'!K$249:K$358)</f>
        <v>0</v>
      </c>
      <c r="L59" s="390" cm="1">
        <f t="array" ref="L59">SUMPRODUCT((H_Rate_Class=$B59)*'[5]Demand - T'!L$249:L$358)</f>
        <v>0</v>
      </c>
      <c r="M59" s="390" cm="1">
        <f t="array" ref="M59">SUMPRODUCT((H_Rate_Class=$B59)*'[5]Demand - T'!M$249:M$358)</f>
        <v>0</v>
      </c>
      <c r="N59" s="390" cm="1">
        <f t="array" ref="N59">SUMPRODUCT((H_Rate_Class=$B59)*'[5]Demand - T'!N$249:N$358)</f>
        <v>0</v>
      </c>
      <c r="O59" s="390" cm="1">
        <f t="array" ref="O59">SUMPRODUCT((H_Rate_Class=$B59)*'[5]Demand - T'!O$249:O$358)</f>
        <v>0</v>
      </c>
      <c r="P59" s="158">
        <f t="shared" si="8"/>
        <v>0</v>
      </c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  <c r="BE59" s="89"/>
      <c r="BF59" s="89"/>
      <c r="BG59" s="89"/>
      <c r="BH59" s="89"/>
      <c r="BI59" s="89"/>
      <c r="BJ59" s="89"/>
      <c r="BK59" s="89"/>
      <c r="BL59" s="89"/>
      <c r="BM59" s="89"/>
      <c r="BN59" s="89"/>
      <c r="BO59" s="89"/>
      <c r="BP59" s="89"/>
      <c r="BQ59" s="89"/>
      <c r="BR59" s="89"/>
      <c r="BS59" s="89"/>
      <c r="BT59" s="89"/>
      <c r="BU59" s="89"/>
      <c r="BV59" s="89"/>
      <c r="BW59" s="89"/>
      <c r="BX59" s="89"/>
      <c r="BY59" s="89"/>
      <c r="BZ59" s="89"/>
      <c r="CA59" s="89"/>
      <c r="CB59" s="89"/>
      <c r="CC59" s="89"/>
      <c r="CD59" s="89"/>
      <c r="CE59" s="89"/>
      <c r="CF59" s="89"/>
      <c r="CG59" s="89"/>
      <c r="CH59" s="89"/>
      <c r="CI59" s="89"/>
      <c r="CJ59" s="89"/>
      <c r="CK59" s="89"/>
      <c r="CL59" s="89"/>
      <c r="CM59" s="89"/>
      <c r="CN59" s="89"/>
      <c r="CO59" s="89"/>
      <c r="CP59" s="89"/>
      <c r="CQ59" s="89"/>
      <c r="CR59" s="89"/>
      <c r="CS59" s="89"/>
      <c r="CT59" s="89"/>
      <c r="CU59" s="89"/>
      <c r="CV59" s="89"/>
      <c r="CW59" s="89"/>
      <c r="CX59" s="89"/>
      <c r="CY59" s="89"/>
      <c r="CZ59" s="89"/>
      <c r="DA59" s="89"/>
      <c r="DB59" s="89"/>
      <c r="DC59" s="89"/>
      <c r="DD59" s="89"/>
      <c r="DE59" s="89"/>
      <c r="DF59" s="89"/>
      <c r="DG59" s="89"/>
      <c r="DH59" s="89"/>
      <c r="DI59" s="89"/>
      <c r="DJ59" s="89"/>
      <c r="DK59" s="89"/>
      <c r="DL59" s="89"/>
      <c r="DM59" s="89"/>
      <c r="DN59" s="89"/>
      <c r="DO59" s="89"/>
      <c r="DP59" s="89"/>
      <c r="DQ59" s="89"/>
      <c r="DR59" s="89"/>
      <c r="DS59" s="89"/>
      <c r="DT59" s="89"/>
      <c r="DU59" s="89"/>
      <c r="DV59" s="89"/>
      <c r="DW59" s="89"/>
      <c r="DX59" s="89"/>
      <c r="DY59" s="89"/>
      <c r="DZ59" s="89"/>
      <c r="EA59" s="89"/>
      <c r="EB59" s="89"/>
      <c r="EC59" s="89"/>
      <c r="ED59" s="89"/>
      <c r="EE59" s="89"/>
      <c r="EF59" s="89"/>
      <c r="EG59" s="89"/>
      <c r="EH59" s="89"/>
      <c r="EI59" s="89"/>
      <c r="EJ59" s="89"/>
      <c r="EK59" s="89"/>
      <c r="EL59" s="89"/>
      <c r="EM59" s="89"/>
      <c r="EN59" s="89"/>
    </row>
    <row r="60" spans="1:144" s="87" customFormat="1" ht="11.25">
      <c r="A60" s="386">
        <v>10</v>
      </c>
      <c r="B60" s="87" t="s">
        <v>19</v>
      </c>
      <c r="C60" s="157"/>
      <c r="D60" s="391">
        <f t="shared" ref="D60:P60" si="9">SUM(D56:D57)</f>
        <v>1135.8185059263742</v>
      </c>
      <c r="E60" s="391">
        <f t="shared" si="9"/>
        <v>1927.5168738447092</v>
      </c>
      <c r="F60" s="391">
        <f t="shared" si="9"/>
        <v>-2950.4294675552005</v>
      </c>
      <c r="G60" s="391">
        <f t="shared" si="9"/>
        <v>-3141.0787192561934</v>
      </c>
      <c r="H60" s="391">
        <f t="shared" si="9"/>
        <v>-701.25143852546785</v>
      </c>
      <c r="I60" s="391">
        <f t="shared" si="9"/>
        <v>-11156.81869599625</v>
      </c>
      <c r="J60" s="391">
        <f t="shared" si="9"/>
        <v>-5235.6036907417583</v>
      </c>
      <c r="K60" s="391">
        <f t="shared" si="9"/>
        <v>4535.6125866683533</v>
      </c>
      <c r="L60" s="391">
        <f t="shared" si="9"/>
        <v>1898.534841821313</v>
      </c>
      <c r="M60" s="391">
        <f t="shared" si="9"/>
        <v>-13001.540646182653</v>
      </c>
      <c r="N60" s="391">
        <f t="shared" si="9"/>
        <v>-11676.639082114056</v>
      </c>
      <c r="O60" s="391">
        <f t="shared" si="9"/>
        <v>-10926.050628177349</v>
      </c>
      <c r="P60" s="391">
        <f t="shared" si="9"/>
        <v>-49291.929560288168</v>
      </c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89"/>
      <c r="BH60" s="89"/>
      <c r="BI60" s="89"/>
      <c r="BJ60" s="89"/>
      <c r="BK60" s="89"/>
      <c r="BL60" s="89"/>
      <c r="BM60" s="89"/>
      <c r="BN60" s="89"/>
      <c r="BO60" s="89"/>
      <c r="BP60" s="89"/>
      <c r="BQ60" s="89"/>
      <c r="BR60" s="89"/>
      <c r="BS60" s="89"/>
      <c r="BT60" s="89"/>
      <c r="BU60" s="89"/>
      <c r="BV60" s="89"/>
      <c r="BW60" s="89"/>
      <c r="BX60" s="89"/>
      <c r="BY60" s="89"/>
      <c r="BZ60" s="89"/>
      <c r="CA60" s="89"/>
      <c r="CB60" s="89"/>
      <c r="CC60" s="89"/>
      <c r="CD60" s="89"/>
      <c r="CE60" s="89"/>
      <c r="CF60" s="89"/>
      <c r="CG60" s="89"/>
      <c r="CH60" s="89"/>
      <c r="CI60" s="89"/>
      <c r="CJ60" s="89"/>
      <c r="CK60" s="89"/>
      <c r="CL60" s="89"/>
      <c r="CM60" s="89"/>
      <c r="CN60" s="89"/>
      <c r="CO60" s="89"/>
      <c r="CP60" s="89"/>
      <c r="CQ60" s="89"/>
      <c r="CR60" s="89"/>
      <c r="CS60" s="89"/>
      <c r="CT60" s="89"/>
      <c r="CU60" s="89"/>
      <c r="CV60" s="89"/>
      <c r="CW60" s="89"/>
      <c r="CX60" s="89"/>
      <c r="CY60" s="89"/>
      <c r="CZ60" s="89"/>
      <c r="DA60" s="89"/>
      <c r="DB60" s="89"/>
      <c r="DC60" s="89"/>
      <c r="DD60" s="89"/>
      <c r="DE60" s="89"/>
      <c r="DF60" s="89"/>
      <c r="DG60" s="89"/>
      <c r="DH60" s="89"/>
      <c r="DI60" s="89"/>
      <c r="DJ60" s="89"/>
      <c r="DK60" s="89"/>
      <c r="DL60" s="89"/>
      <c r="DM60" s="89"/>
      <c r="DN60" s="89"/>
      <c r="DO60" s="89"/>
      <c r="DP60" s="89"/>
      <c r="DQ60" s="89"/>
      <c r="DR60" s="89"/>
      <c r="DS60" s="89"/>
      <c r="DT60" s="89"/>
      <c r="DU60" s="89"/>
      <c r="DV60" s="89"/>
      <c r="DW60" s="89"/>
      <c r="DX60" s="89"/>
      <c r="DY60" s="89"/>
      <c r="DZ60" s="89"/>
      <c r="EA60" s="89"/>
      <c r="EB60" s="89"/>
      <c r="EC60" s="89"/>
      <c r="ED60" s="89"/>
      <c r="EE60" s="89"/>
      <c r="EF60" s="89"/>
      <c r="EG60" s="89"/>
      <c r="EH60" s="89"/>
      <c r="EI60" s="89"/>
      <c r="EJ60" s="89"/>
      <c r="EK60" s="89"/>
      <c r="EL60" s="89"/>
      <c r="EM60" s="89"/>
      <c r="EN60" s="89"/>
    </row>
    <row r="61" spans="1:144" s="87" customFormat="1" ht="11.25">
      <c r="A61" s="386"/>
      <c r="C61" s="15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58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9"/>
      <c r="AX61" s="89"/>
      <c r="AY61" s="89"/>
      <c r="AZ61" s="89"/>
      <c r="BA61" s="89"/>
      <c r="BB61" s="89"/>
      <c r="BC61" s="89"/>
      <c r="BD61" s="89"/>
      <c r="BE61" s="89"/>
      <c r="BF61" s="89"/>
      <c r="BG61" s="89"/>
      <c r="BH61" s="89"/>
      <c r="BI61" s="89"/>
      <c r="BJ61" s="89"/>
      <c r="BK61" s="89"/>
      <c r="BL61" s="89"/>
      <c r="BM61" s="89"/>
      <c r="BN61" s="89"/>
      <c r="BO61" s="89"/>
      <c r="BP61" s="89"/>
      <c r="BQ61" s="89"/>
      <c r="BR61" s="89"/>
      <c r="BS61" s="89"/>
      <c r="BT61" s="89"/>
      <c r="BU61" s="89"/>
      <c r="BV61" s="89"/>
      <c r="BW61" s="89"/>
      <c r="BX61" s="89"/>
      <c r="BY61" s="89"/>
      <c r="BZ61" s="89"/>
      <c r="CA61" s="89"/>
      <c r="CB61" s="89"/>
      <c r="CC61" s="89"/>
      <c r="CD61" s="89"/>
      <c r="CE61" s="89"/>
      <c r="CF61" s="89"/>
      <c r="CG61" s="89"/>
      <c r="CH61" s="89"/>
      <c r="CI61" s="89"/>
      <c r="CJ61" s="89"/>
      <c r="CK61" s="89"/>
      <c r="CL61" s="89"/>
      <c r="CM61" s="89"/>
      <c r="CN61" s="89"/>
      <c r="CO61" s="89"/>
      <c r="CP61" s="89"/>
      <c r="CQ61" s="89"/>
      <c r="CR61" s="89"/>
      <c r="CS61" s="89"/>
      <c r="CT61" s="89"/>
      <c r="CU61" s="89"/>
      <c r="CV61" s="89"/>
      <c r="CW61" s="89"/>
      <c r="CX61" s="89"/>
      <c r="CY61" s="89"/>
      <c r="CZ61" s="89"/>
      <c r="DA61" s="89"/>
      <c r="DB61" s="89"/>
      <c r="DC61" s="89"/>
      <c r="DD61" s="89"/>
      <c r="DE61" s="89"/>
      <c r="DF61" s="89"/>
      <c r="DG61" s="89"/>
      <c r="DH61" s="89"/>
      <c r="DI61" s="89"/>
      <c r="DJ61" s="89"/>
      <c r="DK61" s="89"/>
      <c r="DL61" s="89"/>
      <c r="DM61" s="89"/>
      <c r="DN61" s="89"/>
      <c r="DO61" s="89"/>
      <c r="DP61" s="89"/>
      <c r="DQ61" s="89"/>
      <c r="DR61" s="89"/>
      <c r="DS61" s="89"/>
      <c r="DT61" s="89"/>
      <c r="DU61" s="89"/>
      <c r="DV61" s="89"/>
      <c r="DW61" s="89"/>
      <c r="DX61" s="89"/>
      <c r="DY61" s="89"/>
      <c r="DZ61" s="89"/>
      <c r="EA61" s="89"/>
      <c r="EB61" s="89"/>
      <c r="EC61" s="89"/>
      <c r="ED61" s="89"/>
      <c r="EE61" s="89"/>
      <c r="EF61" s="89"/>
      <c r="EG61" s="89"/>
      <c r="EH61" s="89"/>
      <c r="EI61" s="89"/>
      <c r="EJ61" s="89"/>
      <c r="EK61" s="89"/>
      <c r="EL61" s="89"/>
      <c r="EM61" s="89"/>
      <c r="EN61" s="89"/>
    </row>
    <row r="62" spans="1:144" s="87" customFormat="1" ht="11.25">
      <c r="A62" s="386">
        <v>11</v>
      </c>
      <c r="B62" s="131" t="s">
        <v>86</v>
      </c>
      <c r="C62" s="157" t="s">
        <v>6</v>
      </c>
      <c r="D62" s="177" cm="1">
        <f t="array" ref="D62">SUMPRODUCT((H_Rate_Class=$B62)*'[5]Demand - T'!D$249:D$358)</f>
        <v>-27.320154666844914</v>
      </c>
      <c r="E62" s="177" cm="1">
        <f t="array" ref="E62">SUMPRODUCT((H_Rate_Class=$B62)*'[5]Demand - T'!E$249:E$358)</f>
        <v>-20.368288611074782</v>
      </c>
      <c r="F62" s="177" cm="1">
        <f t="array" ref="F62">SUMPRODUCT((H_Rate_Class=$B62)*'[5]Demand - T'!F$249:F$358)</f>
        <v>-19.424669431874889</v>
      </c>
      <c r="G62" s="177" cm="1">
        <f t="array" ref="G62">SUMPRODUCT((H_Rate_Class=$B62)*'[5]Demand - T'!G$249:G$358)</f>
        <v>-88.828831697000993</v>
      </c>
      <c r="H62" s="177" cm="1">
        <f t="array" ref="H62">SUMPRODUCT((H_Rate_Class=$B62)*'[5]Demand - T'!H$249:H$358)</f>
        <v>-31.931750099619819</v>
      </c>
      <c r="I62" s="177" cm="1">
        <f t="array" ref="I62">SUMPRODUCT((H_Rate_Class=$B62)*'[5]Demand - T'!I$249:I$358)</f>
        <v>-125.36135508160925</v>
      </c>
      <c r="J62" s="177" cm="1">
        <f t="array" ref="J62">SUMPRODUCT((H_Rate_Class=$B62)*'[5]Demand - T'!J$249:J$358)</f>
        <v>-98.535263847408515</v>
      </c>
      <c r="K62" s="177" cm="1">
        <f t="array" ref="K62">SUMPRODUCT((H_Rate_Class=$B62)*'[5]Demand - T'!K$249:K$358)</f>
        <v>-91.790652772174525</v>
      </c>
      <c r="L62" s="177" cm="1">
        <f t="array" ref="L62">SUMPRODUCT((H_Rate_Class=$B62)*'[5]Demand - T'!L$249:L$358)</f>
        <v>-92.674103829406675</v>
      </c>
      <c r="M62" s="177" cm="1">
        <f t="array" ref="M62">SUMPRODUCT((H_Rate_Class=$B62)*'[5]Demand - T'!M$249:M$358)</f>
        <v>-106.02196263597011</v>
      </c>
      <c r="N62" s="177" cm="1">
        <f t="array" ref="N62">SUMPRODUCT((H_Rate_Class=$B62)*'[5]Demand - T'!N$249:N$358)</f>
        <v>-107.18451016169587</v>
      </c>
      <c r="O62" s="177" cm="1">
        <f t="array" ref="O62">SUMPRODUCT((H_Rate_Class=$B62)*'[5]Demand - T'!O$249:O$358)</f>
        <v>-93.300223462171871</v>
      </c>
      <c r="P62" s="158">
        <f>SUM(D62:O62)</f>
        <v>-902.74176629685223</v>
      </c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89"/>
      <c r="AW62" s="89"/>
      <c r="AX62" s="89"/>
      <c r="AY62" s="89"/>
      <c r="AZ62" s="89"/>
      <c r="BA62" s="89"/>
      <c r="BB62" s="89"/>
      <c r="BC62" s="89"/>
      <c r="BD62" s="89"/>
      <c r="BE62" s="89"/>
      <c r="BF62" s="89"/>
      <c r="BG62" s="89"/>
      <c r="BH62" s="89"/>
      <c r="BI62" s="89"/>
      <c r="BJ62" s="89"/>
      <c r="BK62" s="89"/>
      <c r="BL62" s="89"/>
      <c r="BM62" s="89"/>
      <c r="BN62" s="89"/>
      <c r="BO62" s="89"/>
      <c r="BP62" s="89"/>
      <c r="BQ62" s="89"/>
      <c r="BR62" s="89"/>
      <c r="BS62" s="89"/>
      <c r="BT62" s="89"/>
      <c r="BU62" s="89"/>
      <c r="BV62" s="89"/>
      <c r="BW62" s="89"/>
      <c r="BX62" s="89"/>
      <c r="BY62" s="89"/>
      <c r="BZ62" s="89"/>
      <c r="CA62" s="89"/>
      <c r="CB62" s="89"/>
      <c r="CC62" s="89"/>
      <c r="CD62" s="89"/>
      <c r="CE62" s="89"/>
      <c r="CF62" s="89"/>
      <c r="CG62" s="89"/>
      <c r="CH62" s="89"/>
      <c r="CI62" s="89"/>
      <c r="CJ62" s="89"/>
      <c r="CK62" s="89"/>
      <c r="CL62" s="89"/>
      <c r="CM62" s="89"/>
      <c r="CN62" s="89"/>
      <c r="CO62" s="89"/>
      <c r="CP62" s="89"/>
      <c r="CQ62" s="89"/>
      <c r="CR62" s="89"/>
      <c r="CS62" s="89"/>
      <c r="CT62" s="89"/>
      <c r="CU62" s="89"/>
      <c r="CV62" s="89"/>
      <c r="CW62" s="89"/>
      <c r="CX62" s="89"/>
      <c r="CY62" s="89"/>
      <c r="CZ62" s="89"/>
      <c r="DA62" s="89"/>
      <c r="DB62" s="89"/>
      <c r="DC62" s="89"/>
      <c r="DD62" s="89"/>
      <c r="DE62" s="89"/>
      <c r="DF62" s="89"/>
      <c r="DG62" s="89"/>
      <c r="DH62" s="89"/>
      <c r="DI62" s="89"/>
      <c r="DJ62" s="89"/>
      <c r="DK62" s="89"/>
      <c r="DL62" s="89"/>
      <c r="DM62" s="89"/>
      <c r="DN62" s="89"/>
      <c r="DO62" s="89"/>
      <c r="DP62" s="89"/>
      <c r="DQ62" s="89"/>
      <c r="DR62" s="89"/>
      <c r="DS62" s="89"/>
      <c r="DT62" s="89"/>
      <c r="DU62" s="89"/>
      <c r="DV62" s="89"/>
      <c r="DW62" s="89"/>
      <c r="DX62" s="89"/>
      <c r="DY62" s="89"/>
      <c r="DZ62" s="89"/>
      <c r="EA62" s="89"/>
      <c r="EB62" s="89"/>
      <c r="EC62" s="89"/>
      <c r="ED62" s="89"/>
      <c r="EE62" s="89"/>
      <c r="EF62" s="89"/>
      <c r="EG62" s="89"/>
      <c r="EH62" s="89"/>
      <c r="EI62" s="89"/>
      <c r="EJ62" s="89"/>
      <c r="EK62" s="89"/>
      <c r="EL62" s="89"/>
      <c r="EM62" s="89"/>
      <c r="EN62" s="89"/>
    </row>
    <row r="63" spans="1:144" s="87" customFormat="1" ht="11.25">
      <c r="A63" s="4"/>
      <c r="C63" s="99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5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89"/>
      <c r="BN63" s="89"/>
      <c r="BO63" s="89"/>
      <c r="BP63" s="89"/>
      <c r="BQ63" s="89"/>
      <c r="BR63" s="89"/>
      <c r="BS63" s="89"/>
      <c r="BT63" s="89"/>
      <c r="BU63" s="89"/>
      <c r="BV63" s="89"/>
      <c r="BW63" s="89"/>
      <c r="BX63" s="89"/>
      <c r="BY63" s="89"/>
      <c r="BZ63" s="89"/>
      <c r="CA63" s="89"/>
      <c r="CB63" s="89"/>
      <c r="CC63" s="89"/>
      <c r="CD63" s="89"/>
      <c r="CE63" s="89"/>
      <c r="CF63" s="89"/>
      <c r="CG63" s="89"/>
      <c r="CH63" s="89"/>
      <c r="CI63" s="89"/>
      <c r="CJ63" s="89"/>
      <c r="CK63" s="89"/>
      <c r="CL63" s="89"/>
      <c r="CM63" s="89"/>
      <c r="CN63" s="89"/>
      <c r="CO63" s="89"/>
      <c r="CP63" s="89"/>
      <c r="CQ63" s="89"/>
      <c r="CR63" s="89"/>
      <c r="CS63" s="89"/>
      <c r="CT63" s="89"/>
      <c r="CU63" s="89"/>
      <c r="CV63" s="89"/>
      <c r="CW63" s="89"/>
      <c r="CX63" s="89"/>
      <c r="CY63" s="89"/>
      <c r="CZ63" s="89"/>
      <c r="DA63" s="89"/>
      <c r="DB63" s="89"/>
      <c r="DC63" s="89"/>
      <c r="DD63" s="89"/>
      <c r="DE63" s="89"/>
      <c r="DF63" s="89"/>
      <c r="DG63" s="89"/>
      <c r="DH63" s="89"/>
      <c r="DI63" s="89"/>
      <c r="DJ63" s="89"/>
      <c r="DK63" s="89"/>
      <c r="DL63" s="89"/>
      <c r="DM63" s="89"/>
      <c r="DN63" s="89"/>
      <c r="DO63" s="89"/>
      <c r="DP63" s="89"/>
      <c r="DQ63" s="89"/>
      <c r="DR63" s="89"/>
      <c r="DS63" s="89"/>
      <c r="DT63" s="89"/>
      <c r="DU63" s="89"/>
      <c r="DV63" s="89"/>
      <c r="DW63" s="89"/>
      <c r="DX63" s="89"/>
      <c r="DY63" s="89"/>
      <c r="DZ63" s="89"/>
      <c r="EA63" s="89"/>
      <c r="EB63" s="89"/>
      <c r="EC63" s="89"/>
      <c r="ED63" s="89"/>
      <c r="EE63" s="89"/>
      <c r="EF63" s="89"/>
      <c r="EG63" s="89"/>
      <c r="EH63" s="89"/>
      <c r="EI63" s="89"/>
      <c r="EJ63" s="89"/>
      <c r="EK63" s="89"/>
      <c r="EL63" s="89"/>
      <c r="EM63" s="89"/>
      <c r="EN63" s="89"/>
    </row>
    <row r="64" spans="1:144" s="87" customFormat="1" ht="11.25">
      <c r="A64" s="386">
        <v>12</v>
      </c>
      <c r="B64" s="89" t="s">
        <v>21</v>
      </c>
      <c r="C64" s="157" t="s">
        <v>4</v>
      </c>
      <c r="D64" s="177" cm="1">
        <f t="array" ref="D64">SUMPRODUCT((H_Rate_Class=$B64)*'[5]Demand - T'!D$249:D$358)</f>
        <v>0</v>
      </c>
      <c r="E64" s="177" cm="1">
        <f t="array" ref="E64">SUMPRODUCT((H_Rate_Class=$B64)*'[5]Demand - T'!E$249:E$358)</f>
        <v>0</v>
      </c>
      <c r="F64" s="177" cm="1">
        <f t="array" ref="F64">SUMPRODUCT((H_Rate_Class=$B64)*'[5]Demand - T'!F$249:F$358)</f>
        <v>0</v>
      </c>
      <c r="G64" s="177" cm="1">
        <f t="array" ref="G64">SUMPRODUCT((H_Rate_Class=$B64)*'[5]Demand - T'!G$249:G$358)</f>
        <v>0</v>
      </c>
      <c r="H64" s="177" cm="1">
        <f t="array" ref="H64">SUMPRODUCT((H_Rate_Class=$B64)*'[5]Demand - T'!H$249:H$358)</f>
        <v>0</v>
      </c>
      <c r="I64" s="177" cm="1">
        <f t="array" ref="I64">SUMPRODUCT((H_Rate_Class=$B64)*'[5]Demand - T'!I$249:I$358)</f>
        <v>0</v>
      </c>
      <c r="J64" s="177" cm="1">
        <f t="array" ref="J64">SUMPRODUCT((H_Rate_Class=$B64)*'[5]Demand - T'!J$249:J$358)</f>
        <v>0</v>
      </c>
      <c r="K64" s="177" cm="1">
        <f t="array" ref="K64">SUMPRODUCT((H_Rate_Class=$B64)*'[5]Demand - T'!K$249:K$358)</f>
        <v>0</v>
      </c>
      <c r="L64" s="177" cm="1">
        <f t="array" ref="L64">SUMPRODUCT((H_Rate_Class=$B64)*'[5]Demand - T'!L$249:L$358)</f>
        <v>0</v>
      </c>
      <c r="M64" s="177" cm="1">
        <f t="array" ref="M64">SUMPRODUCT((H_Rate_Class=$B64)*'[5]Demand - T'!M$249:M$358)</f>
        <v>0</v>
      </c>
      <c r="N64" s="177" cm="1">
        <f t="array" ref="N64">SUMPRODUCT((H_Rate_Class=$B64)*'[5]Demand - T'!N$249:N$358)</f>
        <v>0</v>
      </c>
      <c r="O64" s="177" cm="1">
        <f t="array" ref="O64">SUMPRODUCT((H_Rate_Class=$B64)*'[5]Demand - T'!O$249:O$358)</f>
        <v>0</v>
      </c>
      <c r="P64" s="158">
        <f>SUM(D64:O64)</f>
        <v>0</v>
      </c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89"/>
      <c r="AW64" s="89"/>
      <c r="AX64" s="89"/>
      <c r="AY64" s="89"/>
      <c r="AZ64" s="89"/>
      <c r="BA64" s="89"/>
      <c r="BB64" s="89"/>
      <c r="BC64" s="89"/>
      <c r="BD64" s="89"/>
      <c r="BE64" s="89"/>
      <c r="BF64" s="89"/>
      <c r="BG64" s="89"/>
      <c r="BH64" s="89"/>
      <c r="BI64" s="89"/>
      <c r="BJ64" s="89"/>
      <c r="BK64" s="89"/>
      <c r="BL64" s="89"/>
      <c r="BM64" s="89"/>
      <c r="BN64" s="89"/>
      <c r="BO64" s="89"/>
      <c r="BP64" s="89"/>
      <c r="BQ64" s="89"/>
      <c r="BR64" s="89"/>
      <c r="BS64" s="89"/>
      <c r="BT64" s="89"/>
      <c r="BU64" s="89"/>
      <c r="BV64" s="89"/>
      <c r="BW64" s="89"/>
      <c r="BX64" s="89"/>
      <c r="BY64" s="89"/>
      <c r="BZ64" s="89"/>
      <c r="CA64" s="89"/>
      <c r="CB64" s="89"/>
      <c r="CC64" s="89"/>
      <c r="CD64" s="89"/>
      <c r="CE64" s="89"/>
      <c r="CF64" s="89"/>
      <c r="CG64" s="89"/>
      <c r="CH64" s="89"/>
      <c r="CI64" s="89"/>
      <c r="CJ64" s="89"/>
      <c r="CK64" s="89"/>
      <c r="CL64" s="89"/>
      <c r="CM64" s="89"/>
      <c r="CN64" s="89"/>
      <c r="CO64" s="89"/>
      <c r="CP64" s="89"/>
      <c r="CQ64" s="89"/>
      <c r="CR64" s="89"/>
      <c r="CS64" s="89"/>
      <c r="CT64" s="89"/>
      <c r="CU64" s="89"/>
      <c r="CV64" s="89"/>
      <c r="CW64" s="89"/>
      <c r="CX64" s="89"/>
      <c r="CY64" s="89"/>
      <c r="CZ64" s="89"/>
      <c r="DA64" s="89"/>
      <c r="DB64" s="89"/>
      <c r="DC64" s="89"/>
      <c r="DD64" s="89"/>
      <c r="DE64" s="89"/>
      <c r="DF64" s="89"/>
      <c r="DG64" s="89"/>
      <c r="DH64" s="89"/>
      <c r="DI64" s="89"/>
      <c r="DJ64" s="89"/>
      <c r="DK64" s="89"/>
      <c r="DL64" s="89"/>
      <c r="DM64" s="89"/>
      <c r="DN64" s="89"/>
      <c r="DO64" s="89"/>
      <c r="DP64" s="89"/>
      <c r="DQ64" s="89"/>
      <c r="DR64" s="89"/>
      <c r="DS64" s="89"/>
      <c r="DT64" s="89"/>
      <c r="DU64" s="89"/>
      <c r="DV64" s="89"/>
      <c r="DW64" s="89"/>
      <c r="DX64" s="89"/>
      <c r="DY64" s="89"/>
      <c r="DZ64" s="89"/>
      <c r="EA64" s="89"/>
      <c r="EB64" s="89"/>
      <c r="EC64" s="89"/>
      <c r="ED64" s="89"/>
      <c r="EE64" s="89"/>
      <c r="EF64" s="89"/>
      <c r="EG64" s="89"/>
      <c r="EH64" s="89"/>
      <c r="EI64" s="89"/>
      <c r="EJ64" s="89"/>
      <c r="EK64" s="89"/>
      <c r="EL64" s="89"/>
      <c r="EM64" s="89"/>
      <c r="EN64" s="89"/>
    </row>
    <row r="65" spans="1:144" s="87" customFormat="1" ht="11.25">
      <c r="A65" s="386"/>
      <c r="C65" s="99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5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  <c r="AS65" s="89"/>
      <c r="AT65" s="89"/>
      <c r="AU65" s="89"/>
      <c r="AV65" s="89"/>
      <c r="AW65" s="89"/>
      <c r="AX65" s="89"/>
      <c r="AY65" s="89"/>
      <c r="AZ65" s="89"/>
      <c r="BA65" s="89"/>
      <c r="BB65" s="89"/>
      <c r="BC65" s="89"/>
      <c r="BD65" s="89"/>
      <c r="BE65" s="89"/>
      <c r="BF65" s="89"/>
      <c r="BG65" s="89"/>
      <c r="BH65" s="89"/>
      <c r="BI65" s="89"/>
      <c r="BJ65" s="89"/>
      <c r="BK65" s="89"/>
      <c r="BL65" s="89"/>
      <c r="BM65" s="89"/>
      <c r="BN65" s="89"/>
      <c r="BO65" s="89"/>
      <c r="BP65" s="89"/>
      <c r="BQ65" s="89"/>
      <c r="BR65" s="89"/>
      <c r="BS65" s="89"/>
      <c r="BT65" s="89"/>
      <c r="BU65" s="89"/>
      <c r="BV65" s="89"/>
      <c r="BW65" s="89"/>
      <c r="BX65" s="89"/>
      <c r="BY65" s="89"/>
      <c r="BZ65" s="89"/>
      <c r="CA65" s="89"/>
      <c r="CB65" s="89"/>
      <c r="CC65" s="89"/>
      <c r="CD65" s="89"/>
      <c r="CE65" s="89"/>
      <c r="CF65" s="89"/>
      <c r="CG65" s="89"/>
      <c r="CH65" s="89"/>
      <c r="CI65" s="89"/>
      <c r="CJ65" s="89"/>
      <c r="CK65" s="89"/>
      <c r="CL65" s="89"/>
      <c r="CM65" s="89"/>
      <c r="CN65" s="89"/>
      <c r="CO65" s="89"/>
      <c r="CP65" s="89"/>
      <c r="CQ65" s="89"/>
      <c r="CR65" s="89"/>
      <c r="CS65" s="89"/>
      <c r="CT65" s="89"/>
      <c r="CU65" s="89"/>
      <c r="CV65" s="89"/>
      <c r="CW65" s="89"/>
      <c r="CX65" s="89"/>
      <c r="CY65" s="89"/>
      <c r="CZ65" s="89"/>
      <c r="DA65" s="89"/>
      <c r="DB65" s="89"/>
      <c r="DC65" s="89"/>
      <c r="DD65" s="89"/>
      <c r="DE65" s="89"/>
      <c r="DF65" s="89"/>
      <c r="DG65" s="89"/>
      <c r="DH65" s="89"/>
      <c r="DI65" s="89"/>
      <c r="DJ65" s="89"/>
      <c r="DK65" s="89"/>
      <c r="DL65" s="89"/>
      <c r="DM65" s="89"/>
      <c r="DN65" s="89"/>
      <c r="DO65" s="89"/>
      <c r="DP65" s="89"/>
      <c r="DQ65" s="89"/>
      <c r="DR65" s="89"/>
      <c r="DS65" s="89"/>
      <c r="DT65" s="89"/>
      <c r="DU65" s="89"/>
      <c r="DV65" s="89"/>
      <c r="DW65" s="89"/>
      <c r="DX65" s="89"/>
      <c r="DY65" s="89"/>
      <c r="DZ65" s="89"/>
      <c r="EA65" s="89"/>
      <c r="EB65" s="89"/>
      <c r="EC65" s="89"/>
      <c r="ED65" s="89"/>
      <c r="EE65" s="89"/>
      <c r="EF65" s="89"/>
      <c r="EG65" s="89"/>
      <c r="EH65" s="89"/>
      <c r="EI65" s="89"/>
      <c r="EJ65" s="89"/>
      <c r="EK65" s="89"/>
      <c r="EL65" s="89"/>
      <c r="EM65" s="89"/>
      <c r="EN65" s="89"/>
    </row>
    <row r="66" spans="1:144" s="87" customFormat="1" ht="11.25">
      <c r="A66" s="386">
        <v>13</v>
      </c>
      <c r="B66" s="393" t="s">
        <v>22</v>
      </c>
      <c r="C66" s="362"/>
      <c r="D66" s="394">
        <f t="shared" ref="D66:P66" si="10">D64+D62+D60+D54+D50+D48</f>
        <v>21812.123363265979</v>
      </c>
      <c r="E66" s="394">
        <f t="shared" si="10"/>
        <v>32709.080756272248</v>
      </c>
      <c r="F66" s="394">
        <f t="shared" si="10"/>
        <v>-26110.235641146079</v>
      </c>
      <c r="G66" s="394">
        <f t="shared" si="10"/>
        <v>-19215.882073578228</v>
      </c>
      <c r="H66" s="394">
        <f t="shared" si="10"/>
        <v>-181.4927538809925</v>
      </c>
      <c r="I66" s="394">
        <f t="shared" si="10"/>
        <v>-104940.78786172645</v>
      </c>
      <c r="J66" s="394">
        <f t="shared" si="10"/>
        <v>-45128.795650371256</v>
      </c>
      <c r="K66" s="394">
        <f t="shared" si="10"/>
        <v>51198.393358538233</v>
      </c>
      <c r="L66" s="394">
        <f t="shared" si="10"/>
        <v>33200.125983411519</v>
      </c>
      <c r="M66" s="394">
        <f t="shared" si="10"/>
        <v>-127120.37027005911</v>
      </c>
      <c r="N66" s="394">
        <f t="shared" si="10"/>
        <v>-118160.26709592497</v>
      </c>
      <c r="O66" s="394">
        <f t="shared" si="10"/>
        <v>-118775.61404600335</v>
      </c>
      <c r="P66" s="394">
        <f t="shared" si="10"/>
        <v>-420713.7219312024</v>
      </c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89"/>
      <c r="AU66" s="89"/>
      <c r="AV66" s="89"/>
      <c r="AW66" s="89"/>
      <c r="AX66" s="89"/>
      <c r="AY66" s="89"/>
      <c r="AZ66" s="89"/>
      <c r="BA66" s="89"/>
      <c r="BB66" s="89"/>
      <c r="BC66" s="89"/>
      <c r="BD66" s="89"/>
      <c r="BE66" s="89"/>
      <c r="BF66" s="89"/>
      <c r="BG66" s="89"/>
      <c r="BH66" s="89"/>
      <c r="BI66" s="89"/>
      <c r="BJ66" s="89"/>
      <c r="BK66" s="89"/>
      <c r="BL66" s="89"/>
      <c r="BM66" s="89"/>
      <c r="BN66" s="89"/>
      <c r="BO66" s="89"/>
      <c r="BP66" s="89"/>
      <c r="BQ66" s="89"/>
      <c r="BR66" s="89"/>
      <c r="BS66" s="89"/>
      <c r="BT66" s="89"/>
      <c r="BU66" s="89"/>
      <c r="BV66" s="89"/>
      <c r="BW66" s="89"/>
      <c r="BX66" s="89"/>
      <c r="BY66" s="89"/>
      <c r="BZ66" s="89"/>
      <c r="CA66" s="89"/>
      <c r="CB66" s="89"/>
      <c r="CC66" s="89"/>
      <c r="CD66" s="89"/>
      <c r="CE66" s="89"/>
      <c r="CF66" s="89"/>
      <c r="CG66" s="89"/>
      <c r="CH66" s="89"/>
      <c r="CI66" s="89"/>
      <c r="CJ66" s="89"/>
      <c r="CK66" s="89"/>
      <c r="CL66" s="89"/>
      <c r="CM66" s="89"/>
      <c r="CN66" s="89"/>
      <c r="CO66" s="89"/>
      <c r="CP66" s="89"/>
      <c r="CQ66" s="89"/>
      <c r="CR66" s="89"/>
      <c r="CS66" s="89"/>
      <c r="CT66" s="89"/>
      <c r="CU66" s="89"/>
      <c r="CV66" s="89"/>
      <c r="CW66" s="89"/>
      <c r="CX66" s="89"/>
      <c r="CY66" s="89"/>
      <c r="CZ66" s="89"/>
      <c r="DA66" s="89"/>
      <c r="DB66" s="89"/>
      <c r="DC66" s="89"/>
      <c r="DD66" s="89"/>
      <c r="DE66" s="89"/>
      <c r="DF66" s="89"/>
      <c r="DG66" s="89"/>
      <c r="DH66" s="89"/>
      <c r="DI66" s="89"/>
      <c r="DJ66" s="89"/>
      <c r="DK66" s="89"/>
      <c r="DL66" s="89"/>
      <c r="DM66" s="89"/>
      <c r="DN66" s="89"/>
      <c r="DO66" s="89"/>
      <c r="DP66" s="89"/>
      <c r="DQ66" s="89"/>
      <c r="DR66" s="89"/>
      <c r="DS66" s="89"/>
      <c r="DT66" s="89"/>
      <c r="DU66" s="89"/>
      <c r="DV66" s="89"/>
      <c r="DW66" s="89"/>
      <c r="DX66" s="89"/>
      <c r="DY66" s="89"/>
      <c r="DZ66" s="89"/>
      <c r="EA66" s="89"/>
      <c r="EB66" s="89"/>
      <c r="EC66" s="89"/>
      <c r="ED66" s="89"/>
      <c r="EE66" s="89"/>
      <c r="EF66" s="89"/>
      <c r="EG66" s="89"/>
      <c r="EH66" s="89"/>
      <c r="EI66" s="89"/>
      <c r="EJ66" s="89"/>
      <c r="EK66" s="89"/>
      <c r="EL66" s="89"/>
      <c r="EM66" s="89"/>
      <c r="EN66" s="89"/>
    </row>
    <row r="67" spans="1:144" s="87" customFormat="1" ht="11.25">
      <c r="A67" s="4"/>
      <c r="B67" s="362"/>
      <c r="C67" s="362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5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  <c r="AS67" s="89"/>
      <c r="AT67" s="89"/>
      <c r="AU67" s="89"/>
      <c r="AV67" s="89"/>
      <c r="AW67" s="89"/>
      <c r="AX67" s="89"/>
      <c r="AY67" s="89"/>
      <c r="AZ67" s="89"/>
      <c r="BA67" s="89"/>
      <c r="BB67" s="89"/>
      <c r="BC67" s="89"/>
      <c r="BD67" s="89"/>
      <c r="BE67" s="89"/>
      <c r="BF67" s="89"/>
      <c r="BG67" s="89"/>
      <c r="BH67" s="89"/>
      <c r="BI67" s="89"/>
      <c r="BJ67" s="89"/>
      <c r="BK67" s="89"/>
      <c r="BL67" s="89"/>
      <c r="BM67" s="89"/>
      <c r="BN67" s="89"/>
      <c r="BO67" s="89"/>
      <c r="BP67" s="89"/>
      <c r="BQ67" s="89"/>
      <c r="BR67" s="89"/>
      <c r="BS67" s="89"/>
      <c r="BT67" s="89"/>
      <c r="BU67" s="89"/>
      <c r="BV67" s="89"/>
      <c r="BW67" s="89"/>
      <c r="BX67" s="89"/>
      <c r="BY67" s="89"/>
      <c r="BZ67" s="89"/>
      <c r="CA67" s="89"/>
      <c r="CB67" s="89"/>
      <c r="CC67" s="89"/>
      <c r="CD67" s="89"/>
      <c r="CE67" s="89"/>
      <c r="CF67" s="89"/>
      <c r="CG67" s="89"/>
      <c r="CH67" s="89"/>
      <c r="CI67" s="89"/>
      <c r="CJ67" s="89"/>
      <c r="CK67" s="89"/>
      <c r="CL67" s="89"/>
      <c r="CM67" s="89"/>
      <c r="CN67" s="89"/>
      <c r="CO67" s="89"/>
      <c r="CP67" s="89"/>
      <c r="CQ67" s="89"/>
      <c r="CR67" s="89"/>
      <c r="CS67" s="89"/>
      <c r="CT67" s="89"/>
      <c r="CU67" s="89"/>
      <c r="CV67" s="89"/>
      <c r="CW67" s="89"/>
      <c r="CX67" s="89"/>
      <c r="CY67" s="89"/>
      <c r="CZ67" s="89"/>
      <c r="DA67" s="89"/>
      <c r="DB67" s="89"/>
      <c r="DC67" s="89"/>
      <c r="DD67" s="89"/>
      <c r="DE67" s="89"/>
      <c r="DF67" s="89"/>
      <c r="DG67" s="89"/>
      <c r="DH67" s="89"/>
      <c r="DI67" s="89"/>
      <c r="DJ67" s="89"/>
      <c r="DK67" s="89"/>
      <c r="DL67" s="89"/>
      <c r="DM67" s="89"/>
      <c r="DN67" s="89"/>
      <c r="DO67" s="89"/>
      <c r="DP67" s="89"/>
      <c r="DQ67" s="89"/>
      <c r="DR67" s="89"/>
      <c r="DS67" s="89"/>
      <c r="DT67" s="89"/>
      <c r="DU67" s="89"/>
      <c r="DV67" s="89"/>
      <c r="DW67" s="89"/>
      <c r="DX67" s="89"/>
      <c r="DY67" s="89"/>
      <c r="DZ67" s="89"/>
      <c r="EA67" s="89"/>
      <c r="EB67" s="89"/>
      <c r="EC67" s="89"/>
      <c r="ED67" s="89"/>
      <c r="EE67" s="89"/>
      <c r="EF67" s="89"/>
      <c r="EG67" s="89"/>
      <c r="EH67" s="89"/>
      <c r="EI67" s="89"/>
      <c r="EJ67" s="89"/>
      <c r="EK67" s="89"/>
      <c r="EL67" s="89"/>
      <c r="EM67" s="89"/>
      <c r="EN67" s="89"/>
    </row>
    <row r="68" spans="1:144" s="87" customFormat="1" ht="11.25">
      <c r="A68" s="386">
        <v>14</v>
      </c>
      <c r="B68" s="89" t="s">
        <v>69</v>
      </c>
      <c r="C68" s="157" t="s">
        <v>5</v>
      </c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58">
        <f>SUM(D68:O68)</f>
        <v>0</v>
      </c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89"/>
      <c r="AV68" s="89"/>
      <c r="AW68" s="89"/>
      <c r="AX68" s="89"/>
      <c r="AY68" s="89"/>
      <c r="AZ68" s="89"/>
      <c r="BA68" s="89"/>
      <c r="BB68" s="89"/>
      <c r="BC68" s="89"/>
      <c r="BD68" s="89"/>
      <c r="BE68" s="89"/>
      <c r="BF68" s="89"/>
      <c r="BG68" s="89"/>
      <c r="BH68" s="89"/>
      <c r="BI68" s="89"/>
      <c r="BJ68" s="89"/>
      <c r="BK68" s="89"/>
      <c r="BL68" s="89"/>
      <c r="BM68" s="89"/>
      <c r="BN68" s="89"/>
      <c r="BO68" s="89"/>
      <c r="BP68" s="89"/>
      <c r="BQ68" s="89"/>
      <c r="BR68" s="89"/>
      <c r="BS68" s="89"/>
      <c r="BT68" s="89"/>
      <c r="BU68" s="89"/>
      <c r="BV68" s="89"/>
      <c r="BW68" s="89"/>
      <c r="BX68" s="89"/>
      <c r="BY68" s="89"/>
      <c r="BZ68" s="89"/>
      <c r="CA68" s="89"/>
      <c r="CB68" s="89"/>
      <c r="CC68" s="89"/>
      <c r="CD68" s="89"/>
      <c r="CE68" s="89"/>
      <c r="CF68" s="89"/>
      <c r="CG68" s="89"/>
      <c r="CH68" s="89"/>
      <c r="CI68" s="89"/>
      <c r="CJ68" s="89"/>
      <c r="CK68" s="89"/>
      <c r="CL68" s="89"/>
      <c r="CM68" s="89"/>
      <c r="CN68" s="89"/>
      <c r="CO68" s="89"/>
      <c r="CP68" s="89"/>
      <c r="CQ68" s="89"/>
      <c r="CR68" s="89"/>
      <c r="CS68" s="89"/>
      <c r="CT68" s="89"/>
      <c r="CU68" s="89"/>
      <c r="CV68" s="89"/>
      <c r="CW68" s="89"/>
      <c r="CX68" s="89"/>
      <c r="CY68" s="89"/>
      <c r="CZ68" s="89"/>
      <c r="DA68" s="89"/>
      <c r="DB68" s="89"/>
      <c r="DC68" s="89"/>
      <c r="DD68" s="89"/>
      <c r="DE68" s="89"/>
      <c r="DF68" s="89"/>
      <c r="DG68" s="89"/>
      <c r="DH68" s="89"/>
      <c r="DI68" s="89"/>
      <c r="DJ68" s="89"/>
      <c r="DK68" s="89"/>
      <c r="DL68" s="89"/>
      <c r="DM68" s="89"/>
      <c r="DN68" s="89"/>
      <c r="DO68" s="89"/>
      <c r="DP68" s="89"/>
      <c r="DQ68" s="89"/>
      <c r="DR68" s="89"/>
      <c r="DS68" s="89"/>
      <c r="DT68" s="89"/>
      <c r="DU68" s="89"/>
      <c r="DV68" s="89"/>
      <c r="DW68" s="89"/>
      <c r="DX68" s="89"/>
      <c r="DY68" s="89"/>
      <c r="DZ68" s="89"/>
      <c r="EA68" s="89"/>
      <c r="EB68" s="89"/>
      <c r="EC68" s="89"/>
      <c r="ED68" s="89"/>
      <c r="EE68" s="89"/>
      <c r="EF68" s="89"/>
      <c r="EG68" s="89"/>
      <c r="EH68" s="89"/>
      <c r="EI68" s="89"/>
      <c r="EJ68" s="89"/>
      <c r="EK68" s="89"/>
      <c r="EL68" s="89"/>
      <c r="EM68" s="89"/>
      <c r="EN68" s="89"/>
    </row>
    <row r="69" spans="1:144" s="87" customFormat="1" ht="11.25">
      <c r="A69" s="386">
        <v>15</v>
      </c>
      <c r="B69" s="89" t="s">
        <v>70</v>
      </c>
      <c r="C69" s="157" t="s">
        <v>6</v>
      </c>
      <c r="D69" s="388"/>
      <c r="E69" s="388"/>
      <c r="F69" s="388"/>
      <c r="G69" s="388"/>
      <c r="H69" s="388"/>
      <c r="I69" s="388"/>
      <c r="J69" s="388"/>
      <c r="K69" s="388"/>
      <c r="L69" s="388"/>
      <c r="M69" s="388"/>
      <c r="N69" s="388"/>
      <c r="O69" s="388"/>
      <c r="P69" s="425">
        <f>SUM(D69:O69)</f>
        <v>0</v>
      </c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  <c r="AP69" s="89"/>
      <c r="AQ69" s="89"/>
      <c r="AR69" s="89"/>
      <c r="AS69" s="89"/>
      <c r="AT69" s="89"/>
      <c r="AU69" s="89"/>
      <c r="AV69" s="89"/>
      <c r="AW69" s="89"/>
      <c r="AX69" s="89"/>
      <c r="AY69" s="89"/>
      <c r="AZ69" s="89"/>
      <c r="BA69" s="89"/>
      <c r="BB69" s="89"/>
      <c r="BC69" s="89"/>
      <c r="BD69" s="89"/>
      <c r="BE69" s="89"/>
      <c r="BF69" s="89"/>
      <c r="BG69" s="89"/>
      <c r="BH69" s="89"/>
      <c r="BI69" s="89"/>
      <c r="BJ69" s="89"/>
      <c r="BK69" s="89"/>
      <c r="BL69" s="89"/>
      <c r="BM69" s="89"/>
      <c r="BN69" s="89"/>
      <c r="BO69" s="89"/>
      <c r="BP69" s="89"/>
      <c r="BQ69" s="89"/>
      <c r="BR69" s="89"/>
      <c r="BS69" s="89"/>
      <c r="BT69" s="89"/>
      <c r="BU69" s="89"/>
      <c r="BV69" s="89"/>
      <c r="BW69" s="89"/>
      <c r="BX69" s="89"/>
      <c r="BY69" s="89"/>
      <c r="BZ69" s="89"/>
      <c r="CA69" s="89"/>
      <c r="CB69" s="89"/>
      <c r="CC69" s="89"/>
      <c r="CD69" s="89"/>
      <c r="CE69" s="89"/>
      <c r="CF69" s="89"/>
      <c r="CG69" s="89"/>
      <c r="CH69" s="89"/>
      <c r="CI69" s="89"/>
      <c r="CJ69" s="89"/>
      <c r="CK69" s="89"/>
      <c r="CL69" s="89"/>
      <c r="CM69" s="89"/>
      <c r="CN69" s="89"/>
      <c r="CO69" s="89"/>
      <c r="CP69" s="89"/>
      <c r="CQ69" s="89"/>
      <c r="CR69" s="89"/>
      <c r="CS69" s="89"/>
      <c r="CT69" s="89"/>
      <c r="CU69" s="89"/>
      <c r="CV69" s="89"/>
      <c r="CW69" s="89"/>
      <c r="CX69" s="89"/>
      <c r="CY69" s="89"/>
      <c r="CZ69" s="89"/>
      <c r="DA69" s="89"/>
      <c r="DB69" s="89"/>
      <c r="DC69" s="89"/>
      <c r="DD69" s="89"/>
      <c r="DE69" s="89"/>
      <c r="DF69" s="89"/>
      <c r="DG69" s="89"/>
      <c r="DH69" s="89"/>
      <c r="DI69" s="89"/>
      <c r="DJ69" s="89"/>
      <c r="DK69" s="89"/>
      <c r="DL69" s="89"/>
      <c r="DM69" s="89"/>
      <c r="DN69" s="89"/>
      <c r="DO69" s="89"/>
      <c r="DP69" s="89"/>
      <c r="DQ69" s="89"/>
      <c r="DR69" s="89"/>
      <c r="DS69" s="89"/>
      <c r="DT69" s="89"/>
      <c r="DU69" s="89"/>
      <c r="DV69" s="89"/>
      <c r="DW69" s="89"/>
      <c r="DX69" s="89"/>
      <c r="DY69" s="89"/>
      <c r="DZ69" s="89"/>
      <c r="EA69" s="89"/>
      <c r="EB69" s="89"/>
      <c r="EC69" s="89"/>
      <c r="ED69" s="89"/>
      <c r="EE69" s="89"/>
      <c r="EF69" s="89"/>
      <c r="EG69" s="89"/>
      <c r="EH69" s="89"/>
      <c r="EI69" s="89"/>
      <c r="EJ69" s="89"/>
      <c r="EK69" s="89"/>
      <c r="EL69" s="89"/>
      <c r="EM69" s="89"/>
      <c r="EN69" s="89"/>
    </row>
    <row r="70" spans="1:144" s="87" customFormat="1" ht="11.25">
      <c r="A70" s="386">
        <v>16</v>
      </c>
      <c r="B70" s="393" t="s">
        <v>23</v>
      </c>
      <c r="C70" s="361"/>
      <c r="D70" s="101">
        <f t="shared" ref="D70:P70" si="11">SUM(D68:D69)</f>
        <v>0</v>
      </c>
      <c r="E70" s="101">
        <f t="shared" si="11"/>
        <v>0</v>
      </c>
      <c r="F70" s="101">
        <f t="shared" si="11"/>
        <v>0</v>
      </c>
      <c r="G70" s="101">
        <f t="shared" si="11"/>
        <v>0</v>
      </c>
      <c r="H70" s="101">
        <f t="shared" si="11"/>
        <v>0</v>
      </c>
      <c r="I70" s="101">
        <f t="shared" si="11"/>
        <v>0</v>
      </c>
      <c r="J70" s="101">
        <f t="shared" si="11"/>
        <v>0</v>
      </c>
      <c r="K70" s="101">
        <f t="shared" si="11"/>
        <v>0</v>
      </c>
      <c r="L70" s="101">
        <f t="shared" si="11"/>
        <v>0</v>
      </c>
      <c r="M70" s="101">
        <f t="shared" si="11"/>
        <v>0</v>
      </c>
      <c r="N70" s="101">
        <f t="shared" si="11"/>
        <v>0</v>
      </c>
      <c r="O70" s="101">
        <f t="shared" si="11"/>
        <v>0</v>
      </c>
      <c r="P70" s="101">
        <f t="shared" si="11"/>
        <v>0</v>
      </c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9"/>
      <c r="AT70" s="89"/>
      <c r="AU70" s="89"/>
      <c r="AV70" s="89"/>
      <c r="AW70" s="89"/>
      <c r="AX70" s="89"/>
      <c r="AY70" s="89"/>
      <c r="AZ70" s="89"/>
      <c r="BA70" s="89"/>
      <c r="BB70" s="89"/>
      <c r="BC70" s="89"/>
      <c r="BD70" s="89"/>
      <c r="BE70" s="89"/>
      <c r="BF70" s="89"/>
      <c r="BG70" s="89"/>
      <c r="BH70" s="89"/>
      <c r="BI70" s="89"/>
      <c r="BJ70" s="89"/>
      <c r="BK70" s="89"/>
      <c r="BL70" s="89"/>
      <c r="BM70" s="89"/>
      <c r="BN70" s="89"/>
      <c r="BO70" s="89"/>
      <c r="BP70" s="89"/>
      <c r="BQ70" s="89"/>
      <c r="BR70" s="89"/>
      <c r="BS70" s="89"/>
      <c r="BT70" s="89"/>
      <c r="BU70" s="89"/>
      <c r="BV70" s="89"/>
      <c r="BW70" s="89"/>
      <c r="BX70" s="89"/>
      <c r="BY70" s="89"/>
      <c r="BZ70" s="89"/>
      <c r="CA70" s="89"/>
      <c r="CB70" s="89"/>
      <c r="CC70" s="89"/>
      <c r="CD70" s="89"/>
      <c r="CE70" s="89"/>
      <c r="CF70" s="89"/>
      <c r="CG70" s="89"/>
      <c r="CH70" s="89"/>
      <c r="CI70" s="89"/>
      <c r="CJ70" s="89"/>
      <c r="CK70" s="89"/>
      <c r="CL70" s="89"/>
      <c r="CM70" s="89"/>
      <c r="CN70" s="89"/>
      <c r="CO70" s="89"/>
      <c r="CP70" s="89"/>
      <c r="CQ70" s="89"/>
      <c r="CR70" s="89"/>
      <c r="CS70" s="89"/>
      <c r="CT70" s="89"/>
      <c r="CU70" s="89"/>
      <c r="CV70" s="89"/>
      <c r="CW70" s="89"/>
      <c r="CX70" s="89"/>
      <c r="CY70" s="89"/>
      <c r="CZ70" s="89"/>
      <c r="DA70" s="89"/>
      <c r="DB70" s="89"/>
      <c r="DC70" s="89"/>
      <c r="DD70" s="89"/>
      <c r="DE70" s="89"/>
      <c r="DF70" s="89"/>
      <c r="DG70" s="89"/>
      <c r="DH70" s="89"/>
      <c r="DI70" s="89"/>
      <c r="DJ70" s="89"/>
      <c r="DK70" s="89"/>
      <c r="DL70" s="89"/>
      <c r="DM70" s="89"/>
      <c r="DN70" s="89"/>
      <c r="DO70" s="89"/>
      <c r="DP70" s="89"/>
      <c r="DQ70" s="89"/>
      <c r="DR70" s="89"/>
      <c r="DS70" s="89"/>
      <c r="DT70" s="89"/>
      <c r="DU70" s="89"/>
      <c r="DV70" s="89"/>
      <c r="DW70" s="89"/>
      <c r="DX70" s="89"/>
      <c r="DY70" s="89"/>
      <c r="DZ70" s="89"/>
      <c r="EA70" s="89"/>
      <c r="EB70" s="89"/>
      <c r="EC70" s="89"/>
      <c r="ED70" s="89"/>
      <c r="EE70" s="89"/>
      <c r="EF70" s="89"/>
      <c r="EG70" s="89"/>
      <c r="EH70" s="89"/>
      <c r="EI70" s="89"/>
      <c r="EJ70" s="89"/>
      <c r="EK70" s="89"/>
      <c r="EL70" s="89"/>
      <c r="EM70" s="89"/>
      <c r="EN70" s="89"/>
    </row>
    <row r="71" spans="1:144" s="87" customFormat="1" ht="11.25">
      <c r="A71" s="386"/>
      <c r="C71" s="396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5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9"/>
      <c r="BF71" s="89"/>
      <c r="BG71" s="89"/>
      <c r="BH71" s="89"/>
      <c r="BI71" s="89"/>
      <c r="BJ71" s="89"/>
      <c r="BK71" s="89"/>
      <c r="BL71" s="89"/>
      <c r="BM71" s="89"/>
      <c r="BN71" s="89"/>
      <c r="BO71" s="89"/>
      <c r="BP71" s="89"/>
      <c r="BQ71" s="89"/>
      <c r="BR71" s="89"/>
      <c r="BS71" s="89"/>
      <c r="BT71" s="89"/>
      <c r="BU71" s="89"/>
      <c r="BV71" s="89"/>
      <c r="BW71" s="89"/>
      <c r="BX71" s="89"/>
      <c r="BY71" s="89"/>
      <c r="BZ71" s="89"/>
      <c r="CA71" s="89"/>
      <c r="CB71" s="89"/>
      <c r="CC71" s="89"/>
      <c r="CD71" s="89"/>
      <c r="CE71" s="89"/>
      <c r="CF71" s="89"/>
      <c r="CG71" s="89"/>
      <c r="CH71" s="89"/>
      <c r="CI71" s="89"/>
      <c r="CJ71" s="89"/>
      <c r="CK71" s="89"/>
      <c r="CL71" s="89"/>
      <c r="CM71" s="89"/>
      <c r="CN71" s="89"/>
      <c r="CO71" s="89"/>
      <c r="CP71" s="89"/>
      <c r="CQ71" s="89"/>
      <c r="CR71" s="89"/>
      <c r="CS71" s="89"/>
      <c r="CT71" s="89"/>
      <c r="CU71" s="89"/>
      <c r="CV71" s="89"/>
      <c r="CW71" s="89"/>
      <c r="CX71" s="89"/>
      <c r="CY71" s="89"/>
      <c r="CZ71" s="89"/>
      <c r="DA71" s="89"/>
      <c r="DB71" s="89"/>
      <c r="DC71" s="89"/>
      <c r="DD71" s="89"/>
      <c r="DE71" s="89"/>
      <c r="DF71" s="89"/>
      <c r="DG71" s="89"/>
      <c r="DH71" s="89"/>
      <c r="DI71" s="89"/>
      <c r="DJ71" s="89"/>
      <c r="DK71" s="89"/>
      <c r="DL71" s="89"/>
      <c r="DM71" s="89"/>
      <c r="DN71" s="89"/>
      <c r="DO71" s="89"/>
      <c r="DP71" s="89"/>
      <c r="DQ71" s="89"/>
      <c r="DR71" s="89"/>
      <c r="DS71" s="89"/>
      <c r="DT71" s="89"/>
      <c r="DU71" s="89"/>
      <c r="DV71" s="89"/>
      <c r="DW71" s="89"/>
      <c r="DX71" s="89"/>
      <c r="DY71" s="89"/>
      <c r="DZ71" s="89"/>
      <c r="EA71" s="89"/>
      <c r="EB71" s="89"/>
      <c r="EC71" s="89"/>
      <c r="ED71" s="89"/>
      <c r="EE71" s="89"/>
      <c r="EF71" s="89"/>
      <c r="EG71" s="89"/>
      <c r="EH71" s="89"/>
      <c r="EI71" s="89"/>
      <c r="EJ71" s="89"/>
      <c r="EK71" s="89"/>
      <c r="EL71" s="89"/>
      <c r="EM71" s="89"/>
      <c r="EN71" s="89"/>
    </row>
    <row r="72" spans="1:144" s="87" customFormat="1" ht="12" thickBot="1">
      <c r="A72" s="386">
        <v>17</v>
      </c>
      <c r="B72" s="147" t="s">
        <v>92</v>
      </c>
      <c r="C72" s="361"/>
      <c r="D72" s="397">
        <f t="shared" ref="D72:P72" si="12">+D70+D66</f>
        <v>21812.123363265979</v>
      </c>
      <c r="E72" s="397">
        <f t="shared" si="12"/>
        <v>32709.080756272248</v>
      </c>
      <c r="F72" s="397">
        <f t="shared" si="12"/>
        <v>-26110.235641146079</v>
      </c>
      <c r="G72" s="397">
        <f t="shared" si="12"/>
        <v>-19215.882073578228</v>
      </c>
      <c r="H72" s="397">
        <f t="shared" si="12"/>
        <v>-181.4927538809925</v>
      </c>
      <c r="I72" s="397">
        <f t="shared" si="12"/>
        <v>-104940.78786172645</v>
      </c>
      <c r="J72" s="397">
        <f t="shared" si="12"/>
        <v>-45128.795650371256</v>
      </c>
      <c r="K72" s="397">
        <f t="shared" si="12"/>
        <v>51198.393358538233</v>
      </c>
      <c r="L72" s="397">
        <f t="shared" si="12"/>
        <v>33200.125983411519</v>
      </c>
      <c r="M72" s="397">
        <f t="shared" si="12"/>
        <v>-127120.37027005911</v>
      </c>
      <c r="N72" s="397">
        <f t="shared" si="12"/>
        <v>-118160.26709592497</v>
      </c>
      <c r="O72" s="397">
        <f t="shared" si="12"/>
        <v>-118775.61404600335</v>
      </c>
      <c r="P72" s="397">
        <f t="shared" si="12"/>
        <v>-420713.7219312024</v>
      </c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89"/>
      <c r="AT72" s="89"/>
      <c r="AU72" s="89"/>
      <c r="AV72" s="89"/>
      <c r="AW72" s="89"/>
      <c r="AX72" s="89"/>
      <c r="AY72" s="89"/>
      <c r="AZ72" s="89"/>
      <c r="BA72" s="89"/>
      <c r="BB72" s="89"/>
      <c r="BC72" s="89"/>
      <c r="BD72" s="89"/>
      <c r="BE72" s="89"/>
      <c r="BF72" s="89"/>
      <c r="BG72" s="89"/>
      <c r="BH72" s="89"/>
      <c r="BI72" s="89"/>
      <c r="BJ72" s="89"/>
      <c r="BK72" s="89"/>
      <c r="BL72" s="89"/>
      <c r="BM72" s="89"/>
      <c r="BN72" s="89"/>
      <c r="BO72" s="89"/>
      <c r="BP72" s="89"/>
      <c r="BQ72" s="89"/>
      <c r="BR72" s="89"/>
      <c r="BS72" s="89"/>
      <c r="BT72" s="89"/>
      <c r="BU72" s="89"/>
      <c r="BV72" s="89"/>
      <c r="BW72" s="89"/>
      <c r="BX72" s="89"/>
      <c r="BY72" s="89"/>
      <c r="BZ72" s="89"/>
      <c r="CA72" s="89"/>
      <c r="CB72" s="89"/>
      <c r="CC72" s="89"/>
      <c r="CD72" s="89"/>
      <c r="CE72" s="89"/>
      <c r="CF72" s="89"/>
      <c r="CG72" s="89"/>
      <c r="CH72" s="89"/>
      <c r="CI72" s="89"/>
      <c r="CJ72" s="89"/>
      <c r="CK72" s="89"/>
      <c r="CL72" s="89"/>
      <c r="CM72" s="89"/>
      <c r="CN72" s="89"/>
      <c r="CO72" s="89"/>
      <c r="CP72" s="89"/>
      <c r="CQ72" s="89"/>
      <c r="CR72" s="89"/>
      <c r="CS72" s="89"/>
      <c r="CT72" s="89"/>
      <c r="CU72" s="89"/>
      <c r="CV72" s="89"/>
      <c r="CW72" s="89"/>
      <c r="CX72" s="89"/>
      <c r="CY72" s="89"/>
      <c r="CZ72" s="89"/>
      <c r="DA72" s="89"/>
      <c r="DB72" s="89"/>
      <c r="DC72" s="89"/>
      <c r="DD72" s="89"/>
      <c r="DE72" s="89"/>
      <c r="DF72" s="89"/>
      <c r="DG72" s="89"/>
      <c r="DH72" s="89"/>
      <c r="DI72" s="89"/>
      <c r="DJ72" s="89"/>
      <c r="DK72" s="89"/>
      <c r="DL72" s="89"/>
      <c r="DM72" s="89"/>
      <c r="DN72" s="89"/>
      <c r="DO72" s="89"/>
      <c r="DP72" s="89"/>
      <c r="DQ72" s="89"/>
      <c r="DR72" s="89"/>
      <c r="DS72" s="89"/>
      <c r="DT72" s="89"/>
      <c r="DU72" s="89"/>
      <c r="DV72" s="89"/>
      <c r="DW72" s="89"/>
      <c r="DX72" s="89"/>
      <c r="DY72" s="89"/>
      <c r="DZ72" s="89"/>
      <c r="EA72" s="89"/>
      <c r="EB72" s="89"/>
      <c r="EC72" s="89"/>
      <c r="ED72" s="89"/>
      <c r="EE72" s="89"/>
      <c r="EF72" s="89"/>
      <c r="EG72" s="89"/>
      <c r="EH72" s="89"/>
      <c r="EI72" s="89"/>
      <c r="EJ72" s="89"/>
      <c r="EK72" s="89"/>
      <c r="EL72" s="89"/>
      <c r="EM72" s="89"/>
      <c r="EN72" s="89"/>
    </row>
    <row r="73" spans="1:144" s="81" customFormat="1" ht="13.5" thickTop="1">
      <c r="B73" s="172" t="str">
        <f>+B8</f>
        <v>AEP TEXAS</v>
      </c>
      <c r="C73" s="172"/>
      <c r="D73" s="173"/>
      <c r="E73" s="173"/>
      <c r="F73" s="173"/>
      <c r="G73" s="173"/>
      <c r="H73" s="173"/>
      <c r="I73" s="469"/>
      <c r="J73" s="469"/>
      <c r="K73" s="469"/>
      <c r="L73" s="469"/>
      <c r="M73" s="469"/>
      <c r="N73" s="469"/>
      <c r="O73" s="173"/>
      <c r="P73" s="427"/>
      <c r="Q73" s="185"/>
      <c r="R73" s="470"/>
      <c r="S73" s="4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</row>
    <row r="74" spans="1:144">
      <c r="B74" s="172" t="s">
        <v>11</v>
      </c>
      <c r="C74" s="80"/>
      <c r="D74" s="82"/>
      <c r="E74" s="82"/>
      <c r="F74" s="82"/>
      <c r="G74" s="82"/>
      <c r="H74" s="82"/>
      <c r="I74" s="468"/>
      <c r="J74" s="468"/>
      <c r="K74" s="468"/>
      <c r="L74" s="468"/>
      <c r="M74" s="468"/>
      <c r="N74" s="468"/>
      <c r="O74" s="82"/>
      <c r="P74" s="468" t="s">
        <v>1</v>
      </c>
      <c r="Q74" s="470"/>
      <c r="R74" s="470"/>
      <c r="S74" s="470"/>
    </row>
    <row r="75" spans="1:144">
      <c r="B75" s="371" t="str">
        <f>+B10</f>
        <v>FOR TEST YEAR ENDED SEPTEMBER 30, 2023</v>
      </c>
      <c r="C75" s="371"/>
      <c r="D75" s="371"/>
      <c r="E75" s="371"/>
      <c r="F75" s="371"/>
      <c r="G75" s="371"/>
      <c r="H75" s="371"/>
      <c r="I75" s="371"/>
      <c r="J75" s="371"/>
      <c r="K75" s="371"/>
      <c r="L75" s="371"/>
      <c r="M75" s="371"/>
      <c r="N75" s="371"/>
      <c r="O75" s="371"/>
      <c r="P75" s="70"/>
      <c r="Q75" s="470"/>
      <c r="R75" s="470"/>
      <c r="S75" s="470"/>
    </row>
    <row r="76" spans="1:144"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1"/>
      <c r="P76" s="70"/>
      <c r="Q76" s="470"/>
      <c r="R76" s="470"/>
      <c r="S76" s="470"/>
    </row>
    <row r="77" spans="1:144">
      <c r="B77" s="147"/>
      <c r="C77" s="87"/>
      <c r="D77" s="404"/>
      <c r="E77" s="404"/>
      <c r="F77" s="404"/>
      <c r="G77" s="404"/>
      <c r="H77" s="404"/>
      <c r="I77" s="405"/>
      <c r="K77" s="405"/>
      <c r="L77" s="405"/>
      <c r="M77" s="405"/>
      <c r="N77" s="405"/>
      <c r="O77" s="405"/>
      <c r="P77" s="405"/>
      <c r="Q77" s="470"/>
      <c r="R77" s="470"/>
      <c r="S77" s="470"/>
    </row>
    <row r="78" spans="1:144" s="81" customFormat="1">
      <c r="A78" s="449" t="s">
        <v>8</v>
      </c>
      <c r="B78" s="361" t="s">
        <v>0</v>
      </c>
      <c r="C78" s="361" t="s">
        <v>7</v>
      </c>
      <c r="D78" s="404" t="str">
        <f t="shared" ref="D78:O78" si="13">+D13</f>
        <v>Oct-22</v>
      </c>
      <c r="E78" s="404" t="str">
        <f t="shared" si="13"/>
        <v>Nov-22</v>
      </c>
      <c r="F78" s="404" t="str">
        <f t="shared" si="13"/>
        <v>Dec-22</v>
      </c>
      <c r="G78" s="404" t="str">
        <f t="shared" si="13"/>
        <v>Jan-23</v>
      </c>
      <c r="H78" s="404" t="str">
        <f t="shared" si="13"/>
        <v>Feb-23</v>
      </c>
      <c r="I78" s="404" t="str">
        <f t="shared" si="13"/>
        <v>Mar-23</v>
      </c>
      <c r="J78" s="404" t="str">
        <f t="shared" si="13"/>
        <v>Apr-23</v>
      </c>
      <c r="K78" s="404" t="str">
        <f t="shared" si="13"/>
        <v>May-23</v>
      </c>
      <c r="L78" s="404" t="str">
        <f t="shared" si="13"/>
        <v>Jun-23</v>
      </c>
      <c r="M78" s="404" t="str">
        <f t="shared" si="13"/>
        <v>Jul-23</v>
      </c>
      <c r="N78" s="404" t="str">
        <f t="shared" si="13"/>
        <v>Aug-23</v>
      </c>
      <c r="O78" s="404" t="str">
        <f t="shared" si="13"/>
        <v>Sep-23</v>
      </c>
      <c r="P78" s="406" t="s">
        <v>2</v>
      </c>
      <c r="Q78" s="185"/>
      <c r="R78" s="470"/>
      <c r="S78" s="4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</row>
    <row r="79" spans="1:144" s="81" customFormat="1">
      <c r="B79" s="361"/>
      <c r="C79" s="361"/>
      <c r="D79" s="174"/>
      <c r="E79" s="174"/>
      <c r="F79" s="174"/>
      <c r="G79" s="174"/>
      <c r="H79" s="174"/>
      <c r="I79" s="463"/>
      <c r="J79" s="463"/>
      <c r="K79" s="463"/>
      <c r="L79" s="463"/>
      <c r="M79" s="463"/>
      <c r="N79" s="463"/>
      <c r="O79" s="174"/>
      <c r="P79" s="463"/>
      <c r="Q79" s="185"/>
      <c r="R79" s="470"/>
      <c r="S79" s="4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</row>
    <row r="80" spans="1:144" s="87" customFormat="1" ht="11.25">
      <c r="A80" s="386" t="s">
        <v>9</v>
      </c>
      <c r="B80" s="87" t="s">
        <v>17</v>
      </c>
      <c r="C80" s="99" t="s">
        <v>4</v>
      </c>
      <c r="D80" s="390" cm="1">
        <f t="array" ref="D80">SUMPRODUCT((H_Rate_Class=$B80)*'[5]Demand - T'!D$129:D$238)</f>
        <v>0</v>
      </c>
      <c r="E80" s="390" cm="1">
        <f t="array" ref="E80">SUMPRODUCT((H_Rate_Class=$B80)*'[5]Demand - T'!E$129:E$238)</f>
        <v>0</v>
      </c>
      <c r="F80" s="390" cm="1">
        <f t="array" ref="F80">SUMPRODUCT((H_Rate_Class=$B80)*'[5]Demand - T'!F$129:F$238)</f>
        <v>0</v>
      </c>
      <c r="G80" s="390" cm="1">
        <f t="array" ref="G80">SUMPRODUCT((H_Rate_Class=$B80)*'[5]Demand - T'!G$129:G$238)</f>
        <v>0</v>
      </c>
      <c r="H80" s="390" cm="1">
        <f t="array" ref="H80">SUMPRODUCT((H_Rate_Class=$B80)*'[5]Demand - T'!H$129:H$238)</f>
        <v>0</v>
      </c>
      <c r="I80" s="390" cm="1">
        <f t="array" ref="I80">SUMPRODUCT((H_Rate_Class=$B80)*'[5]Demand - T'!I$129:I$238)</f>
        <v>0</v>
      </c>
      <c r="J80" s="390" cm="1">
        <f t="array" ref="J80">SUMPRODUCT((H_Rate_Class=$B80)*'[5]Demand - T'!J$129:J$238)</f>
        <v>0</v>
      </c>
      <c r="K80" s="390" cm="1">
        <f t="array" ref="K80">SUMPRODUCT((H_Rate_Class=$B80)*'[5]Demand - T'!K$129:K$238)</f>
        <v>0</v>
      </c>
      <c r="L80" s="390" cm="1">
        <f t="array" ref="L80">SUMPRODUCT((H_Rate_Class=$B80)*'[5]Demand - T'!L$129:L$238)</f>
        <v>0</v>
      </c>
      <c r="M80" s="390" cm="1">
        <f t="array" ref="M80">SUMPRODUCT((H_Rate_Class=$B80)*'[5]Demand - T'!M$129:M$238)</f>
        <v>0</v>
      </c>
      <c r="N80" s="390" cm="1">
        <f t="array" ref="N80">SUMPRODUCT((H_Rate_Class=$B80)*'[5]Demand - T'!N$129:N$238)</f>
        <v>0</v>
      </c>
      <c r="O80" s="390" cm="1">
        <f t="array" ref="O80">SUMPRODUCT((H_Rate_Class=$B80)*'[5]Demand - T'!O$129:O$238)</f>
        <v>0</v>
      </c>
      <c r="P80" s="158">
        <f>SUM(D80:O80)</f>
        <v>0</v>
      </c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  <c r="AS80" s="89"/>
      <c r="AT80" s="89"/>
      <c r="AU80" s="89"/>
      <c r="AV80" s="89"/>
      <c r="AW80" s="89"/>
      <c r="AX80" s="89"/>
      <c r="AY80" s="89"/>
      <c r="AZ80" s="89"/>
      <c r="BA80" s="89"/>
      <c r="BB80" s="89"/>
      <c r="BC80" s="89"/>
      <c r="BD80" s="89"/>
      <c r="BE80" s="89"/>
      <c r="BF80" s="89"/>
      <c r="BG80" s="89"/>
      <c r="BH80" s="89"/>
      <c r="BI80" s="89"/>
      <c r="BJ80" s="89"/>
      <c r="BK80" s="89"/>
      <c r="BL80" s="89"/>
      <c r="BM80" s="89"/>
      <c r="BN80" s="89"/>
      <c r="BO80" s="89"/>
      <c r="BP80" s="89"/>
      <c r="BQ80" s="89"/>
      <c r="BR80" s="89"/>
      <c r="BS80" s="89"/>
      <c r="BT80" s="89"/>
      <c r="BU80" s="89"/>
      <c r="BV80" s="89"/>
      <c r="BW80" s="89"/>
      <c r="BX80" s="89"/>
      <c r="BY80" s="89"/>
      <c r="BZ80" s="89"/>
      <c r="CA80" s="89"/>
      <c r="CB80" s="89"/>
      <c r="CC80" s="89"/>
      <c r="CD80" s="89"/>
      <c r="CE80" s="89"/>
      <c r="CF80" s="89"/>
      <c r="CG80" s="89"/>
      <c r="CH80" s="89"/>
      <c r="CI80" s="89"/>
      <c r="CJ80" s="89"/>
      <c r="CK80" s="89"/>
      <c r="CL80" s="89"/>
      <c r="CM80" s="89"/>
      <c r="CN80" s="89"/>
      <c r="CO80" s="89"/>
      <c r="CP80" s="89"/>
      <c r="CQ80" s="89"/>
      <c r="CR80" s="89"/>
      <c r="CS80" s="89"/>
      <c r="CT80" s="89"/>
      <c r="CU80" s="89"/>
      <c r="CV80" s="89"/>
      <c r="CW80" s="89"/>
      <c r="CX80" s="89"/>
      <c r="CY80" s="89"/>
      <c r="CZ80" s="89"/>
      <c r="DA80" s="89"/>
      <c r="DB80" s="89"/>
      <c r="DC80" s="89"/>
      <c r="DD80" s="89"/>
      <c r="DE80" s="89"/>
      <c r="DF80" s="89"/>
      <c r="DG80" s="89"/>
      <c r="DH80" s="89"/>
      <c r="DI80" s="89"/>
      <c r="DJ80" s="89"/>
      <c r="DK80" s="89"/>
      <c r="DL80" s="89"/>
      <c r="DM80" s="89"/>
      <c r="DN80" s="89"/>
      <c r="DO80" s="89"/>
      <c r="DP80" s="89"/>
      <c r="DQ80" s="89"/>
      <c r="DR80" s="89"/>
      <c r="DS80" s="89"/>
      <c r="DT80" s="89"/>
      <c r="DU80" s="89"/>
      <c r="DV80" s="89"/>
      <c r="DW80" s="89"/>
      <c r="DX80" s="89"/>
      <c r="DY80" s="89"/>
      <c r="DZ80" s="89"/>
      <c r="EA80" s="89"/>
      <c r="EB80" s="89"/>
      <c r="EC80" s="89"/>
      <c r="ED80" s="89"/>
      <c r="EE80" s="89"/>
      <c r="EF80" s="89"/>
      <c r="EG80" s="89"/>
      <c r="EH80" s="89"/>
      <c r="EI80" s="89"/>
      <c r="EJ80" s="89"/>
      <c r="EK80" s="89"/>
      <c r="EL80" s="89"/>
      <c r="EM80" s="89"/>
      <c r="EN80" s="89"/>
    </row>
    <row r="81" spans="1:144" s="87" customFormat="1" ht="11.25">
      <c r="A81" s="4"/>
      <c r="C81" s="99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5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  <c r="AS81" s="89"/>
      <c r="AT81" s="89"/>
      <c r="AU81" s="89"/>
      <c r="AV81" s="89"/>
      <c r="AW81" s="89"/>
      <c r="AX81" s="89"/>
      <c r="AY81" s="89"/>
      <c r="AZ81" s="89"/>
      <c r="BA81" s="89"/>
      <c r="BB81" s="89"/>
      <c r="BC81" s="89"/>
      <c r="BD81" s="89"/>
      <c r="BE81" s="89"/>
      <c r="BF81" s="89"/>
      <c r="BG81" s="89"/>
      <c r="BH81" s="89"/>
      <c r="BI81" s="89"/>
      <c r="BJ81" s="89"/>
      <c r="BK81" s="89"/>
      <c r="BL81" s="89"/>
      <c r="BM81" s="89"/>
      <c r="BN81" s="89"/>
      <c r="BO81" s="89"/>
      <c r="BP81" s="89"/>
      <c r="BQ81" s="89"/>
      <c r="BR81" s="89"/>
      <c r="BS81" s="89"/>
      <c r="BT81" s="89"/>
      <c r="BU81" s="89"/>
      <c r="BV81" s="89"/>
      <c r="BW81" s="89"/>
      <c r="BX81" s="89"/>
      <c r="BY81" s="89"/>
      <c r="BZ81" s="89"/>
      <c r="CA81" s="89"/>
      <c r="CB81" s="89"/>
      <c r="CC81" s="89"/>
      <c r="CD81" s="89"/>
      <c r="CE81" s="89"/>
      <c r="CF81" s="89"/>
      <c r="CG81" s="89"/>
      <c r="CH81" s="89"/>
      <c r="CI81" s="89"/>
      <c r="CJ81" s="89"/>
      <c r="CK81" s="89"/>
      <c r="CL81" s="89"/>
      <c r="CM81" s="89"/>
      <c r="CN81" s="89"/>
      <c r="CO81" s="89"/>
      <c r="CP81" s="89"/>
      <c r="CQ81" s="89"/>
      <c r="CR81" s="89"/>
      <c r="CS81" s="89"/>
      <c r="CT81" s="89"/>
      <c r="CU81" s="89"/>
      <c r="CV81" s="89"/>
      <c r="CW81" s="89"/>
      <c r="CX81" s="89"/>
      <c r="CY81" s="89"/>
      <c r="CZ81" s="89"/>
      <c r="DA81" s="89"/>
      <c r="DB81" s="89"/>
      <c r="DC81" s="89"/>
      <c r="DD81" s="89"/>
      <c r="DE81" s="89"/>
      <c r="DF81" s="89"/>
      <c r="DG81" s="89"/>
      <c r="DH81" s="89"/>
      <c r="DI81" s="89"/>
      <c r="DJ81" s="89"/>
      <c r="DK81" s="89"/>
      <c r="DL81" s="89"/>
      <c r="DM81" s="89"/>
      <c r="DN81" s="89"/>
      <c r="DO81" s="89"/>
      <c r="DP81" s="89"/>
      <c r="DQ81" s="89"/>
      <c r="DR81" s="89"/>
      <c r="DS81" s="89"/>
      <c r="DT81" s="89"/>
      <c r="DU81" s="89"/>
      <c r="DV81" s="89"/>
      <c r="DW81" s="89"/>
      <c r="DX81" s="89"/>
      <c r="DY81" s="89"/>
      <c r="DZ81" s="89"/>
      <c r="EA81" s="89"/>
      <c r="EB81" s="89"/>
      <c r="EC81" s="89"/>
      <c r="ED81" s="89"/>
      <c r="EE81" s="89"/>
      <c r="EF81" s="89"/>
      <c r="EG81" s="89"/>
      <c r="EH81" s="89"/>
      <c r="EI81" s="89"/>
      <c r="EJ81" s="89"/>
      <c r="EK81" s="89"/>
      <c r="EL81" s="89"/>
      <c r="EM81" s="89"/>
      <c r="EN81" s="89"/>
    </row>
    <row r="82" spans="1:144" s="87" customFormat="1" ht="11.25">
      <c r="A82" s="386">
        <v>2</v>
      </c>
      <c r="B82" s="87" t="s">
        <v>20</v>
      </c>
      <c r="C82" s="99" t="s">
        <v>4</v>
      </c>
      <c r="D82" s="177" cm="1">
        <f t="array" ref="D82">SUMPRODUCT((H_Rate_Class=$B82)*'[5]Demand - T'!D$129:D$238)</f>
        <v>0</v>
      </c>
      <c r="E82" s="177" cm="1">
        <f t="array" ref="E82">SUMPRODUCT((H_Rate_Class=$B82)*'[5]Demand - T'!E$129:E$238)</f>
        <v>0</v>
      </c>
      <c r="F82" s="177" cm="1">
        <f t="array" ref="F82">SUMPRODUCT((H_Rate_Class=$B82)*'[5]Demand - T'!F$129:F$238)</f>
        <v>0</v>
      </c>
      <c r="G82" s="177" cm="1">
        <f t="array" ref="G82">SUMPRODUCT((H_Rate_Class=$B82)*'[5]Demand - T'!G$129:G$238)</f>
        <v>0</v>
      </c>
      <c r="H82" s="177" cm="1">
        <f t="array" ref="H82">SUMPRODUCT((H_Rate_Class=$B82)*'[5]Demand - T'!H$129:H$238)</f>
        <v>0</v>
      </c>
      <c r="I82" s="177" cm="1">
        <f t="array" ref="I82">SUMPRODUCT((H_Rate_Class=$B82)*'[5]Demand - T'!I$129:I$238)</f>
        <v>0</v>
      </c>
      <c r="J82" s="177" cm="1">
        <f t="array" ref="J82">SUMPRODUCT((H_Rate_Class=$B82)*'[5]Demand - T'!J$129:J$238)</f>
        <v>0</v>
      </c>
      <c r="K82" s="177" cm="1">
        <f t="array" ref="K82">SUMPRODUCT((H_Rate_Class=$B82)*'[5]Demand - T'!K$129:K$238)</f>
        <v>0</v>
      </c>
      <c r="L82" s="177" cm="1">
        <f t="array" ref="L82">SUMPRODUCT((H_Rate_Class=$B82)*'[5]Demand - T'!L$129:L$238)</f>
        <v>0</v>
      </c>
      <c r="M82" s="177" cm="1">
        <f t="array" ref="M82">SUMPRODUCT((H_Rate_Class=$B82)*'[5]Demand - T'!M$129:M$238)</f>
        <v>0</v>
      </c>
      <c r="N82" s="177" cm="1">
        <f t="array" ref="N82">SUMPRODUCT((H_Rate_Class=$B82)*'[5]Demand - T'!N$129:N$238)</f>
        <v>0</v>
      </c>
      <c r="O82" s="177" cm="1">
        <f t="array" ref="O82">SUMPRODUCT((H_Rate_Class=$B82)*'[5]Demand - T'!O$129:O$238)</f>
        <v>0</v>
      </c>
      <c r="P82" s="158">
        <f>SUM(D82:O82)</f>
        <v>0</v>
      </c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  <c r="AS82" s="89"/>
      <c r="AT82" s="89"/>
      <c r="AU82" s="89"/>
      <c r="AV82" s="89"/>
      <c r="AW82" s="89"/>
      <c r="AX82" s="89"/>
      <c r="AY82" s="89"/>
      <c r="AZ82" s="89"/>
      <c r="BA82" s="89"/>
      <c r="BB82" s="89"/>
      <c r="BC82" s="89"/>
      <c r="BD82" s="89"/>
      <c r="BE82" s="89"/>
      <c r="BF82" s="89"/>
      <c r="BG82" s="89"/>
      <c r="BH82" s="89"/>
      <c r="BI82" s="89"/>
      <c r="BJ82" s="89"/>
      <c r="BK82" s="89"/>
      <c r="BL82" s="89"/>
      <c r="BM82" s="89"/>
      <c r="BN82" s="89"/>
      <c r="BO82" s="89"/>
      <c r="BP82" s="89"/>
      <c r="BQ82" s="89"/>
      <c r="BR82" s="89"/>
      <c r="BS82" s="89"/>
      <c r="BT82" s="89"/>
      <c r="BU82" s="89"/>
      <c r="BV82" s="89"/>
      <c r="BW82" s="89"/>
      <c r="BX82" s="89"/>
      <c r="BY82" s="89"/>
      <c r="BZ82" s="89"/>
      <c r="CA82" s="89"/>
      <c r="CB82" s="89"/>
      <c r="CC82" s="89"/>
      <c r="CD82" s="89"/>
      <c r="CE82" s="89"/>
      <c r="CF82" s="89"/>
      <c r="CG82" s="89"/>
      <c r="CH82" s="89"/>
      <c r="CI82" s="89"/>
      <c r="CJ82" s="89"/>
      <c r="CK82" s="89"/>
      <c r="CL82" s="89"/>
      <c r="CM82" s="89"/>
      <c r="CN82" s="89"/>
      <c r="CO82" s="89"/>
      <c r="CP82" s="89"/>
      <c r="CQ82" s="89"/>
      <c r="CR82" s="89"/>
      <c r="CS82" s="89"/>
      <c r="CT82" s="89"/>
      <c r="CU82" s="89"/>
      <c r="CV82" s="89"/>
      <c r="CW82" s="89"/>
      <c r="CX82" s="89"/>
      <c r="CY82" s="89"/>
      <c r="CZ82" s="89"/>
      <c r="DA82" s="89"/>
      <c r="DB82" s="89"/>
      <c r="DC82" s="89"/>
      <c r="DD82" s="89"/>
      <c r="DE82" s="89"/>
      <c r="DF82" s="89"/>
      <c r="DG82" s="89"/>
      <c r="DH82" s="89"/>
      <c r="DI82" s="89"/>
      <c r="DJ82" s="89"/>
      <c r="DK82" s="89"/>
      <c r="DL82" s="89"/>
      <c r="DM82" s="89"/>
      <c r="DN82" s="89"/>
      <c r="DO82" s="89"/>
      <c r="DP82" s="89"/>
      <c r="DQ82" s="89"/>
      <c r="DR82" s="89"/>
      <c r="DS82" s="89"/>
      <c r="DT82" s="89"/>
      <c r="DU82" s="89"/>
      <c r="DV82" s="89"/>
      <c r="DW82" s="89"/>
      <c r="DX82" s="89"/>
      <c r="DY82" s="89"/>
      <c r="DZ82" s="89"/>
      <c r="EA82" s="89"/>
      <c r="EB82" s="89"/>
      <c r="EC82" s="89"/>
      <c r="ED82" s="89"/>
      <c r="EE82" s="89"/>
      <c r="EF82" s="89"/>
      <c r="EG82" s="89"/>
      <c r="EH82" s="89"/>
      <c r="EI82" s="89"/>
      <c r="EJ82" s="89"/>
      <c r="EK82" s="89"/>
      <c r="EL82" s="89"/>
      <c r="EM82" s="89"/>
      <c r="EN82" s="89"/>
    </row>
    <row r="83" spans="1:144" s="87" customFormat="1" ht="11.25">
      <c r="A83" s="386"/>
      <c r="C83" s="99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5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9"/>
      <c r="AT83" s="89"/>
      <c r="AU83" s="89"/>
      <c r="AV83" s="89"/>
      <c r="AW83" s="89"/>
      <c r="AX83" s="89"/>
      <c r="AY83" s="89"/>
      <c r="AZ83" s="89"/>
      <c r="BA83" s="89"/>
      <c r="BB83" s="89"/>
      <c r="BC83" s="89"/>
      <c r="BD83" s="89"/>
      <c r="BE83" s="89"/>
      <c r="BF83" s="89"/>
      <c r="BG83" s="89"/>
      <c r="BH83" s="89"/>
      <c r="BI83" s="89"/>
      <c r="BJ83" s="89"/>
      <c r="BK83" s="89"/>
      <c r="BL83" s="89"/>
      <c r="BM83" s="89"/>
      <c r="BN83" s="89"/>
      <c r="BO83" s="89"/>
      <c r="BP83" s="89"/>
      <c r="BQ83" s="89"/>
      <c r="BR83" s="89"/>
      <c r="BS83" s="89"/>
      <c r="BT83" s="89"/>
      <c r="BU83" s="89"/>
      <c r="BV83" s="89"/>
      <c r="BW83" s="89"/>
      <c r="BX83" s="89"/>
      <c r="BY83" s="89"/>
      <c r="BZ83" s="89"/>
      <c r="CA83" s="89"/>
      <c r="CB83" s="89"/>
      <c r="CC83" s="89"/>
      <c r="CD83" s="89"/>
      <c r="CE83" s="89"/>
      <c r="CF83" s="89"/>
      <c r="CG83" s="89"/>
      <c r="CH83" s="89"/>
      <c r="CI83" s="89"/>
      <c r="CJ83" s="89"/>
      <c r="CK83" s="89"/>
      <c r="CL83" s="89"/>
      <c r="CM83" s="89"/>
      <c r="CN83" s="89"/>
      <c r="CO83" s="89"/>
      <c r="CP83" s="89"/>
      <c r="CQ83" s="89"/>
      <c r="CR83" s="89"/>
      <c r="CS83" s="89"/>
      <c r="CT83" s="89"/>
      <c r="CU83" s="89"/>
      <c r="CV83" s="89"/>
      <c r="CW83" s="89"/>
      <c r="CX83" s="89"/>
      <c r="CY83" s="89"/>
      <c r="CZ83" s="89"/>
      <c r="DA83" s="89"/>
      <c r="DB83" s="89"/>
      <c r="DC83" s="89"/>
      <c r="DD83" s="89"/>
      <c r="DE83" s="89"/>
      <c r="DF83" s="89"/>
      <c r="DG83" s="89"/>
      <c r="DH83" s="89"/>
      <c r="DI83" s="89"/>
      <c r="DJ83" s="89"/>
      <c r="DK83" s="89"/>
      <c r="DL83" s="89"/>
      <c r="DM83" s="89"/>
      <c r="DN83" s="89"/>
      <c r="DO83" s="89"/>
      <c r="DP83" s="89"/>
      <c r="DQ83" s="89"/>
      <c r="DR83" s="89"/>
      <c r="DS83" s="89"/>
      <c r="DT83" s="89"/>
      <c r="DU83" s="89"/>
      <c r="DV83" s="89"/>
      <c r="DW83" s="89"/>
      <c r="DX83" s="89"/>
      <c r="DY83" s="89"/>
      <c r="DZ83" s="89"/>
      <c r="EA83" s="89"/>
      <c r="EB83" s="89"/>
      <c r="EC83" s="89"/>
      <c r="ED83" s="89"/>
      <c r="EE83" s="89"/>
      <c r="EF83" s="89"/>
      <c r="EG83" s="89"/>
      <c r="EH83" s="89"/>
      <c r="EI83" s="89"/>
      <c r="EJ83" s="89"/>
      <c r="EK83" s="89"/>
      <c r="EL83" s="89"/>
      <c r="EM83" s="89"/>
      <c r="EN83" s="89"/>
    </row>
    <row r="84" spans="1:144" s="87" customFormat="1" ht="11.25">
      <c r="A84" s="386">
        <v>3</v>
      </c>
      <c r="B84" s="87" t="s">
        <v>81</v>
      </c>
      <c r="C84" s="157" t="s">
        <v>4</v>
      </c>
      <c r="D84" s="390" cm="1">
        <f t="array" ref="D84">SUMPRODUCT((H_Rate_Class=$B84)*'[5]Demand - T'!D$129:D$238)</f>
        <v>44471.22031254899</v>
      </c>
      <c r="E84" s="390" cm="1">
        <f t="array" ref="E84">SUMPRODUCT((H_Rate_Class=$B84)*'[5]Demand - T'!E$129:E$238)</f>
        <v>49079.089441221033</v>
      </c>
      <c r="F84" s="390" cm="1">
        <f t="array" ref="F84">SUMPRODUCT((H_Rate_Class=$B84)*'[5]Demand - T'!F$129:F$238)</f>
        <v>46492.520330167979</v>
      </c>
      <c r="G84" s="390" cm="1">
        <f t="array" ref="G84">SUMPRODUCT((H_Rate_Class=$B84)*'[5]Demand - T'!G$129:G$238)</f>
        <v>10272.130378253984</v>
      </c>
      <c r="H84" s="390" cm="1">
        <f t="array" ref="H84">SUMPRODUCT((H_Rate_Class=$B84)*'[5]Demand - T'!H$129:H$238)</f>
        <v>-6254.9782059661866</v>
      </c>
      <c r="I84" s="390" cm="1">
        <f t="array" ref="I84">SUMPRODUCT((H_Rate_Class=$B84)*'[5]Demand - T'!I$129:I$238)</f>
        <v>-7251.0514194151019</v>
      </c>
      <c r="J84" s="390" cm="1">
        <f t="array" ref="J84">SUMPRODUCT((H_Rate_Class=$B84)*'[5]Demand - T'!J$129:J$238)</f>
        <v>10584.902866696764</v>
      </c>
      <c r="K84" s="390" cm="1">
        <f t="array" ref="K84">SUMPRODUCT((H_Rate_Class=$B84)*'[5]Demand - T'!K$129:K$238)</f>
        <v>8456.9738944285109</v>
      </c>
      <c r="L84" s="390" cm="1">
        <f t="array" ref="L84">SUMPRODUCT((H_Rate_Class=$B84)*'[5]Demand - T'!L$129:L$238)</f>
        <v>5306.3078621316881</v>
      </c>
      <c r="M84" s="390" cm="1">
        <f t="array" ref="M84">SUMPRODUCT((H_Rate_Class=$B84)*'[5]Demand - T'!M$129:M$238)</f>
        <v>2950.1725673287847</v>
      </c>
      <c r="N84" s="390" cm="1">
        <f t="array" ref="N84">SUMPRODUCT((H_Rate_Class=$B84)*'[5]Demand - T'!N$129:N$238)</f>
        <v>-3925.5369543821744</v>
      </c>
      <c r="O84" s="390" cm="1">
        <f t="array" ref="O84">SUMPRODUCT((H_Rate_Class=$B84)*'[5]Demand - T'!O$129:O$238)</f>
        <v>0</v>
      </c>
      <c r="P84" s="158">
        <f t="shared" ref="P84:P85" si="14">SUM(D84:O84)</f>
        <v>160181.75107301428</v>
      </c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O84" s="89"/>
      <c r="AP84" s="89"/>
      <c r="AQ84" s="89"/>
      <c r="AR84" s="89"/>
      <c r="AS84" s="89"/>
      <c r="AT84" s="89"/>
      <c r="AU84" s="89"/>
      <c r="AV84" s="89"/>
      <c r="AW84" s="89"/>
      <c r="AX84" s="89"/>
      <c r="AY84" s="89"/>
      <c r="AZ84" s="89"/>
      <c r="BA84" s="89"/>
      <c r="BB84" s="89"/>
      <c r="BC84" s="89"/>
      <c r="BD84" s="89"/>
      <c r="BE84" s="89"/>
      <c r="BF84" s="89"/>
      <c r="BG84" s="89"/>
      <c r="BH84" s="89"/>
      <c r="BI84" s="89"/>
      <c r="BJ84" s="89"/>
      <c r="BK84" s="89"/>
      <c r="BL84" s="89"/>
      <c r="BM84" s="89"/>
      <c r="BN84" s="89"/>
      <c r="BO84" s="89"/>
      <c r="BP84" s="89"/>
      <c r="BQ84" s="89"/>
      <c r="BR84" s="89"/>
      <c r="BS84" s="89"/>
      <c r="BT84" s="89"/>
      <c r="BU84" s="89"/>
      <c r="BV84" s="89"/>
      <c r="BW84" s="89"/>
      <c r="BX84" s="89"/>
      <c r="BY84" s="89"/>
      <c r="BZ84" s="89"/>
      <c r="CA84" s="89"/>
      <c r="CB84" s="89"/>
      <c r="CC84" s="89"/>
      <c r="CD84" s="89"/>
      <c r="CE84" s="89"/>
      <c r="CF84" s="89"/>
      <c r="CG84" s="89"/>
      <c r="CH84" s="89"/>
      <c r="CI84" s="89"/>
      <c r="CJ84" s="89"/>
      <c r="CK84" s="89"/>
      <c r="CL84" s="89"/>
      <c r="CM84" s="89"/>
      <c r="CN84" s="89"/>
      <c r="CO84" s="89"/>
      <c r="CP84" s="89"/>
      <c r="CQ84" s="89"/>
      <c r="CR84" s="89"/>
      <c r="CS84" s="89"/>
      <c r="CT84" s="89"/>
      <c r="CU84" s="89"/>
      <c r="CV84" s="89"/>
      <c r="CW84" s="89"/>
      <c r="CX84" s="89"/>
      <c r="CY84" s="89"/>
      <c r="CZ84" s="89"/>
      <c r="DA84" s="89"/>
      <c r="DB84" s="89"/>
      <c r="DC84" s="89"/>
      <c r="DD84" s="89"/>
      <c r="DE84" s="89"/>
      <c r="DF84" s="89"/>
      <c r="DG84" s="89"/>
      <c r="DH84" s="89"/>
      <c r="DI84" s="89"/>
      <c r="DJ84" s="89"/>
      <c r="DK84" s="89"/>
      <c r="DL84" s="89"/>
      <c r="DM84" s="89"/>
      <c r="DN84" s="89"/>
      <c r="DO84" s="89"/>
      <c r="DP84" s="89"/>
      <c r="DQ84" s="89"/>
      <c r="DR84" s="89"/>
      <c r="DS84" s="89"/>
      <c r="DT84" s="89"/>
      <c r="DU84" s="89"/>
      <c r="DV84" s="89"/>
      <c r="DW84" s="89"/>
      <c r="DX84" s="89"/>
      <c r="DY84" s="89"/>
      <c r="DZ84" s="89"/>
      <c r="EA84" s="89"/>
      <c r="EB84" s="89"/>
      <c r="EC84" s="89"/>
      <c r="ED84" s="89"/>
      <c r="EE84" s="89"/>
      <c r="EF84" s="89"/>
      <c r="EG84" s="89"/>
      <c r="EH84" s="89"/>
      <c r="EI84" s="89"/>
      <c r="EJ84" s="89"/>
      <c r="EK84" s="89"/>
      <c r="EL84" s="89"/>
      <c r="EM84" s="89"/>
      <c r="EN84" s="89"/>
    </row>
    <row r="85" spans="1:144" s="87" customFormat="1" ht="11.25">
      <c r="A85" s="386">
        <v>4</v>
      </c>
      <c r="B85" s="87" t="s">
        <v>85</v>
      </c>
      <c r="C85" s="157" t="s">
        <v>4</v>
      </c>
      <c r="D85" s="388" cm="1">
        <f t="array" ref="D85">SUMPRODUCT((H_Rate_Class=$B85)*'[5]Demand - T'!D$129:D$238)</f>
        <v>5746.4265258563528</v>
      </c>
      <c r="E85" s="388" cm="1">
        <f t="array" ref="E85">SUMPRODUCT((H_Rate_Class=$B85)*'[5]Demand - T'!E$129:E$238)</f>
        <v>3890.1484739457551</v>
      </c>
      <c r="F85" s="388" cm="1">
        <f t="array" ref="F85">SUMPRODUCT((H_Rate_Class=$B85)*'[5]Demand - T'!F$129:F$238)</f>
        <v>3306.7225771901931</v>
      </c>
      <c r="G85" s="388" cm="1">
        <f t="array" ref="G85">SUMPRODUCT((H_Rate_Class=$B85)*'[5]Demand - T'!G$129:G$238)</f>
        <v>3686.6159859918248</v>
      </c>
      <c r="H85" s="388" cm="1">
        <f t="array" ref="H85">SUMPRODUCT((H_Rate_Class=$B85)*'[5]Demand - T'!H$129:H$238)</f>
        <v>2429.3918027057302</v>
      </c>
      <c r="I85" s="388" cm="1">
        <f t="array" ref="I85">SUMPRODUCT((H_Rate_Class=$B85)*'[5]Demand - T'!I$129:I$238)</f>
        <v>1927.065441835035</v>
      </c>
      <c r="J85" s="388" cm="1">
        <f t="array" ref="J85">SUMPRODUCT((H_Rate_Class=$B85)*'[5]Demand - T'!J$129:J$238)</f>
        <v>1418.8247166600022</v>
      </c>
      <c r="K85" s="388" cm="1">
        <f t="array" ref="K85">SUMPRODUCT((H_Rate_Class=$B85)*'[5]Demand - T'!K$129:K$238)</f>
        <v>156.47649221762998</v>
      </c>
      <c r="L85" s="388" cm="1">
        <f t="array" ref="L85">SUMPRODUCT((H_Rate_Class=$B85)*'[5]Demand - T'!L$129:L$238)</f>
        <v>-876.84855699856166</v>
      </c>
      <c r="M85" s="388" cm="1">
        <f t="array" ref="M85">SUMPRODUCT((H_Rate_Class=$B85)*'[5]Demand - T'!M$129:M$238)</f>
        <v>-641.1866666666715</v>
      </c>
      <c r="N85" s="388" cm="1">
        <f t="array" ref="N85">SUMPRODUCT((H_Rate_Class=$B85)*'[5]Demand - T'!N$129:N$238)</f>
        <v>-1996.4116305407229</v>
      </c>
      <c r="O85" s="388" cm="1">
        <f t="array" ref="O85">SUMPRODUCT((H_Rate_Class=$B85)*'[5]Demand - T'!O$129:O$238)</f>
        <v>0</v>
      </c>
      <c r="P85" s="425">
        <f t="shared" si="14"/>
        <v>19047.225162196566</v>
      </c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9"/>
      <c r="BF85" s="89"/>
      <c r="BG85" s="89"/>
      <c r="BH85" s="89"/>
      <c r="BI85" s="89"/>
      <c r="BJ85" s="89"/>
      <c r="BK85" s="89"/>
      <c r="BL85" s="89"/>
      <c r="BM85" s="89"/>
      <c r="BN85" s="89"/>
      <c r="BO85" s="89"/>
      <c r="BP85" s="89"/>
      <c r="BQ85" s="89"/>
      <c r="BR85" s="89"/>
      <c r="BS85" s="89"/>
      <c r="BT85" s="89"/>
      <c r="BU85" s="89"/>
      <c r="BV85" s="89"/>
      <c r="BW85" s="89"/>
      <c r="BX85" s="89"/>
      <c r="BY85" s="89"/>
      <c r="BZ85" s="89"/>
      <c r="CA85" s="89"/>
      <c r="CB85" s="89"/>
      <c r="CC85" s="89"/>
      <c r="CD85" s="89"/>
      <c r="CE85" s="89"/>
      <c r="CF85" s="89"/>
      <c r="CG85" s="89"/>
      <c r="CH85" s="89"/>
      <c r="CI85" s="89"/>
      <c r="CJ85" s="89"/>
      <c r="CK85" s="89"/>
      <c r="CL85" s="89"/>
      <c r="CM85" s="89"/>
      <c r="CN85" s="89"/>
      <c r="CO85" s="89"/>
      <c r="CP85" s="89"/>
      <c r="CQ85" s="89"/>
      <c r="CR85" s="89"/>
      <c r="CS85" s="89"/>
      <c r="CT85" s="89"/>
      <c r="CU85" s="89"/>
      <c r="CV85" s="89"/>
      <c r="CW85" s="89"/>
      <c r="CX85" s="89"/>
      <c r="CY85" s="89"/>
      <c r="CZ85" s="89"/>
      <c r="DA85" s="89"/>
      <c r="DB85" s="89"/>
      <c r="DC85" s="89"/>
      <c r="DD85" s="89"/>
      <c r="DE85" s="89"/>
      <c r="DF85" s="89"/>
      <c r="DG85" s="89"/>
      <c r="DH85" s="89"/>
      <c r="DI85" s="89"/>
      <c r="DJ85" s="89"/>
      <c r="DK85" s="89"/>
      <c r="DL85" s="89"/>
      <c r="DM85" s="89"/>
      <c r="DN85" s="89"/>
      <c r="DO85" s="89"/>
      <c r="DP85" s="89"/>
      <c r="DQ85" s="89"/>
      <c r="DR85" s="89"/>
      <c r="DS85" s="89"/>
      <c r="DT85" s="89"/>
      <c r="DU85" s="89"/>
      <c r="DV85" s="89"/>
      <c r="DW85" s="89"/>
      <c r="DX85" s="89"/>
      <c r="DY85" s="89"/>
      <c r="DZ85" s="89"/>
      <c r="EA85" s="89"/>
      <c r="EB85" s="89"/>
      <c r="EC85" s="89"/>
      <c r="ED85" s="89"/>
      <c r="EE85" s="89"/>
      <c r="EF85" s="89"/>
      <c r="EG85" s="89"/>
      <c r="EH85" s="89"/>
      <c r="EI85" s="89"/>
      <c r="EJ85" s="89"/>
      <c r="EK85" s="89"/>
      <c r="EL85" s="89"/>
      <c r="EM85" s="89"/>
      <c r="EN85" s="89"/>
    </row>
    <row r="86" spans="1:144" s="87" customFormat="1" ht="11.25">
      <c r="A86" s="386">
        <v>5</v>
      </c>
      <c r="B86" s="131" t="s">
        <v>18</v>
      </c>
      <c r="C86" s="99"/>
      <c r="D86" s="177">
        <f t="shared" ref="D86:P86" si="15">SUM(D84:D85)</f>
        <v>50217.646838405344</v>
      </c>
      <c r="E86" s="177">
        <f t="shared" si="15"/>
        <v>52969.237915166785</v>
      </c>
      <c r="F86" s="177">
        <f t="shared" si="15"/>
        <v>49799.242907358173</v>
      </c>
      <c r="G86" s="177">
        <f t="shared" si="15"/>
        <v>13958.746364245808</v>
      </c>
      <c r="H86" s="177">
        <f t="shared" si="15"/>
        <v>-3825.5864032604563</v>
      </c>
      <c r="I86" s="177">
        <f t="shared" si="15"/>
        <v>-5323.9859775800669</v>
      </c>
      <c r="J86" s="177">
        <f t="shared" si="15"/>
        <v>12003.727583356766</v>
      </c>
      <c r="K86" s="177">
        <f t="shared" si="15"/>
        <v>8613.45038664614</v>
      </c>
      <c r="L86" s="177">
        <f t="shared" si="15"/>
        <v>4429.4593051331267</v>
      </c>
      <c r="M86" s="177">
        <f t="shared" si="15"/>
        <v>2308.9859006621132</v>
      </c>
      <c r="N86" s="177">
        <f t="shared" si="15"/>
        <v>-5921.9485849228968</v>
      </c>
      <c r="O86" s="177">
        <f t="shared" si="15"/>
        <v>0</v>
      </c>
      <c r="P86" s="177">
        <f t="shared" si="15"/>
        <v>179228.97623521084</v>
      </c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  <c r="AP86" s="89"/>
      <c r="AQ86" s="89"/>
      <c r="AR86" s="89"/>
      <c r="AS86" s="89"/>
      <c r="AT86" s="89"/>
      <c r="AU86" s="89"/>
      <c r="AV86" s="89"/>
      <c r="AW86" s="89"/>
      <c r="AX86" s="89"/>
      <c r="AY86" s="89"/>
      <c r="AZ86" s="89"/>
      <c r="BA86" s="89"/>
      <c r="BB86" s="89"/>
      <c r="BC86" s="89"/>
      <c r="BD86" s="89"/>
      <c r="BE86" s="89"/>
      <c r="BF86" s="89"/>
      <c r="BG86" s="89"/>
      <c r="BH86" s="89"/>
      <c r="BI86" s="89"/>
      <c r="BJ86" s="89"/>
      <c r="BK86" s="89"/>
      <c r="BL86" s="89"/>
      <c r="BM86" s="89"/>
      <c r="BN86" s="89"/>
      <c r="BO86" s="89"/>
      <c r="BP86" s="89"/>
      <c r="BQ86" s="89"/>
      <c r="BR86" s="89"/>
      <c r="BS86" s="89"/>
      <c r="BT86" s="89"/>
      <c r="BU86" s="89"/>
      <c r="BV86" s="89"/>
      <c r="BW86" s="89"/>
      <c r="BX86" s="89"/>
      <c r="BY86" s="89"/>
      <c r="BZ86" s="89"/>
      <c r="CA86" s="89"/>
      <c r="CB86" s="89"/>
      <c r="CC86" s="89"/>
      <c r="CD86" s="89"/>
      <c r="CE86" s="89"/>
      <c r="CF86" s="89"/>
      <c r="CG86" s="89"/>
      <c r="CH86" s="89"/>
      <c r="CI86" s="89"/>
      <c r="CJ86" s="89"/>
      <c r="CK86" s="89"/>
      <c r="CL86" s="89"/>
      <c r="CM86" s="89"/>
      <c r="CN86" s="89"/>
      <c r="CO86" s="89"/>
      <c r="CP86" s="89"/>
      <c r="CQ86" s="89"/>
      <c r="CR86" s="89"/>
      <c r="CS86" s="89"/>
      <c r="CT86" s="89"/>
      <c r="CU86" s="89"/>
      <c r="CV86" s="89"/>
      <c r="CW86" s="89"/>
      <c r="CX86" s="89"/>
      <c r="CY86" s="89"/>
      <c r="CZ86" s="89"/>
      <c r="DA86" s="89"/>
      <c r="DB86" s="89"/>
      <c r="DC86" s="89"/>
      <c r="DD86" s="89"/>
      <c r="DE86" s="89"/>
      <c r="DF86" s="89"/>
      <c r="DG86" s="89"/>
      <c r="DH86" s="89"/>
      <c r="DI86" s="89"/>
      <c r="DJ86" s="89"/>
      <c r="DK86" s="89"/>
      <c r="DL86" s="89"/>
      <c r="DM86" s="89"/>
      <c r="DN86" s="89"/>
      <c r="DO86" s="89"/>
      <c r="DP86" s="89"/>
      <c r="DQ86" s="89"/>
      <c r="DR86" s="89"/>
      <c r="DS86" s="89"/>
      <c r="DT86" s="89"/>
      <c r="DU86" s="89"/>
      <c r="DV86" s="89"/>
      <c r="DW86" s="89"/>
      <c r="DX86" s="89"/>
      <c r="DY86" s="89"/>
      <c r="DZ86" s="89"/>
      <c r="EA86" s="89"/>
      <c r="EB86" s="89"/>
      <c r="EC86" s="89"/>
      <c r="ED86" s="89"/>
      <c r="EE86" s="89"/>
      <c r="EF86" s="89"/>
      <c r="EG86" s="89"/>
      <c r="EH86" s="89"/>
      <c r="EI86" s="89"/>
      <c r="EJ86" s="89"/>
      <c r="EK86" s="89"/>
      <c r="EL86" s="89"/>
      <c r="EM86" s="89"/>
      <c r="EN86" s="89"/>
    </row>
    <row r="87" spans="1:144" s="87" customFormat="1" ht="11.25">
      <c r="A87" s="4"/>
      <c r="B87" s="147"/>
      <c r="C87" s="99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7"/>
      <c r="O87" s="177"/>
      <c r="P87" s="158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  <c r="AP87" s="89"/>
      <c r="AQ87" s="89"/>
      <c r="AR87" s="89"/>
      <c r="AS87" s="89"/>
      <c r="AT87" s="89"/>
      <c r="AU87" s="89"/>
      <c r="AV87" s="89"/>
      <c r="AW87" s="89"/>
      <c r="AX87" s="89"/>
      <c r="AY87" s="89"/>
      <c r="AZ87" s="89"/>
      <c r="BA87" s="89"/>
      <c r="BB87" s="89"/>
      <c r="BC87" s="89"/>
      <c r="BD87" s="89"/>
      <c r="BE87" s="89"/>
      <c r="BF87" s="89"/>
      <c r="BG87" s="89"/>
      <c r="BH87" s="89"/>
      <c r="BI87" s="89"/>
      <c r="BJ87" s="89"/>
      <c r="BK87" s="89"/>
      <c r="BL87" s="89"/>
      <c r="BM87" s="89"/>
      <c r="BN87" s="89"/>
      <c r="BO87" s="89"/>
      <c r="BP87" s="89"/>
      <c r="BQ87" s="89"/>
      <c r="BR87" s="89"/>
      <c r="BS87" s="89"/>
      <c r="BT87" s="89"/>
      <c r="BU87" s="89"/>
      <c r="BV87" s="89"/>
      <c r="BW87" s="89"/>
      <c r="BX87" s="89"/>
      <c r="BY87" s="89"/>
      <c r="BZ87" s="89"/>
      <c r="CA87" s="89"/>
      <c r="CB87" s="89"/>
      <c r="CC87" s="89"/>
      <c r="CD87" s="89"/>
      <c r="CE87" s="89"/>
      <c r="CF87" s="89"/>
      <c r="CG87" s="89"/>
      <c r="CH87" s="89"/>
      <c r="CI87" s="89"/>
      <c r="CJ87" s="89"/>
      <c r="CK87" s="89"/>
      <c r="CL87" s="89"/>
      <c r="CM87" s="89"/>
      <c r="CN87" s="89"/>
      <c r="CO87" s="89"/>
      <c r="CP87" s="89"/>
      <c r="CQ87" s="89"/>
      <c r="CR87" s="89"/>
      <c r="CS87" s="89"/>
      <c r="CT87" s="89"/>
      <c r="CU87" s="89"/>
      <c r="CV87" s="89"/>
      <c r="CW87" s="89"/>
      <c r="CX87" s="89"/>
      <c r="CY87" s="89"/>
      <c r="CZ87" s="89"/>
      <c r="DA87" s="89"/>
      <c r="DB87" s="89"/>
      <c r="DC87" s="89"/>
      <c r="DD87" s="89"/>
      <c r="DE87" s="89"/>
      <c r="DF87" s="89"/>
      <c r="DG87" s="89"/>
      <c r="DH87" s="89"/>
      <c r="DI87" s="89"/>
      <c r="DJ87" s="89"/>
      <c r="DK87" s="89"/>
      <c r="DL87" s="89"/>
      <c r="DM87" s="89"/>
      <c r="DN87" s="89"/>
      <c r="DO87" s="89"/>
      <c r="DP87" s="89"/>
      <c r="DQ87" s="89"/>
      <c r="DR87" s="89"/>
      <c r="DS87" s="89"/>
      <c r="DT87" s="89"/>
      <c r="DU87" s="89"/>
      <c r="DV87" s="89"/>
      <c r="DW87" s="89"/>
      <c r="DX87" s="89"/>
      <c r="DY87" s="89"/>
      <c r="DZ87" s="89"/>
      <c r="EA87" s="89"/>
      <c r="EB87" s="89"/>
      <c r="EC87" s="89"/>
      <c r="ED87" s="89"/>
      <c r="EE87" s="89"/>
      <c r="EF87" s="89"/>
      <c r="EG87" s="89"/>
      <c r="EH87" s="89"/>
      <c r="EI87" s="89"/>
      <c r="EJ87" s="89"/>
      <c r="EK87" s="89"/>
      <c r="EL87" s="89"/>
      <c r="EM87" s="89"/>
      <c r="EN87" s="89"/>
    </row>
    <row r="88" spans="1:144" s="87" customFormat="1" ht="11.25">
      <c r="A88" s="386">
        <v>6</v>
      </c>
      <c r="B88" s="87" t="s">
        <v>82</v>
      </c>
      <c r="C88" s="157" t="s">
        <v>5</v>
      </c>
      <c r="D88" s="390" cm="1">
        <f t="array" ref="D88">SUMPRODUCT((H_Rate_Class=$B88)*'[5]Demand - T'!D$129:D$238)</f>
        <v>-121.3546788990854</v>
      </c>
      <c r="E88" s="390" cm="1">
        <f t="array" ref="E88">SUMPRODUCT((H_Rate_Class=$B88)*'[5]Demand - T'!E$129:E$238)</f>
        <v>-117.42238532110377</v>
      </c>
      <c r="F88" s="390" cm="1">
        <f t="array" ref="F88">SUMPRODUCT((H_Rate_Class=$B88)*'[5]Demand - T'!F$129:F$238)</f>
        <v>-111.696493374111</v>
      </c>
      <c r="G88" s="390" cm="1">
        <f t="array" ref="G88">SUMPRODUCT((H_Rate_Class=$B88)*'[5]Demand - T'!G$129:G$238)</f>
        <v>-148.50373088685305</v>
      </c>
      <c r="H88" s="390" cm="1">
        <f t="array" ref="H88">SUMPRODUCT((H_Rate_Class=$B88)*'[5]Demand - T'!H$129:H$238)</f>
        <v>-98.030759803922365</v>
      </c>
      <c r="I88" s="390" cm="1">
        <f t="array" ref="I88">SUMPRODUCT((H_Rate_Class=$B88)*'[5]Demand - T'!I$129:I$238)</f>
        <v>196.0595588235287</v>
      </c>
      <c r="J88" s="390" cm="1">
        <f t="array" ref="J88">SUMPRODUCT((H_Rate_Class=$B88)*'[5]Demand - T'!J$129:J$238)</f>
        <v>0</v>
      </c>
      <c r="K88" s="390" cm="1">
        <f t="array" ref="K88">SUMPRODUCT((H_Rate_Class=$B88)*'[5]Demand - T'!K$129:K$238)</f>
        <v>-202.49051094890794</v>
      </c>
      <c r="L88" s="390" cm="1">
        <f t="array" ref="L88">SUMPRODUCT((H_Rate_Class=$B88)*'[5]Demand - T'!L$129:L$238)</f>
        <v>-295.79125683060141</v>
      </c>
      <c r="M88" s="390" cm="1">
        <f t="array" ref="M88">SUMPRODUCT((H_Rate_Class=$B88)*'[5]Demand - T'!M$129:M$238)</f>
        <v>-328.64808743169436</v>
      </c>
      <c r="N88" s="390" cm="1">
        <f t="array" ref="N88">SUMPRODUCT((H_Rate_Class=$B88)*'[5]Demand - T'!N$129:N$238)</f>
        <v>99.941100917428173</v>
      </c>
      <c r="O88" s="390" cm="1">
        <f t="array" ref="O88">SUMPRODUCT((H_Rate_Class=$B88)*'[5]Demand - T'!O$129:O$238)</f>
        <v>0</v>
      </c>
      <c r="P88" s="158">
        <f t="shared" ref="P88:P91" si="16">SUM(D88:O88)</f>
        <v>-1127.9372437553225</v>
      </c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89"/>
      <c r="AO88" s="89"/>
      <c r="AP88" s="89"/>
      <c r="AQ88" s="89"/>
      <c r="AR88" s="89"/>
      <c r="AS88" s="89"/>
      <c r="AT88" s="89"/>
      <c r="AU88" s="89"/>
      <c r="AV88" s="89"/>
      <c r="AW88" s="89"/>
      <c r="AX88" s="89"/>
      <c r="AY88" s="89"/>
      <c r="AZ88" s="89"/>
      <c r="BA88" s="89"/>
      <c r="BB88" s="89"/>
      <c r="BC88" s="89"/>
      <c r="BD88" s="89"/>
      <c r="BE88" s="89"/>
      <c r="BF88" s="89"/>
      <c r="BG88" s="89"/>
      <c r="BH88" s="89"/>
      <c r="BI88" s="89"/>
      <c r="BJ88" s="89"/>
      <c r="BK88" s="89"/>
      <c r="BL88" s="89"/>
      <c r="BM88" s="89"/>
      <c r="BN88" s="89"/>
      <c r="BO88" s="89"/>
      <c r="BP88" s="89"/>
      <c r="BQ88" s="89"/>
      <c r="BR88" s="89"/>
      <c r="BS88" s="89"/>
      <c r="BT88" s="89"/>
      <c r="BU88" s="89"/>
      <c r="BV88" s="89"/>
      <c r="BW88" s="89"/>
      <c r="BX88" s="89"/>
      <c r="BY88" s="89"/>
      <c r="BZ88" s="89"/>
      <c r="CA88" s="89"/>
      <c r="CB88" s="89"/>
      <c r="CC88" s="89"/>
      <c r="CD88" s="89"/>
      <c r="CE88" s="89"/>
      <c r="CF88" s="89"/>
      <c r="CG88" s="89"/>
      <c r="CH88" s="89"/>
      <c r="CI88" s="89"/>
      <c r="CJ88" s="89"/>
      <c r="CK88" s="89"/>
      <c r="CL88" s="89"/>
      <c r="CM88" s="89"/>
      <c r="CN88" s="89"/>
      <c r="CO88" s="89"/>
      <c r="CP88" s="89"/>
      <c r="CQ88" s="89"/>
      <c r="CR88" s="89"/>
      <c r="CS88" s="89"/>
      <c r="CT88" s="89"/>
      <c r="CU88" s="89"/>
      <c r="CV88" s="89"/>
      <c r="CW88" s="89"/>
      <c r="CX88" s="89"/>
      <c r="CY88" s="89"/>
      <c r="CZ88" s="89"/>
      <c r="DA88" s="89"/>
      <c r="DB88" s="89"/>
      <c r="DC88" s="89"/>
      <c r="DD88" s="89"/>
      <c r="DE88" s="89"/>
      <c r="DF88" s="89"/>
      <c r="DG88" s="89"/>
      <c r="DH88" s="89"/>
      <c r="DI88" s="89"/>
      <c r="DJ88" s="89"/>
      <c r="DK88" s="89"/>
      <c r="DL88" s="89"/>
      <c r="DM88" s="89"/>
      <c r="DN88" s="89"/>
      <c r="DO88" s="89"/>
      <c r="DP88" s="89"/>
      <c r="DQ88" s="89"/>
      <c r="DR88" s="89"/>
      <c r="DS88" s="89"/>
      <c r="DT88" s="89"/>
      <c r="DU88" s="89"/>
      <c r="DV88" s="89"/>
      <c r="DW88" s="89"/>
      <c r="DX88" s="89"/>
      <c r="DY88" s="89"/>
      <c r="DZ88" s="89"/>
      <c r="EA88" s="89"/>
      <c r="EB88" s="89"/>
      <c r="EC88" s="89"/>
      <c r="ED88" s="89"/>
      <c r="EE88" s="89"/>
      <c r="EF88" s="89"/>
      <c r="EG88" s="89"/>
      <c r="EH88" s="89"/>
      <c r="EI88" s="89"/>
      <c r="EJ88" s="89"/>
      <c r="EK88" s="89"/>
      <c r="EL88" s="89"/>
      <c r="EM88" s="89"/>
      <c r="EN88" s="89"/>
    </row>
    <row r="89" spans="1:144" s="87" customFormat="1" ht="11.25">
      <c r="A89" s="386">
        <v>7</v>
      </c>
      <c r="B89" s="87" t="s">
        <v>83</v>
      </c>
      <c r="C89" s="157" t="s">
        <v>5</v>
      </c>
      <c r="D89" s="390" cm="1">
        <f t="array" ref="D89">SUMPRODUCT((H_Rate_Class=$B89)*'[5]Demand - T'!D$129:D$238)</f>
        <v>9947.65004149374</v>
      </c>
      <c r="E89" s="390" cm="1">
        <f t="array" ref="E89">SUMPRODUCT((H_Rate_Class=$B89)*'[5]Demand - T'!E$129:E$238)</f>
        <v>-714.18033944335309</v>
      </c>
      <c r="F89" s="390" cm="1">
        <f t="array" ref="F89">SUMPRODUCT((H_Rate_Class=$B89)*'[5]Demand - T'!F$129:F$238)</f>
        <v>-6692.1743775100585</v>
      </c>
      <c r="G89" s="390" cm="1">
        <f t="array" ref="G89">SUMPRODUCT((H_Rate_Class=$B89)*'[5]Demand - T'!G$129:G$238)</f>
        <v>-2940.89730094469</v>
      </c>
      <c r="H89" s="390" cm="1">
        <f t="array" ref="H89">SUMPRODUCT((H_Rate_Class=$B89)*'[5]Demand - T'!H$129:H$238)</f>
        <v>-11416.711420982727</v>
      </c>
      <c r="I89" s="390" cm="1">
        <f t="array" ref="I89">SUMPRODUCT((H_Rate_Class=$B89)*'[5]Demand - T'!I$129:I$238)</f>
        <v>-5031.8647849462322</v>
      </c>
      <c r="J89" s="390" cm="1">
        <f t="array" ref="J89">SUMPRODUCT((H_Rate_Class=$B89)*'[5]Demand - T'!J$129:J$238)</f>
        <v>-736.73333333333312</v>
      </c>
      <c r="K89" s="390" cm="1">
        <f t="array" ref="K89">SUMPRODUCT((H_Rate_Class=$B89)*'[5]Demand - T'!K$129:K$238)</f>
        <v>-16005.576021080342</v>
      </c>
      <c r="L89" s="390" cm="1">
        <f t="array" ref="L89">SUMPRODUCT((H_Rate_Class=$B89)*'[5]Demand - T'!L$129:L$238)</f>
        <v>-12121.670278329992</v>
      </c>
      <c r="M89" s="390" cm="1">
        <f t="array" ref="M89">SUMPRODUCT((H_Rate_Class=$B89)*'[5]Demand - T'!M$129:M$238)</f>
        <v>-4269.3758064516096</v>
      </c>
      <c r="N89" s="390" cm="1">
        <f t="array" ref="N89">SUMPRODUCT((H_Rate_Class=$B89)*'[5]Demand - T'!N$129:N$238)</f>
        <v>-16693.870866141762</v>
      </c>
      <c r="O89" s="390" cm="1">
        <f t="array" ref="O89">SUMPRODUCT((H_Rate_Class=$B89)*'[5]Demand - T'!O$129:O$238)</f>
        <v>0</v>
      </c>
      <c r="P89" s="158">
        <f t="shared" si="16"/>
        <v>-66675.404487670356</v>
      </c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  <c r="AP89" s="89"/>
      <c r="AQ89" s="89"/>
      <c r="AR89" s="89"/>
      <c r="AS89" s="89"/>
      <c r="AT89" s="89"/>
      <c r="AU89" s="89"/>
      <c r="AV89" s="89"/>
      <c r="AW89" s="89"/>
      <c r="AX89" s="89"/>
      <c r="AY89" s="89"/>
      <c r="AZ89" s="89"/>
      <c r="BA89" s="89"/>
      <c r="BB89" s="89"/>
      <c r="BC89" s="89"/>
      <c r="BD89" s="89"/>
      <c r="BE89" s="89"/>
      <c r="BF89" s="89"/>
      <c r="BG89" s="89"/>
      <c r="BH89" s="89"/>
      <c r="BI89" s="89"/>
      <c r="BJ89" s="89"/>
      <c r="BK89" s="89"/>
      <c r="BL89" s="89"/>
      <c r="BM89" s="89"/>
      <c r="BN89" s="89"/>
      <c r="BO89" s="89"/>
      <c r="BP89" s="89"/>
      <c r="BQ89" s="89"/>
      <c r="BR89" s="89"/>
      <c r="BS89" s="89"/>
      <c r="BT89" s="89"/>
      <c r="BU89" s="89"/>
      <c r="BV89" s="89"/>
      <c r="BW89" s="89"/>
      <c r="BX89" s="89"/>
      <c r="BY89" s="89"/>
      <c r="BZ89" s="89"/>
      <c r="CA89" s="89"/>
      <c r="CB89" s="89"/>
      <c r="CC89" s="89"/>
      <c r="CD89" s="89"/>
      <c r="CE89" s="89"/>
      <c r="CF89" s="89"/>
      <c r="CG89" s="89"/>
      <c r="CH89" s="89"/>
      <c r="CI89" s="89"/>
      <c r="CJ89" s="89"/>
      <c r="CK89" s="89"/>
      <c r="CL89" s="89"/>
      <c r="CM89" s="89"/>
      <c r="CN89" s="89"/>
      <c r="CO89" s="89"/>
      <c r="CP89" s="89"/>
      <c r="CQ89" s="89"/>
      <c r="CR89" s="89"/>
      <c r="CS89" s="89"/>
      <c r="CT89" s="89"/>
      <c r="CU89" s="89"/>
      <c r="CV89" s="89"/>
      <c r="CW89" s="89"/>
      <c r="CX89" s="89"/>
      <c r="CY89" s="89"/>
      <c r="CZ89" s="89"/>
      <c r="DA89" s="89"/>
      <c r="DB89" s="89"/>
      <c r="DC89" s="89"/>
      <c r="DD89" s="89"/>
      <c r="DE89" s="89"/>
      <c r="DF89" s="89"/>
      <c r="DG89" s="89"/>
      <c r="DH89" s="89"/>
      <c r="DI89" s="89"/>
      <c r="DJ89" s="89"/>
      <c r="DK89" s="89"/>
      <c r="DL89" s="89"/>
      <c r="DM89" s="89"/>
      <c r="DN89" s="89"/>
      <c r="DO89" s="89"/>
      <c r="DP89" s="89"/>
      <c r="DQ89" s="89"/>
      <c r="DR89" s="89"/>
      <c r="DS89" s="89"/>
      <c r="DT89" s="89"/>
      <c r="DU89" s="89"/>
      <c r="DV89" s="89"/>
      <c r="DW89" s="89"/>
      <c r="DX89" s="89"/>
      <c r="DY89" s="89"/>
      <c r="DZ89" s="89"/>
      <c r="EA89" s="89"/>
      <c r="EB89" s="89"/>
      <c r="EC89" s="89"/>
      <c r="ED89" s="89"/>
      <c r="EE89" s="89"/>
      <c r="EF89" s="89"/>
      <c r="EG89" s="89"/>
      <c r="EH89" s="89"/>
      <c r="EI89" s="89"/>
      <c r="EJ89" s="89"/>
      <c r="EK89" s="89"/>
      <c r="EL89" s="89"/>
      <c r="EM89" s="89"/>
      <c r="EN89" s="89"/>
    </row>
    <row r="90" spans="1:144" s="87" customFormat="1" ht="11.25">
      <c r="A90" s="386">
        <v>8</v>
      </c>
      <c r="B90" s="87" t="s">
        <v>148</v>
      </c>
      <c r="C90" s="157" t="s">
        <v>5</v>
      </c>
      <c r="D90" s="390" cm="1">
        <f t="array" ref="D90">SUMPRODUCT((H_Rate_Class=$B90)*'[5]Demand - T'!D$129:D$238)</f>
        <v>0</v>
      </c>
      <c r="E90" s="390" cm="1">
        <f t="array" ref="E90">SUMPRODUCT((H_Rate_Class=$B90)*'[5]Demand - T'!E$129:E$238)</f>
        <v>0</v>
      </c>
      <c r="F90" s="390" cm="1">
        <f t="array" ref="F90">SUMPRODUCT((H_Rate_Class=$B90)*'[5]Demand - T'!F$129:F$238)</f>
        <v>0</v>
      </c>
      <c r="G90" s="390" cm="1">
        <f t="array" ref="G90">SUMPRODUCT((H_Rate_Class=$B90)*'[5]Demand - T'!G$129:G$238)</f>
        <v>0</v>
      </c>
      <c r="H90" s="390" cm="1">
        <f t="array" ref="H90">SUMPRODUCT((H_Rate_Class=$B90)*'[5]Demand - T'!H$129:H$238)</f>
        <v>0</v>
      </c>
      <c r="I90" s="390" cm="1">
        <f t="array" ref="I90">SUMPRODUCT((H_Rate_Class=$B90)*'[5]Demand - T'!I$129:I$238)</f>
        <v>0</v>
      </c>
      <c r="J90" s="390" cm="1">
        <f t="array" ref="J90">SUMPRODUCT((H_Rate_Class=$B90)*'[5]Demand - T'!J$129:J$238)</f>
        <v>0</v>
      </c>
      <c r="K90" s="390" cm="1">
        <f t="array" ref="K90">SUMPRODUCT((H_Rate_Class=$B90)*'[5]Demand - T'!K$129:K$238)</f>
        <v>0</v>
      </c>
      <c r="L90" s="390" cm="1">
        <f t="array" ref="L90">SUMPRODUCT((H_Rate_Class=$B90)*'[5]Demand - T'!L$129:L$238)</f>
        <v>0</v>
      </c>
      <c r="M90" s="390" cm="1">
        <f t="array" ref="M90">SUMPRODUCT((H_Rate_Class=$B90)*'[5]Demand - T'!M$129:M$238)</f>
        <v>0</v>
      </c>
      <c r="N90" s="390" cm="1">
        <f t="array" ref="N90">SUMPRODUCT((H_Rate_Class=$B90)*'[5]Demand - T'!N$129:N$238)</f>
        <v>0</v>
      </c>
      <c r="O90" s="390" cm="1">
        <f t="array" ref="O90">SUMPRODUCT((H_Rate_Class=$B90)*'[5]Demand - T'!O$129:O$238)</f>
        <v>0</v>
      </c>
      <c r="P90" s="158">
        <f t="shared" si="16"/>
        <v>0</v>
      </c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  <c r="AP90" s="89"/>
      <c r="AQ90" s="89"/>
      <c r="AR90" s="89"/>
      <c r="AS90" s="89"/>
      <c r="AT90" s="89"/>
      <c r="AU90" s="89"/>
      <c r="AV90" s="89"/>
      <c r="AW90" s="89"/>
      <c r="AX90" s="89"/>
      <c r="AY90" s="89"/>
      <c r="AZ90" s="89"/>
      <c r="BA90" s="89"/>
      <c r="BB90" s="89"/>
      <c r="BC90" s="89"/>
      <c r="BD90" s="89"/>
      <c r="BE90" s="89"/>
      <c r="BF90" s="89"/>
      <c r="BG90" s="89"/>
      <c r="BH90" s="89"/>
      <c r="BI90" s="89"/>
      <c r="BJ90" s="89"/>
      <c r="BK90" s="89"/>
      <c r="BL90" s="89"/>
      <c r="BM90" s="89"/>
      <c r="BN90" s="89"/>
      <c r="BO90" s="89"/>
      <c r="BP90" s="89"/>
      <c r="BQ90" s="89"/>
      <c r="BR90" s="89"/>
      <c r="BS90" s="89"/>
      <c r="BT90" s="89"/>
      <c r="BU90" s="89"/>
      <c r="BV90" s="89"/>
      <c r="BW90" s="89"/>
      <c r="BX90" s="89"/>
      <c r="BY90" s="89"/>
      <c r="BZ90" s="89"/>
      <c r="CA90" s="89"/>
      <c r="CB90" s="89"/>
      <c r="CC90" s="89"/>
      <c r="CD90" s="89"/>
      <c r="CE90" s="89"/>
      <c r="CF90" s="89"/>
      <c r="CG90" s="89"/>
      <c r="CH90" s="89"/>
      <c r="CI90" s="89"/>
      <c r="CJ90" s="89"/>
      <c r="CK90" s="89"/>
      <c r="CL90" s="89"/>
      <c r="CM90" s="89"/>
      <c r="CN90" s="89"/>
      <c r="CO90" s="89"/>
      <c r="CP90" s="89"/>
      <c r="CQ90" s="89"/>
      <c r="CR90" s="89"/>
      <c r="CS90" s="89"/>
      <c r="CT90" s="89"/>
      <c r="CU90" s="89"/>
      <c r="CV90" s="89"/>
      <c r="CW90" s="89"/>
      <c r="CX90" s="89"/>
      <c r="CY90" s="89"/>
      <c r="CZ90" s="89"/>
      <c r="DA90" s="89"/>
      <c r="DB90" s="89"/>
      <c r="DC90" s="89"/>
      <c r="DD90" s="89"/>
      <c r="DE90" s="89"/>
      <c r="DF90" s="89"/>
      <c r="DG90" s="89"/>
      <c r="DH90" s="89"/>
      <c r="DI90" s="89"/>
      <c r="DJ90" s="89"/>
      <c r="DK90" s="89"/>
      <c r="DL90" s="89"/>
      <c r="DM90" s="89"/>
      <c r="DN90" s="89"/>
      <c r="DO90" s="89"/>
      <c r="DP90" s="89"/>
      <c r="DQ90" s="89"/>
      <c r="DR90" s="89"/>
      <c r="DS90" s="89"/>
      <c r="DT90" s="89"/>
      <c r="DU90" s="89"/>
      <c r="DV90" s="89"/>
      <c r="DW90" s="89"/>
      <c r="DX90" s="89"/>
      <c r="DY90" s="89"/>
      <c r="DZ90" s="89"/>
      <c r="EA90" s="89"/>
      <c r="EB90" s="89"/>
      <c r="EC90" s="89"/>
      <c r="ED90" s="89"/>
      <c r="EE90" s="89"/>
      <c r="EF90" s="89"/>
      <c r="EG90" s="89"/>
      <c r="EH90" s="89"/>
      <c r="EI90" s="89"/>
      <c r="EJ90" s="89"/>
      <c r="EK90" s="89"/>
      <c r="EL90" s="89"/>
      <c r="EM90" s="89"/>
      <c r="EN90" s="89"/>
    </row>
    <row r="91" spans="1:144" s="87" customFormat="1" ht="11.25">
      <c r="A91" s="386">
        <v>9</v>
      </c>
      <c r="B91" s="87" t="s">
        <v>149</v>
      </c>
      <c r="C91" s="157" t="s">
        <v>5</v>
      </c>
      <c r="D91" s="390" cm="1">
        <f t="array" ref="D91">SUMPRODUCT((H_Rate_Class=$B91)*'[5]Demand - T'!D$129:D$238)</f>
        <v>0</v>
      </c>
      <c r="E91" s="390" cm="1">
        <f t="array" ref="E91">SUMPRODUCT((H_Rate_Class=$B91)*'[5]Demand - T'!E$129:E$238)</f>
        <v>0</v>
      </c>
      <c r="F91" s="390" cm="1">
        <f t="array" ref="F91">SUMPRODUCT((H_Rate_Class=$B91)*'[5]Demand - T'!F$129:F$238)</f>
        <v>0</v>
      </c>
      <c r="G91" s="390" cm="1">
        <f t="array" ref="G91">SUMPRODUCT((H_Rate_Class=$B91)*'[5]Demand - T'!G$129:G$238)</f>
        <v>0</v>
      </c>
      <c r="H91" s="390" cm="1">
        <f t="array" ref="H91">SUMPRODUCT((H_Rate_Class=$B91)*'[5]Demand - T'!H$129:H$238)</f>
        <v>0</v>
      </c>
      <c r="I91" s="390" cm="1">
        <f t="array" ref="I91">SUMPRODUCT((H_Rate_Class=$B91)*'[5]Demand - T'!I$129:I$238)</f>
        <v>0</v>
      </c>
      <c r="J91" s="390" cm="1">
        <f t="array" ref="J91">SUMPRODUCT((H_Rate_Class=$B91)*'[5]Demand - T'!J$129:J$238)</f>
        <v>0</v>
      </c>
      <c r="K91" s="390" cm="1">
        <f t="array" ref="K91">SUMPRODUCT((H_Rate_Class=$B91)*'[5]Demand - T'!K$129:K$238)</f>
        <v>0</v>
      </c>
      <c r="L91" s="390" cm="1">
        <f t="array" ref="L91">SUMPRODUCT((H_Rate_Class=$B91)*'[5]Demand - T'!L$129:L$238)</f>
        <v>0</v>
      </c>
      <c r="M91" s="390" cm="1">
        <f t="array" ref="M91">SUMPRODUCT((H_Rate_Class=$B91)*'[5]Demand - T'!M$129:M$238)</f>
        <v>0</v>
      </c>
      <c r="N91" s="390" cm="1">
        <f t="array" ref="N91">SUMPRODUCT((H_Rate_Class=$B91)*'[5]Demand - T'!N$129:N$238)</f>
        <v>0</v>
      </c>
      <c r="O91" s="390" cm="1">
        <f t="array" ref="O91">SUMPRODUCT((H_Rate_Class=$B91)*'[5]Demand - T'!O$129:O$238)</f>
        <v>0</v>
      </c>
      <c r="P91" s="158">
        <f t="shared" si="16"/>
        <v>0</v>
      </c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  <c r="AP91" s="89"/>
      <c r="AQ91" s="89"/>
      <c r="AR91" s="89"/>
      <c r="AS91" s="89"/>
      <c r="AT91" s="89"/>
      <c r="AU91" s="89"/>
      <c r="AV91" s="89"/>
      <c r="AW91" s="89"/>
      <c r="AX91" s="89"/>
      <c r="AY91" s="89"/>
      <c r="AZ91" s="89"/>
      <c r="BA91" s="89"/>
      <c r="BB91" s="89"/>
      <c r="BC91" s="89"/>
      <c r="BD91" s="89"/>
      <c r="BE91" s="89"/>
      <c r="BF91" s="89"/>
      <c r="BG91" s="89"/>
      <c r="BH91" s="89"/>
      <c r="BI91" s="89"/>
      <c r="BJ91" s="89"/>
      <c r="BK91" s="89"/>
      <c r="BL91" s="89"/>
      <c r="BM91" s="89"/>
      <c r="BN91" s="89"/>
      <c r="BO91" s="89"/>
      <c r="BP91" s="89"/>
      <c r="BQ91" s="89"/>
      <c r="BR91" s="89"/>
      <c r="BS91" s="89"/>
      <c r="BT91" s="89"/>
      <c r="BU91" s="89"/>
      <c r="BV91" s="89"/>
      <c r="BW91" s="89"/>
      <c r="BX91" s="89"/>
      <c r="BY91" s="89"/>
      <c r="BZ91" s="89"/>
      <c r="CA91" s="89"/>
      <c r="CB91" s="89"/>
      <c r="CC91" s="89"/>
      <c r="CD91" s="89"/>
      <c r="CE91" s="89"/>
      <c r="CF91" s="89"/>
      <c r="CG91" s="89"/>
      <c r="CH91" s="89"/>
      <c r="CI91" s="89"/>
      <c r="CJ91" s="89"/>
      <c r="CK91" s="89"/>
      <c r="CL91" s="89"/>
      <c r="CM91" s="89"/>
      <c r="CN91" s="89"/>
      <c r="CO91" s="89"/>
      <c r="CP91" s="89"/>
      <c r="CQ91" s="89"/>
      <c r="CR91" s="89"/>
      <c r="CS91" s="89"/>
      <c r="CT91" s="89"/>
      <c r="CU91" s="89"/>
      <c r="CV91" s="89"/>
      <c r="CW91" s="89"/>
      <c r="CX91" s="89"/>
      <c r="CY91" s="89"/>
      <c r="CZ91" s="89"/>
      <c r="DA91" s="89"/>
      <c r="DB91" s="89"/>
      <c r="DC91" s="89"/>
      <c r="DD91" s="89"/>
      <c r="DE91" s="89"/>
      <c r="DF91" s="89"/>
      <c r="DG91" s="89"/>
      <c r="DH91" s="89"/>
      <c r="DI91" s="89"/>
      <c r="DJ91" s="89"/>
      <c r="DK91" s="89"/>
      <c r="DL91" s="89"/>
      <c r="DM91" s="89"/>
      <c r="DN91" s="89"/>
      <c r="DO91" s="89"/>
      <c r="DP91" s="89"/>
      <c r="DQ91" s="89"/>
      <c r="DR91" s="89"/>
      <c r="DS91" s="89"/>
      <c r="DT91" s="89"/>
      <c r="DU91" s="89"/>
      <c r="DV91" s="89"/>
      <c r="DW91" s="89"/>
      <c r="DX91" s="89"/>
      <c r="DY91" s="89"/>
      <c r="DZ91" s="89"/>
      <c r="EA91" s="89"/>
      <c r="EB91" s="89"/>
      <c r="EC91" s="89"/>
      <c r="ED91" s="89"/>
      <c r="EE91" s="89"/>
      <c r="EF91" s="89"/>
      <c r="EG91" s="89"/>
      <c r="EH91" s="89"/>
      <c r="EI91" s="89"/>
      <c r="EJ91" s="89"/>
      <c r="EK91" s="89"/>
      <c r="EL91" s="89"/>
      <c r="EM91" s="89"/>
      <c r="EN91" s="89"/>
    </row>
    <row r="92" spans="1:144" s="87" customFormat="1" ht="11.25">
      <c r="A92" s="386">
        <v>10</v>
      </c>
      <c r="B92" s="87" t="s">
        <v>19</v>
      </c>
      <c r="C92" s="157"/>
      <c r="D92" s="391">
        <f t="shared" ref="D92:P92" si="17">SUM(D88:D89)</f>
        <v>9826.2953625946539</v>
      </c>
      <c r="E92" s="391">
        <f t="shared" ref="E92:O92" si="18">SUM(E88:E89)</f>
        <v>-831.60272476445687</v>
      </c>
      <c r="F92" s="391">
        <f t="shared" si="18"/>
        <v>-6803.8708708841696</v>
      </c>
      <c r="G92" s="391">
        <f t="shared" si="18"/>
        <v>-3089.4010318315432</v>
      </c>
      <c r="H92" s="391">
        <f t="shared" si="18"/>
        <v>-11514.742180786649</v>
      </c>
      <c r="I92" s="391">
        <f t="shared" si="18"/>
        <v>-4835.805226122704</v>
      </c>
      <c r="J92" s="391">
        <f t="shared" si="18"/>
        <v>-736.73333333333312</v>
      </c>
      <c r="K92" s="391">
        <f t="shared" si="18"/>
        <v>-16208.06653202925</v>
      </c>
      <c r="L92" s="391">
        <f t="shared" si="18"/>
        <v>-12417.461535160593</v>
      </c>
      <c r="M92" s="391">
        <f t="shared" si="18"/>
        <v>-4598.0238938833036</v>
      </c>
      <c r="N92" s="391">
        <f t="shared" si="18"/>
        <v>-16593.929765224333</v>
      </c>
      <c r="O92" s="391">
        <f t="shared" si="18"/>
        <v>0</v>
      </c>
      <c r="P92" s="391">
        <f t="shared" si="17"/>
        <v>-67803.34173142568</v>
      </c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  <c r="AP92" s="89"/>
      <c r="AQ92" s="89"/>
      <c r="AR92" s="89"/>
      <c r="AS92" s="89"/>
      <c r="AT92" s="89"/>
      <c r="AU92" s="89"/>
      <c r="AV92" s="89"/>
      <c r="AW92" s="89"/>
      <c r="AX92" s="89"/>
      <c r="AY92" s="89"/>
      <c r="AZ92" s="89"/>
      <c r="BA92" s="89"/>
      <c r="BB92" s="89"/>
      <c r="BC92" s="89"/>
      <c r="BD92" s="89"/>
      <c r="BE92" s="89"/>
      <c r="BF92" s="89"/>
      <c r="BG92" s="89"/>
      <c r="BH92" s="89"/>
      <c r="BI92" s="89"/>
      <c r="BJ92" s="89"/>
      <c r="BK92" s="89"/>
      <c r="BL92" s="89"/>
      <c r="BM92" s="89"/>
      <c r="BN92" s="89"/>
      <c r="BO92" s="89"/>
      <c r="BP92" s="89"/>
      <c r="BQ92" s="89"/>
      <c r="BR92" s="89"/>
      <c r="BS92" s="89"/>
      <c r="BT92" s="89"/>
      <c r="BU92" s="89"/>
      <c r="BV92" s="89"/>
      <c r="BW92" s="89"/>
      <c r="BX92" s="89"/>
      <c r="BY92" s="89"/>
      <c r="BZ92" s="89"/>
      <c r="CA92" s="89"/>
      <c r="CB92" s="89"/>
      <c r="CC92" s="89"/>
      <c r="CD92" s="89"/>
      <c r="CE92" s="89"/>
      <c r="CF92" s="89"/>
      <c r="CG92" s="89"/>
      <c r="CH92" s="89"/>
      <c r="CI92" s="89"/>
      <c r="CJ92" s="89"/>
      <c r="CK92" s="89"/>
      <c r="CL92" s="89"/>
      <c r="CM92" s="89"/>
      <c r="CN92" s="89"/>
      <c r="CO92" s="89"/>
      <c r="CP92" s="89"/>
      <c r="CQ92" s="89"/>
      <c r="CR92" s="89"/>
      <c r="CS92" s="89"/>
      <c r="CT92" s="89"/>
      <c r="CU92" s="89"/>
      <c r="CV92" s="89"/>
      <c r="CW92" s="89"/>
      <c r="CX92" s="89"/>
      <c r="CY92" s="89"/>
      <c r="CZ92" s="89"/>
      <c r="DA92" s="89"/>
      <c r="DB92" s="89"/>
      <c r="DC92" s="89"/>
      <c r="DD92" s="89"/>
      <c r="DE92" s="89"/>
      <c r="DF92" s="89"/>
      <c r="DG92" s="89"/>
      <c r="DH92" s="89"/>
      <c r="DI92" s="89"/>
      <c r="DJ92" s="89"/>
      <c r="DK92" s="89"/>
      <c r="DL92" s="89"/>
      <c r="DM92" s="89"/>
      <c r="DN92" s="89"/>
      <c r="DO92" s="89"/>
      <c r="DP92" s="89"/>
      <c r="DQ92" s="89"/>
      <c r="DR92" s="89"/>
      <c r="DS92" s="89"/>
      <c r="DT92" s="89"/>
      <c r="DU92" s="89"/>
      <c r="DV92" s="89"/>
      <c r="DW92" s="89"/>
      <c r="DX92" s="89"/>
      <c r="DY92" s="89"/>
      <c r="DZ92" s="89"/>
      <c r="EA92" s="89"/>
      <c r="EB92" s="89"/>
      <c r="EC92" s="89"/>
      <c r="ED92" s="89"/>
      <c r="EE92" s="89"/>
      <c r="EF92" s="89"/>
      <c r="EG92" s="89"/>
      <c r="EH92" s="89"/>
      <c r="EI92" s="89"/>
      <c r="EJ92" s="89"/>
      <c r="EK92" s="89"/>
      <c r="EL92" s="89"/>
      <c r="EM92" s="89"/>
      <c r="EN92" s="89"/>
    </row>
    <row r="93" spans="1:144" s="87" customFormat="1" ht="11.25">
      <c r="A93" s="386"/>
      <c r="C93" s="15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7"/>
      <c r="P93" s="158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O93" s="89"/>
      <c r="AP93" s="89"/>
      <c r="AQ93" s="89"/>
      <c r="AR93" s="89"/>
      <c r="AS93" s="89"/>
      <c r="AT93" s="89"/>
      <c r="AU93" s="89"/>
      <c r="AV93" s="89"/>
      <c r="AW93" s="89"/>
      <c r="AX93" s="89"/>
      <c r="AY93" s="89"/>
      <c r="AZ93" s="89"/>
      <c r="BA93" s="89"/>
      <c r="BB93" s="89"/>
      <c r="BC93" s="89"/>
      <c r="BD93" s="89"/>
      <c r="BE93" s="89"/>
      <c r="BF93" s="89"/>
      <c r="BG93" s="89"/>
      <c r="BH93" s="89"/>
      <c r="BI93" s="89"/>
      <c r="BJ93" s="89"/>
      <c r="BK93" s="89"/>
      <c r="BL93" s="89"/>
      <c r="BM93" s="89"/>
      <c r="BN93" s="89"/>
      <c r="BO93" s="89"/>
      <c r="BP93" s="89"/>
      <c r="BQ93" s="89"/>
      <c r="BR93" s="89"/>
      <c r="BS93" s="89"/>
      <c r="BT93" s="89"/>
      <c r="BU93" s="89"/>
      <c r="BV93" s="89"/>
      <c r="BW93" s="89"/>
      <c r="BX93" s="89"/>
      <c r="BY93" s="89"/>
      <c r="BZ93" s="89"/>
      <c r="CA93" s="89"/>
      <c r="CB93" s="89"/>
      <c r="CC93" s="89"/>
      <c r="CD93" s="89"/>
      <c r="CE93" s="89"/>
      <c r="CF93" s="89"/>
      <c r="CG93" s="89"/>
      <c r="CH93" s="89"/>
      <c r="CI93" s="89"/>
      <c r="CJ93" s="89"/>
      <c r="CK93" s="89"/>
      <c r="CL93" s="89"/>
      <c r="CM93" s="89"/>
      <c r="CN93" s="89"/>
      <c r="CO93" s="89"/>
      <c r="CP93" s="89"/>
      <c r="CQ93" s="89"/>
      <c r="CR93" s="89"/>
      <c r="CS93" s="89"/>
      <c r="CT93" s="89"/>
      <c r="CU93" s="89"/>
      <c r="CV93" s="89"/>
      <c r="CW93" s="89"/>
      <c r="CX93" s="89"/>
      <c r="CY93" s="89"/>
      <c r="CZ93" s="89"/>
      <c r="DA93" s="89"/>
      <c r="DB93" s="89"/>
      <c r="DC93" s="89"/>
      <c r="DD93" s="89"/>
      <c r="DE93" s="89"/>
      <c r="DF93" s="89"/>
      <c r="DG93" s="89"/>
      <c r="DH93" s="89"/>
      <c r="DI93" s="89"/>
      <c r="DJ93" s="89"/>
      <c r="DK93" s="89"/>
      <c r="DL93" s="89"/>
      <c r="DM93" s="89"/>
      <c r="DN93" s="89"/>
      <c r="DO93" s="89"/>
      <c r="DP93" s="89"/>
      <c r="DQ93" s="89"/>
      <c r="DR93" s="89"/>
      <c r="DS93" s="89"/>
      <c r="DT93" s="89"/>
      <c r="DU93" s="89"/>
      <c r="DV93" s="89"/>
      <c r="DW93" s="89"/>
      <c r="DX93" s="89"/>
      <c r="DY93" s="89"/>
      <c r="DZ93" s="89"/>
      <c r="EA93" s="89"/>
      <c r="EB93" s="89"/>
      <c r="EC93" s="89"/>
      <c r="ED93" s="89"/>
      <c r="EE93" s="89"/>
      <c r="EF93" s="89"/>
      <c r="EG93" s="89"/>
      <c r="EH93" s="89"/>
      <c r="EI93" s="89"/>
      <c r="EJ93" s="89"/>
      <c r="EK93" s="89"/>
      <c r="EL93" s="89"/>
      <c r="EM93" s="89"/>
      <c r="EN93" s="89"/>
    </row>
    <row r="94" spans="1:144" s="87" customFormat="1" ht="11.25">
      <c r="A94" s="386">
        <v>11</v>
      </c>
      <c r="B94" s="131" t="s">
        <v>86</v>
      </c>
      <c r="C94" s="157" t="s">
        <v>6</v>
      </c>
      <c r="D94" s="390" cm="1">
        <f t="array" ref="D94">SUMPRODUCT((H_Rate_Class=$B94)*'[5]Demand - T'!D$129:D$238)</f>
        <v>-8694.1391304347781</v>
      </c>
      <c r="E94" s="390" cm="1">
        <f t="array" ref="E94">SUMPRODUCT((H_Rate_Class=$B94)*'[5]Demand - T'!E$129:E$238)</f>
        <v>-4090.7047554347773</v>
      </c>
      <c r="F94" s="390" cm="1">
        <f t="array" ref="F94">SUMPRODUCT((H_Rate_Class=$B94)*'[5]Demand - T'!F$129:F$238)</f>
        <v>45602.046583850926</v>
      </c>
      <c r="G94" s="390" cm="1">
        <f t="array" ref="G94">SUMPRODUCT((H_Rate_Class=$B94)*'[5]Demand - T'!G$129:G$238)</f>
        <v>-50140.834920634923</v>
      </c>
      <c r="H94" s="390" cm="1">
        <f t="array" ref="H94">SUMPRODUCT((H_Rate_Class=$B94)*'[5]Demand - T'!H$129:H$238)</f>
        <v>-13945.469364548491</v>
      </c>
      <c r="I94" s="390" cm="1">
        <f t="array" ref="I94">SUMPRODUCT((H_Rate_Class=$B94)*'[5]Demand - T'!I$129:I$238)</f>
        <v>-18620.139130434771</v>
      </c>
      <c r="J94" s="390" cm="1">
        <f t="array" ref="J94">SUMPRODUCT((H_Rate_Class=$B94)*'[5]Demand - T'!J$129:J$238)</f>
        <v>-14059.738996655515</v>
      </c>
      <c r="K94" s="390" cm="1">
        <f t="array" ref="K94">SUMPRODUCT((H_Rate_Class=$B94)*'[5]Demand - T'!K$129:K$238)</f>
        <v>-21032.991987577625</v>
      </c>
      <c r="L94" s="390" cm="1">
        <f t="array" ref="L94">SUMPRODUCT((H_Rate_Class=$B94)*'[5]Demand - T'!L$129:L$238)</f>
        <v>-11974.933846153843</v>
      </c>
      <c r="M94" s="390" cm="1">
        <f t="array" ref="M94">SUMPRODUCT((H_Rate_Class=$B94)*'[5]Demand - T'!M$129:M$238)</f>
        <v>-29335.026029748275</v>
      </c>
      <c r="N94" s="390" cm="1">
        <f t="array" ref="N94">SUMPRODUCT((H_Rate_Class=$B94)*'[5]Demand - T'!N$129:N$238)</f>
        <v>-9268.8640000000014</v>
      </c>
      <c r="O94" s="390" cm="1">
        <f t="array" ref="O94">SUMPRODUCT((H_Rate_Class=$B94)*'[5]Demand - T'!O$129:O$238)</f>
        <v>0</v>
      </c>
      <c r="P94" s="158">
        <f>SUM(D94:O94)</f>
        <v>-135560.79557777208</v>
      </c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  <c r="AS94" s="89"/>
      <c r="AT94" s="89"/>
      <c r="AU94" s="89"/>
      <c r="AV94" s="89"/>
      <c r="AW94" s="89"/>
      <c r="AX94" s="89"/>
      <c r="AY94" s="89"/>
      <c r="AZ94" s="89"/>
      <c r="BA94" s="89"/>
      <c r="BB94" s="89"/>
      <c r="BC94" s="89"/>
      <c r="BD94" s="89"/>
      <c r="BE94" s="89"/>
      <c r="BF94" s="89"/>
      <c r="BG94" s="89"/>
      <c r="BH94" s="89"/>
      <c r="BI94" s="89"/>
      <c r="BJ94" s="89"/>
      <c r="BK94" s="89"/>
      <c r="BL94" s="89"/>
      <c r="BM94" s="89"/>
      <c r="BN94" s="89"/>
      <c r="BO94" s="89"/>
      <c r="BP94" s="89"/>
      <c r="BQ94" s="89"/>
      <c r="BR94" s="89"/>
      <c r="BS94" s="89"/>
      <c r="BT94" s="89"/>
      <c r="BU94" s="89"/>
      <c r="BV94" s="89"/>
      <c r="BW94" s="89"/>
      <c r="BX94" s="89"/>
      <c r="BY94" s="89"/>
      <c r="BZ94" s="89"/>
      <c r="CA94" s="89"/>
      <c r="CB94" s="89"/>
      <c r="CC94" s="89"/>
      <c r="CD94" s="89"/>
      <c r="CE94" s="89"/>
      <c r="CF94" s="89"/>
      <c r="CG94" s="89"/>
      <c r="CH94" s="89"/>
      <c r="CI94" s="89"/>
      <c r="CJ94" s="89"/>
      <c r="CK94" s="89"/>
      <c r="CL94" s="89"/>
      <c r="CM94" s="89"/>
      <c r="CN94" s="89"/>
      <c r="CO94" s="89"/>
      <c r="CP94" s="89"/>
      <c r="CQ94" s="89"/>
      <c r="CR94" s="89"/>
      <c r="CS94" s="89"/>
      <c r="CT94" s="89"/>
      <c r="CU94" s="89"/>
      <c r="CV94" s="89"/>
      <c r="CW94" s="89"/>
      <c r="CX94" s="89"/>
      <c r="CY94" s="89"/>
      <c r="CZ94" s="89"/>
      <c r="DA94" s="89"/>
      <c r="DB94" s="89"/>
      <c r="DC94" s="89"/>
      <c r="DD94" s="89"/>
      <c r="DE94" s="89"/>
      <c r="DF94" s="89"/>
      <c r="DG94" s="89"/>
      <c r="DH94" s="89"/>
      <c r="DI94" s="89"/>
      <c r="DJ94" s="89"/>
      <c r="DK94" s="89"/>
      <c r="DL94" s="89"/>
      <c r="DM94" s="89"/>
      <c r="DN94" s="89"/>
      <c r="DO94" s="89"/>
      <c r="DP94" s="89"/>
      <c r="DQ94" s="89"/>
      <c r="DR94" s="89"/>
      <c r="DS94" s="89"/>
      <c r="DT94" s="89"/>
      <c r="DU94" s="89"/>
      <c r="DV94" s="89"/>
      <c r="DW94" s="89"/>
      <c r="DX94" s="89"/>
      <c r="DY94" s="89"/>
      <c r="DZ94" s="89"/>
      <c r="EA94" s="89"/>
      <c r="EB94" s="89"/>
      <c r="EC94" s="89"/>
      <c r="ED94" s="89"/>
      <c r="EE94" s="89"/>
      <c r="EF94" s="89"/>
      <c r="EG94" s="89"/>
      <c r="EH94" s="89"/>
      <c r="EI94" s="89"/>
      <c r="EJ94" s="89"/>
      <c r="EK94" s="89"/>
      <c r="EL94" s="89"/>
      <c r="EM94" s="89"/>
      <c r="EN94" s="89"/>
    </row>
    <row r="95" spans="1:144" s="87" customFormat="1" ht="11.25">
      <c r="A95" s="4"/>
      <c r="C95" s="99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  <c r="O95" s="177"/>
      <c r="P95" s="158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89"/>
      <c r="AO95" s="89"/>
      <c r="AP95" s="89"/>
      <c r="AQ95" s="89"/>
      <c r="AR95" s="89"/>
      <c r="AS95" s="89"/>
      <c r="AT95" s="89"/>
      <c r="AU95" s="89"/>
      <c r="AV95" s="89"/>
      <c r="AW95" s="89"/>
      <c r="AX95" s="89"/>
      <c r="AY95" s="89"/>
      <c r="AZ95" s="89"/>
      <c r="BA95" s="89"/>
      <c r="BB95" s="89"/>
      <c r="BC95" s="89"/>
      <c r="BD95" s="89"/>
      <c r="BE95" s="89"/>
      <c r="BF95" s="89"/>
      <c r="BG95" s="89"/>
      <c r="BH95" s="89"/>
      <c r="BI95" s="89"/>
      <c r="BJ95" s="89"/>
      <c r="BK95" s="89"/>
      <c r="BL95" s="89"/>
      <c r="BM95" s="89"/>
      <c r="BN95" s="89"/>
      <c r="BO95" s="89"/>
      <c r="BP95" s="89"/>
      <c r="BQ95" s="89"/>
      <c r="BR95" s="89"/>
      <c r="BS95" s="89"/>
      <c r="BT95" s="89"/>
      <c r="BU95" s="89"/>
      <c r="BV95" s="89"/>
      <c r="BW95" s="89"/>
      <c r="BX95" s="89"/>
      <c r="BY95" s="89"/>
      <c r="BZ95" s="89"/>
      <c r="CA95" s="89"/>
      <c r="CB95" s="89"/>
      <c r="CC95" s="89"/>
      <c r="CD95" s="89"/>
      <c r="CE95" s="89"/>
      <c r="CF95" s="89"/>
      <c r="CG95" s="89"/>
      <c r="CH95" s="89"/>
      <c r="CI95" s="89"/>
      <c r="CJ95" s="89"/>
      <c r="CK95" s="89"/>
      <c r="CL95" s="89"/>
      <c r="CM95" s="89"/>
      <c r="CN95" s="89"/>
      <c r="CO95" s="89"/>
      <c r="CP95" s="89"/>
      <c r="CQ95" s="89"/>
      <c r="CR95" s="89"/>
      <c r="CS95" s="89"/>
      <c r="CT95" s="89"/>
      <c r="CU95" s="89"/>
      <c r="CV95" s="89"/>
      <c r="CW95" s="89"/>
      <c r="CX95" s="89"/>
      <c r="CY95" s="89"/>
      <c r="CZ95" s="89"/>
      <c r="DA95" s="89"/>
      <c r="DB95" s="89"/>
      <c r="DC95" s="89"/>
      <c r="DD95" s="89"/>
      <c r="DE95" s="89"/>
      <c r="DF95" s="89"/>
      <c r="DG95" s="89"/>
      <c r="DH95" s="89"/>
      <c r="DI95" s="89"/>
      <c r="DJ95" s="89"/>
      <c r="DK95" s="89"/>
      <c r="DL95" s="89"/>
      <c r="DM95" s="89"/>
      <c r="DN95" s="89"/>
      <c r="DO95" s="89"/>
      <c r="DP95" s="89"/>
      <c r="DQ95" s="89"/>
      <c r="DR95" s="89"/>
      <c r="DS95" s="89"/>
      <c r="DT95" s="89"/>
      <c r="DU95" s="89"/>
      <c r="DV95" s="89"/>
      <c r="DW95" s="89"/>
      <c r="DX95" s="89"/>
      <c r="DY95" s="89"/>
      <c r="DZ95" s="89"/>
      <c r="EA95" s="89"/>
      <c r="EB95" s="89"/>
      <c r="EC95" s="89"/>
      <c r="ED95" s="89"/>
      <c r="EE95" s="89"/>
      <c r="EF95" s="89"/>
      <c r="EG95" s="89"/>
      <c r="EH95" s="89"/>
      <c r="EI95" s="89"/>
      <c r="EJ95" s="89"/>
      <c r="EK95" s="89"/>
      <c r="EL95" s="89"/>
      <c r="EM95" s="89"/>
      <c r="EN95" s="89"/>
    </row>
    <row r="96" spans="1:144" s="87" customFormat="1" ht="11.25">
      <c r="A96" s="386">
        <v>12</v>
      </c>
      <c r="B96" s="89" t="s">
        <v>21</v>
      </c>
      <c r="C96" s="157" t="s">
        <v>4</v>
      </c>
      <c r="D96" s="390" cm="1">
        <f t="array" ref="D96">SUMPRODUCT((H_Rate_Class=$B96)*'[5]Demand - T'!D$129:D$238)</f>
        <v>0</v>
      </c>
      <c r="E96" s="390" cm="1">
        <f t="array" ref="E96">SUMPRODUCT((H_Rate_Class=$B96)*'[5]Demand - T'!E$129:E$238)</f>
        <v>0</v>
      </c>
      <c r="F96" s="390" cm="1">
        <f t="array" ref="F96">SUMPRODUCT((H_Rate_Class=$B96)*'[5]Demand - T'!F$129:F$238)</f>
        <v>0</v>
      </c>
      <c r="G96" s="390" cm="1">
        <f t="array" ref="G96">SUMPRODUCT((H_Rate_Class=$B96)*'[5]Demand - T'!G$129:G$238)</f>
        <v>0</v>
      </c>
      <c r="H96" s="390" cm="1">
        <f t="array" ref="H96">SUMPRODUCT((H_Rate_Class=$B96)*'[5]Demand - T'!H$129:H$238)</f>
        <v>0</v>
      </c>
      <c r="I96" s="390" cm="1">
        <f t="array" ref="I96">SUMPRODUCT((H_Rate_Class=$B96)*'[5]Demand - T'!I$129:I$238)</f>
        <v>0</v>
      </c>
      <c r="J96" s="390" cm="1">
        <f t="array" ref="J96">SUMPRODUCT((H_Rate_Class=$B96)*'[5]Demand - T'!J$129:J$238)</f>
        <v>0</v>
      </c>
      <c r="K96" s="390" cm="1">
        <f t="array" ref="K96">SUMPRODUCT((H_Rate_Class=$B96)*'[5]Demand - T'!K$129:K$238)</f>
        <v>0</v>
      </c>
      <c r="L96" s="390" cm="1">
        <f t="array" ref="L96">SUMPRODUCT((H_Rate_Class=$B96)*'[5]Demand - T'!L$129:L$238)</f>
        <v>0</v>
      </c>
      <c r="M96" s="390" cm="1">
        <f t="array" ref="M96">SUMPRODUCT((H_Rate_Class=$B96)*'[5]Demand - T'!M$129:M$238)</f>
        <v>0</v>
      </c>
      <c r="N96" s="390" cm="1">
        <f t="array" ref="N96">SUMPRODUCT((H_Rate_Class=$B96)*'[5]Demand - T'!N$129:N$238)</f>
        <v>0</v>
      </c>
      <c r="O96" s="390" cm="1">
        <f t="array" ref="O96">SUMPRODUCT((H_Rate_Class=$B96)*'[5]Demand - T'!O$129:O$238)</f>
        <v>0</v>
      </c>
      <c r="P96" s="158">
        <f>SUM(D96:O96)</f>
        <v>0</v>
      </c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  <c r="AS96" s="89"/>
      <c r="AT96" s="89"/>
      <c r="AU96" s="89"/>
      <c r="AV96" s="89"/>
      <c r="AW96" s="89"/>
      <c r="AX96" s="89"/>
      <c r="AY96" s="89"/>
      <c r="AZ96" s="89"/>
      <c r="BA96" s="89"/>
      <c r="BB96" s="89"/>
      <c r="BC96" s="89"/>
      <c r="BD96" s="89"/>
      <c r="BE96" s="89"/>
      <c r="BF96" s="89"/>
      <c r="BG96" s="89"/>
      <c r="BH96" s="89"/>
      <c r="BI96" s="89"/>
      <c r="BJ96" s="89"/>
      <c r="BK96" s="89"/>
      <c r="BL96" s="89"/>
      <c r="BM96" s="89"/>
      <c r="BN96" s="89"/>
      <c r="BO96" s="89"/>
      <c r="BP96" s="89"/>
      <c r="BQ96" s="89"/>
      <c r="BR96" s="89"/>
      <c r="BS96" s="89"/>
      <c r="BT96" s="89"/>
      <c r="BU96" s="89"/>
      <c r="BV96" s="89"/>
      <c r="BW96" s="89"/>
      <c r="BX96" s="89"/>
      <c r="BY96" s="89"/>
      <c r="BZ96" s="89"/>
      <c r="CA96" s="89"/>
      <c r="CB96" s="89"/>
      <c r="CC96" s="89"/>
      <c r="CD96" s="89"/>
      <c r="CE96" s="89"/>
      <c r="CF96" s="89"/>
      <c r="CG96" s="89"/>
      <c r="CH96" s="89"/>
      <c r="CI96" s="89"/>
      <c r="CJ96" s="89"/>
      <c r="CK96" s="89"/>
      <c r="CL96" s="89"/>
      <c r="CM96" s="89"/>
      <c r="CN96" s="89"/>
      <c r="CO96" s="89"/>
      <c r="CP96" s="89"/>
      <c r="CQ96" s="89"/>
      <c r="CR96" s="89"/>
      <c r="CS96" s="89"/>
      <c r="CT96" s="89"/>
      <c r="CU96" s="89"/>
      <c r="CV96" s="89"/>
      <c r="CW96" s="89"/>
      <c r="CX96" s="89"/>
      <c r="CY96" s="89"/>
      <c r="CZ96" s="89"/>
      <c r="DA96" s="89"/>
      <c r="DB96" s="89"/>
      <c r="DC96" s="89"/>
      <c r="DD96" s="89"/>
      <c r="DE96" s="89"/>
      <c r="DF96" s="89"/>
      <c r="DG96" s="89"/>
      <c r="DH96" s="89"/>
      <c r="DI96" s="89"/>
      <c r="DJ96" s="89"/>
      <c r="DK96" s="89"/>
      <c r="DL96" s="89"/>
      <c r="DM96" s="89"/>
      <c r="DN96" s="89"/>
      <c r="DO96" s="89"/>
      <c r="DP96" s="89"/>
      <c r="DQ96" s="89"/>
      <c r="DR96" s="89"/>
      <c r="DS96" s="89"/>
      <c r="DT96" s="89"/>
      <c r="DU96" s="89"/>
      <c r="DV96" s="89"/>
      <c r="DW96" s="89"/>
      <c r="DX96" s="89"/>
      <c r="DY96" s="89"/>
      <c r="DZ96" s="89"/>
      <c r="EA96" s="89"/>
      <c r="EB96" s="89"/>
      <c r="EC96" s="89"/>
      <c r="ED96" s="89"/>
      <c r="EE96" s="89"/>
      <c r="EF96" s="89"/>
      <c r="EG96" s="89"/>
      <c r="EH96" s="89"/>
      <c r="EI96" s="89"/>
      <c r="EJ96" s="89"/>
      <c r="EK96" s="89"/>
      <c r="EL96" s="89"/>
      <c r="EM96" s="89"/>
      <c r="EN96" s="89"/>
    </row>
    <row r="97" spans="1:144" s="87" customFormat="1" ht="11.25">
      <c r="A97" s="386"/>
      <c r="C97" s="99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  <c r="O97" s="177"/>
      <c r="P97" s="158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O97" s="89"/>
      <c r="AP97" s="89"/>
      <c r="AQ97" s="89"/>
      <c r="AR97" s="89"/>
      <c r="AS97" s="89"/>
      <c r="AT97" s="89"/>
      <c r="AU97" s="89"/>
      <c r="AV97" s="89"/>
      <c r="AW97" s="89"/>
      <c r="AX97" s="89"/>
      <c r="AY97" s="89"/>
      <c r="AZ97" s="89"/>
      <c r="BA97" s="89"/>
      <c r="BB97" s="89"/>
      <c r="BC97" s="89"/>
      <c r="BD97" s="89"/>
      <c r="BE97" s="89"/>
      <c r="BF97" s="89"/>
      <c r="BG97" s="89"/>
      <c r="BH97" s="89"/>
      <c r="BI97" s="89"/>
      <c r="BJ97" s="89"/>
      <c r="BK97" s="89"/>
      <c r="BL97" s="89"/>
      <c r="BM97" s="89"/>
      <c r="BN97" s="89"/>
      <c r="BO97" s="89"/>
      <c r="BP97" s="89"/>
      <c r="BQ97" s="89"/>
      <c r="BR97" s="89"/>
      <c r="BS97" s="89"/>
      <c r="BT97" s="89"/>
      <c r="BU97" s="89"/>
      <c r="BV97" s="89"/>
      <c r="BW97" s="89"/>
      <c r="BX97" s="89"/>
      <c r="BY97" s="89"/>
      <c r="BZ97" s="89"/>
      <c r="CA97" s="89"/>
      <c r="CB97" s="89"/>
      <c r="CC97" s="89"/>
      <c r="CD97" s="89"/>
      <c r="CE97" s="89"/>
      <c r="CF97" s="89"/>
      <c r="CG97" s="89"/>
      <c r="CH97" s="89"/>
      <c r="CI97" s="89"/>
      <c r="CJ97" s="89"/>
      <c r="CK97" s="89"/>
      <c r="CL97" s="89"/>
      <c r="CM97" s="89"/>
      <c r="CN97" s="89"/>
      <c r="CO97" s="89"/>
      <c r="CP97" s="89"/>
      <c r="CQ97" s="89"/>
      <c r="CR97" s="89"/>
      <c r="CS97" s="89"/>
      <c r="CT97" s="89"/>
      <c r="CU97" s="89"/>
      <c r="CV97" s="89"/>
      <c r="CW97" s="89"/>
      <c r="CX97" s="89"/>
      <c r="CY97" s="89"/>
      <c r="CZ97" s="89"/>
      <c r="DA97" s="89"/>
      <c r="DB97" s="89"/>
      <c r="DC97" s="89"/>
      <c r="DD97" s="89"/>
      <c r="DE97" s="89"/>
      <c r="DF97" s="89"/>
      <c r="DG97" s="89"/>
      <c r="DH97" s="89"/>
      <c r="DI97" s="89"/>
      <c r="DJ97" s="89"/>
      <c r="DK97" s="89"/>
      <c r="DL97" s="89"/>
      <c r="DM97" s="89"/>
      <c r="DN97" s="89"/>
      <c r="DO97" s="89"/>
      <c r="DP97" s="89"/>
      <c r="DQ97" s="89"/>
      <c r="DR97" s="89"/>
      <c r="DS97" s="89"/>
      <c r="DT97" s="89"/>
      <c r="DU97" s="89"/>
      <c r="DV97" s="89"/>
      <c r="DW97" s="89"/>
      <c r="DX97" s="89"/>
      <c r="DY97" s="89"/>
      <c r="DZ97" s="89"/>
      <c r="EA97" s="89"/>
      <c r="EB97" s="89"/>
      <c r="EC97" s="89"/>
      <c r="ED97" s="89"/>
      <c r="EE97" s="89"/>
      <c r="EF97" s="89"/>
      <c r="EG97" s="89"/>
      <c r="EH97" s="89"/>
      <c r="EI97" s="89"/>
      <c r="EJ97" s="89"/>
      <c r="EK97" s="89"/>
      <c r="EL97" s="89"/>
      <c r="EM97" s="89"/>
      <c r="EN97" s="89"/>
    </row>
    <row r="98" spans="1:144" s="87" customFormat="1" ht="11.25">
      <c r="A98" s="386">
        <v>13</v>
      </c>
      <c r="B98" s="393" t="s">
        <v>22</v>
      </c>
      <c r="C98" s="362"/>
      <c r="D98" s="394">
        <f t="shared" ref="D98:P98" si="19">D96+D94+D92+D86+D82+D80</f>
        <v>51349.80307056522</v>
      </c>
      <c r="E98" s="394">
        <f t="shared" si="19"/>
        <v>48046.930434967551</v>
      </c>
      <c r="F98" s="394">
        <f t="shared" si="19"/>
        <v>88597.418620324926</v>
      </c>
      <c r="G98" s="394">
        <f t="shared" si="19"/>
        <v>-39271.489588220655</v>
      </c>
      <c r="H98" s="394">
        <f t="shared" si="19"/>
        <v>-29285.797948595595</v>
      </c>
      <c r="I98" s="394">
        <f t="shared" si="19"/>
        <v>-28779.930334137542</v>
      </c>
      <c r="J98" s="394">
        <f t="shared" si="19"/>
        <v>-2792.7447466320828</v>
      </c>
      <c r="K98" s="394">
        <f t="shared" si="19"/>
        <v>-28627.608132960733</v>
      </c>
      <c r="L98" s="394">
        <f t="shared" si="19"/>
        <v>-19962.936076181308</v>
      </c>
      <c r="M98" s="394">
        <f t="shared" si="19"/>
        <v>-31624.064022969469</v>
      </c>
      <c r="N98" s="394">
        <f t="shared" si="19"/>
        <v>-31784.742350147229</v>
      </c>
      <c r="O98" s="394">
        <f t="shared" si="19"/>
        <v>0</v>
      </c>
      <c r="P98" s="394">
        <f t="shared" si="19"/>
        <v>-24135.161073986907</v>
      </c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  <c r="AS98" s="89"/>
      <c r="AT98" s="89"/>
      <c r="AU98" s="89"/>
      <c r="AV98" s="89"/>
      <c r="AW98" s="89"/>
      <c r="AX98" s="89"/>
      <c r="AY98" s="89"/>
      <c r="AZ98" s="89"/>
      <c r="BA98" s="89"/>
      <c r="BB98" s="89"/>
      <c r="BC98" s="89"/>
      <c r="BD98" s="89"/>
      <c r="BE98" s="89"/>
      <c r="BF98" s="89"/>
      <c r="BG98" s="89"/>
      <c r="BH98" s="89"/>
      <c r="BI98" s="89"/>
      <c r="BJ98" s="89"/>
      <c r="BK98" s="89"/>
      <c r="BL98" s="89"/>
      <c r="BM98" s="89"/>
      <c r="BN98" s="89"/>
      <c r="BO98" s="89"/>
      <c r="BP98" s="89"/>
      <c r="BQ98" s="89"/>
      <c r="BR98" s="89"/>
      <c r="BS98" s="89"/>
      <c r="BT98" s="89"/>
      <c r="BU98" s="89"/>
      <c r="BV98" s="89"/>
      <c r="BW98" s="89"/>
      <c r="BX98" s="89"/>
      <c r="BY98" s="89"/>
      <c r="BZ98" s="89"/>
      <c r="CA98" s="89"/>
      <c r="CB98" s="89"/>
      <c r="CC98" s="89"/>
      <c r="CD98" s="89"/>
      <c r="CE98" s="89"/>
      <c r="CF98" s="89"/>
      <c r="CG98" s="89"/>
      <c r="CH98" s="89"/>
      <c r="CI98" s="89"/>
      <c r="CJ98" s="89"/>
      <c r="CK98" s="89"/>
      <c r="CL98" s="89"/>
      <c r="CM98" s="89"/>
      <c r="CN98" s="89"/>
      <c r="CO98" s="89"/>
      <c r="CP98" s="89"/>
      <c r="CQ98" s="89"/>
      <c r="CR98" s="89"/>
      <c r="CS98" s="89"/>
      <c r="CT98" s="89"/>
      <c r="CU98" s="89"/>
      <c r="CV98" s="89"/>
      <c r="CW98" s="89"/>
      <c r="CX98" s="89"/>
      <c r="CY98" s="89"/>
      <c r="CZ98" s="89"/>
      <c r="DA98" s="89"/>
      <c r="DB98" s="89"/>
      <c r="DC98" s="89"/>
      <c r="DD98" s="89"/>
      <c r="DE98" s="89"/>
      <c r="DF98" s="89"/>
      <c r="DG98" s="89"/>
      <c r="DH98" s="89"/>
      <c r="DI98" s="89"/>
      <c r="DJ98" s="89"/>
      <c r="DK98" s="89"/>
      <c r="DL98" s="89"/>
      <c r="DM98" s="89"/>
      <c r="DN98" s="89"/>
      <c r="DO98" s="89"/>
      <c r="DP98" s="89"/>
      <c r="DQ98" s="89"/>
      <c r="DR98" s="89"/>
      <c r="DS98" s="89"/>
      <c r="DT98" s="89"/>
      <c r="DU98" s="89"/>
      <c r="DV98" s="89"/>
      <c r="DW98" s="89"/>
      <c r="DX98" s="89"/>
      <c r="DY98" s="89"/>
      <c r="DZ98" s="89"/>
      <c r="EA98" s="89"/>
      <c r="EB98" s="89"/>
      <c r="EC98" s="89"/>
      <c r="ED98" s="89"/>
      <c r="EE98" s="89"/>
      <c r="EF98" s="89"/>
      <c r="EG98" s="89"/>
      <c r="EH98" s="89"/>
      <c r="EI98" s="89"/>
      <c r="EJ98" s="89"/>
      <c r="EK98" s="89"/>
      <c r="EL98" s="89"/>
      <c r="EM98" s="89"/>
      <c r="EN98" s="89"/>
    </row>
    <row r="99" spans="1:144" s="87" customFormat="1" ht="11.25">
      <c r="A99" s="4"/>
      <c r="B99" s="362"/>
      <c r="C99" s="362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58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O99" s="89"/>
      <c r="AP99" s="89"/>
      <c r="AQ99" s="89"/>
      <c r="AR99" s="89"/>
      <c r="AS99" s="89"/>
      <c r="AT99" s="89"/>
      <c r="AU99" s="89"/>
      <c r="AV99" s="89"/>
      <c r="AW99" s="89"/>
      <c r="AX99" s="89"/>
      <c r="AY99" s="89"/>
      <c r="AZ99" s="89"/>
      <c r="BA99" s="89"/>
      <c r="BB99" s="89"/>
      <c r="BC99" s="89"/>
      <c r="BD99" s="89"/>
      <c r="BE99" s="89"/>
      <c r="BF99" s="89"/>
      <c r="BG99" s="89"/>
      <c r="BH99" s="89"/>
      <c r="BI99" s="89"/>
      <c r="BJ99" s="89"/>
      <c r="BK99" s="89"/>
      <c r="BL99" s="89"/>
      <c r="BM99" s="89"/>
      <c r="BN99" s="89"/>
      <c r="BO99" s="89"/>
      <c r="BP99" s="89"/>
      <c r="BQ99" s="89"/>
      <c r="BR99" s="89"/>
      <c r="BS99" s="89"/>
      <c r="BT99" s="89"/>
      <c r="BU99" s="89"/>
      <c r="BV99" s="89"/>
      <c r="BW99" s="89"/>
      <c r="BX99" s="89"/>
      <c r="BY99" s="89"/>
      <c r="BZ99" s="89"/>
      <c r="CA99" s="89"/>
      <c r="CB99" s="89"/>
      <c r="CC99" s="89"/>
      <c r="CD99" s="89"/>
      <c r="CE99" s="89"/>
      <c r="CF99" s="89"/>
      <c r="CG99" s="89"/>
      <c r="CH99" s="89"/>
      <c r="CI99" s="89"/>
      <c r="CJ99" s="89"/>
      <c r="CK99" s="89"/>
      <c r="CL99" s="89"/>
      <c r="CM99" s="89"/>
      <c r="CN99" s="89"/>
      <c r="CO99" s="89"/>
      <c r="CP99" s="89"/>
      <c r="CQ99" s="89"/>
      <c r="CR99" s="89"/>
      <c r="CS99" s="89"/>
      <c r="CT99" s="89"/>
      <c r="CU99" s="89"/>
      <c r="CV99" s="89"/>
      <c r="CW99" s="89"/>
      <c r="CX99" s="89"/>
      <c r="CY99" s="89"/>
      <c r="CZ99" s="89"/>
      <c r="DA99" s="89"/>
      <c r="DB99" s="89"/>
      <c r="DC99" s="89"/>
      <c r="DD99" s="89"/>
      <c r="DE99" s="89"/>
      <c r="DF99" s="89"/>
      <c r="DG99" s="89"/>
      <c r="DH99" s="89"/>
      <c r="DI99" s="89"/>
      <c r="DJ99" s="89"/>
      <c r="DK99" s="89"/>
      <c r="DL99" s="89"/>
      <c r="DM99" s="89"/>
      <c r="DN99" s="89"/>
      <c r="DO99" s="89"/>
      <c r="DP99" s="89"/>
      <c r="DQ99" s="89"/>
      <c r="DR99" s="89"/>
      <c r="DS99" s="89"/>
      <c r="DT99" s="89"/>
      <c r="DU99" s="89"/>
      <c r="DV99" s="89"/>
      <c r="DW99" s="89"/>
      <c r="DX99" s="89"/>
      <c r="DY99" s="89"/>
      <c r="DZ99" s="89"/>
      <c r="EA99" s="89"/>
      <c r="EB99" s="89"/>
      <c r="EC99" s="89"/>
      <c r="ED99" s="89"/>
      <c r="EE99" s="89"/>
      <c r="EF99" s="89"/>
      <c r="EG99" s="89"/>
      <c r="EH99" s="89"/>
      <c r="EI99" s="89"/>
      <c r="EJ99" s="89"/>
      <c r="EK99" s="89"/>
      <c r="EL99" s="89"/>
      <c r="EM99" s="89"/>
      <c r="EN99" s="89"/>
    </row>
    <row r="100" spans="1:144" s="87" customFormat="1" ht="11.25">
      <c r="A100" s="386">
        <v>14</v>
      </c>
      <c r="B100" s="89" t="s">
        <v>69</v>
      </c>
      <c r="C100" s="157" t="s">
        <v>5</v>
      </c>
      <c r="D100" s="390">
        <v>0</v>
      </c>
      <c r="E100" s="390">
        <v>0</v>
      </c>
      <c r="F100" s="390">
        <v>0</v>
      </c>
      <c r="G100" s="390">
        <v>0</v>
      </c>
      <c r="H100" s="390">
        <v>0</v>
      </c>
      <c r="I100" s="390">
        <v>0</v>
      </c>
      <c r="J100" s="390">
        <v>0</v>
      </c>
      <c r="K100" s="390">
        <v>0</v>
      </c>
      <c r="L100" s="390">
        <v>0</v>
      </c>
      <c r="M100" s="390">
        <v>0</v>
      </c>
      <c r="N100" s="390">
        <v>0</v>
      </c>
      <c r="O100" s="390">
        <v>0</v>
      </c>
      <c r="P100" s="158">
        <f>SUM(D100:O100)</f>
        <v>0</v>
      </c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89"/>
      <c r="AS100" s="89"/>
      <c r="AT100" s="89"/>
      <c r="AU100" s="89"/>
      <c r="AV100" s="89"/>
      <c r="AW100" s="89"/>
      <c r="AX100" s="89"/>
      <c r="AY100" s="89"/>
      <c r="AZ100" s="89"/>
      <c r="BA100" s="89"/>
      <c r="BB100" s="89"/>
      <c r="BC100" s="89"/>
      <c r="BD100" s="89"/>
      <c r="BE100" s="89"/>
      <c r="BF100" s="89"/>
      <c r="BG100" s="89"/>
      <c r="BH100" s="89"/>
      <c r="BI100" s="89"/>
      <c r="BJ100" s="89"/>
      <c r="BK100" s="89"/>
      <c r="BL100" s="89"/>
      <c r="BM100" s="89"/>
      <c r="BN100" s="89"/>
      <c r="BO100" s="89"/>
      <c r="BP100" s="89"/>
      <c r="BQ100" s="89"/>
      <c r="BR100" s="89"/>
      <c r="BS100" s="89"/>
      <c r="BT100" s="89"/>
      <c r="BU100" s="89"/>
      <c r="BV100" s="89"/>
      <c r="BW100" s="89"/>
      <c r="BX100" s="89"/>
      <c r="BY100" s="89"/>
      <c r="BZ100" s="89"/>
      <c r="CA100" s="89"/>
      <c r="CB100" s="89"/>
      <c r="CC100" s="89"/>
      <c r="CD100" s="89"/>
      <c r="CE100" s="89"/>
      <c r="CF100" s="89"/>
      <c r="CG100" s="89"/>
      <c r="CH100" s="89"/>
      <c r="CI100" s="89"/>
      <c r="CJ100" s="89"/>
      <c r="CK100" s="89"/>
      <c r="CL100" s="89"/>
      <c r="CM100" s="89"/>
      <c r="CN100" s="89"/>
      <c r="CO100" s="89"/>
      <c r="CP100" s="89"/>
      <c r="CQ100" s="89"/>
      <c r="CR100" s="89"/>
      <c r="CS100" s="89"/>
      <c r="CT100" s="89"/>
      <c r="CU100" s="89"/>
      <c r="CV100" s="89"/>
      <c r="CW100" s="89"/>
      <c r="CX100" s="89"/>
      <c r="CY100" s="89"/>
      <c r="CZ100" s="89"/>
      <c r="DA100" s="89"/>
      <c r="DB100" s="89"/>
      <c r="DC100" s="89"/>
      <c r="DD100" s="89"/>
      <c r="DE100" s="89"/>
      <c r="DF100" s="89"/>
      <c r="DG100" s="89"/>
      <c r="DH100" s="89"/>
      <c r="DI100" s="89"/>
      <c r="DJ100" s="89"/>
      <c r="DK100" s="89"/>
      <c r="DL100" s="89"/>
      <c r="DM100" s="89"/>
      <c r="DN100" s="89"/>
      <c r="DO100" s="89"/>
      <c r="DP100" s="89"/>
      <c r="DQ100" s="89"/>
      <c r="DR100" s="89"/>
      <c r="DS100" s="89"/>
      <c r="DT100" s="89"/>
      <c r="DU100" s="89"/>
      <c r="DV100" s="89"/>
      <c r="DW100" s="89"/>
      <c r="DX100" s="89"/>
      <c r="DY100" s="89"/>
      <c r="DZ100" s="89"/>
      <c r="EA100" s="89"/>
      <c r="EB100" s="89"/>
      <c r="EC100" s="89"/>
      <c r="ED100" s="89"/>
      <c r="EE100" s="89"/>
      <c r="EF100" s="89"/>
      <c r="EG100" s="89"/>
      <c r="EH100" s="89"/>
      <c r="EI100" s="89"/>
      <c r="EJ100" s="89"/>
      <c r="EK100" s="89"/>
      <c r="EL100" s="89"/>
      <c r="EM100" s="89"/>
      <c r="EN100" s="89"/>
    </row>
    <row r="101" spans="1:144" s="87" customFormat="1" ht="11.25">
      <c r="A101" s="386">
        <v>15</v>
      </c>
      <c r="B101" s="89" t="s">
        <v>70</v>
      </c>
      <c r="C101" s="157" t="s">
        <v>6</v>
      </c>
      <c r="D101" s="388"/>
      <c r="E101" s="388"/>
      <c r="F101" s="388"/>
      <c r="G101" s="388"/>
      <c r="H101" s="388"/>
      <c r="I101" s="388"/>
      <c r="J101" s="388"/>
      <c r="K101" s="388"/>
      <c r="L101" s="388"/>
      <c r="M101" s="388"/>
      <c r="N101" s="388"/>
      <c r="O101" s="388"/>
      <c r="P101" s="425">
        <f>SUM(D101:O101)</f>
        <v>0</v>
      </c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  <c r="AP101" s="89"/>
      <c r="AQ101" s="89"/>
      <c r="AR101" s="89"/>
      <c r="AS101" s="89"/>
      <c r="AT101" s="89"/>
      <c r="AU101" s="89"/>
      <c r="AV101" s="89"/>
      <c r="AW101" s="89"/>
      <c r="AX101" s="89"/>
      <c r="AY101" s="89"/>
      <c r="AZ101" s="89"/>
      <c r="BA101" s="89"/>
      <c r="BB101" s="89"/>
      <c r="BC101" s="89"/>
      <c r="BD101" s="89"/>
      <c r="BE101" s="89"/>
      <c r="BF101" s="89"/>
      <c r="BG101" s="89"/>
      <c r="BH101" s="89"/>
      <c r="BI101" s="89"/>
      <c r="BJ101" s="89"/>
      <c r="BK101" s="89"/>
      <c r="BL101" s="89"/>
      <c r="BM101" s="89"/>
      <c r="BN101" s="89"/>
      <c r="BO101" s="89"/>
      <c r="BP101" s="89"/>
      <c r="BQ101" s="89"/>
      <c r="BR101" s="89"/>
      <c r="BS101" s="89"/>
      <c r="BT101" s="89"/>
      <c r="BU101" s="89"/>
      <c r="BV101" s="89"/>
      <c r="BW101" s="89"/>
      <c r="BX101" s="89"/>
      <c r="BY101" s="89"/>
      <c r="BZ101" s="89"/>
      <c r="CA101" s="89"/>
      <c r="CB101" s="89"/>
      <c r="CC101" s="89"/>
      <c r="CD101" s="89"/>
      <c r="CE101" s="89"/>
      <c r="CF101" s="89"/>
      <c r="CG101" s="89"/>
      <c r="CH101" s="89"/>
      <c r="CI101" s="89"/>
      <c r="CJ101" s="89"/>
      <c r="CK101" s="89"/>
      <c r="CL101" s="89"/>
      <c r="CM101" s="89"/>
      <c r="CN101" s="89"/>
      <c r="CO101" s="89"/>
      <c r="CP101" s="89"/>
      <c r="CQ101" s="89"/>
      <c r="CR101" s="89"/>
      <c r="CS101" s="89"/>
      <c r="CT101" s="89"/>
      <c r="CU101" s="89"/>
      <c r="CV101" s="89"/>
      <c r="CW101" s="89"/>
      <c r="CX101" s="89"/>
      <c r="CY101" s="89"/>
      <c r="CZ101" s="89"/>
      <c r="DA101" s="89"/>
      <c r="DB101" s="89"/>
      <c r="DC101" s="89"/>
      <c r="DD101" s="89"/>
      <c r="DE101" s="89"/>
      <c r="DF101" s="89"/>
      <c r="DG101" s="89"/>
      <c r="DH101" s="89"/>
      <c r="DI101" s="89"/>
      <c r="DJ101" s="89"/>
      <c r="DK101" s="89"/>
      <c r="DL101" s="89"/>
      <c r="DM101" s="89"/>
      <c r="DN101" s="89"/>
      <c r="DO101" s="89"/>
      <c r="DP101" s="89"/>
      <c r="DQ101" s="89"/>
      <c r="DR101" s="89"/>
      <c r="DS101" s="89"/>
      <c r="DT101" s="89"/>
      <c r="DU101" s="89"/>
      <c r="DV101" s="89"/>
      <c r="DW101" s="89"/>
      <c r="DX101" s="89"/>
      <c r="DY101" s="89"/>
      <c r="DZ101" s="89"/>
      <c r="EA101" s="89"/>
      <c r="EB101" s="89"/>
      <c r="EC101" s="89"/>
      <c r="ED101" s="89"/>
      <c r="EE101" s="89"/>
      <c r="EF101" s="89"/>
      <c r="EG101" s="89"/>
      <c r="EH101" s="89"/>
      <c r="EI101" s="89"/>
      <c r="EJ101" s="89"/>
      <c r="EK101" s="89"/>
      <c r="EL101" s="89"/>
      <c r="EM101" s="89"/>
      <c r="EN101" s="89"/>
    </row>
    <row r="102" spans="1:144" s="87" customFormat="1" ht="11.25">
      <c r="A102" s="386">
        <v>16</v>
      </c>
      <c r="B102" s="393" t="s">
        <v>23</v>
      </c>
      <c r="C102" s="361"/>
      <c r="D102" s="101">
        <f t="shared" ref="D102:P102" si="20">SUM(D100:D101)</f>
        <v>0</v>
      </c>
      <c r="E102" s="101">
        <f t="shared" si="20"/>
        <v>0</v>
      </c>
      <c r="F102" s="101">
        <f t="shared" si="20"/>
        <v>0</v>
      </c>
      <c r="G102" s="101">
        <f t="shared" si="20"/>
        <v>0</v>
      </c>
      <c r="H102" s="101">
        <f t="shared" si="20"/>
        <v>0</v>
      </c>
      <c r="I102" s="101">
        <f t="shared" si="20"/>
        <v>0</v>
      </c>
      <c r="J102" s="101">
        <f t="shared" si="20"/>
        <v>0</v>
      </c>
      <c r="K102" s="101">
        <f t="shared" si="20"/>
        <v>0</v>
      </c>
      <c r="L102" s="101">
        <f t="shared" si="20"/>
        <v>0</v>
      </c>
      <c r="M102" s="101">
        <f t="shared" si="20"/>
        <v>0</v>
      </c>
      <c r="N102" s="101">
        <f t="shared" si="20"/>
        <v>0</v>
      </c>
      <c r="O102" s="101">
        <f t="shared" si="20"/>
        <v>0</v>
      </c>
      <c r="P102" s="101">
        <f t="shared" si="20"/>
        <v>0</v>
      </c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  <c r="AS102" s="89"/>
      <c r="AT102" s="89"/>
      <c r="AU102" s="89"/>
      <c r="AV102" s="89"/>
      <c r="AW102" s="89"/>
      <c r="AX102" s="89"/>
      <c r="AY102" s="89"/>
      <c r="AZ102" s="89"/>
      <c r="BA102" s="89"/>
      <c r="BB102" s="89"/>
      <c r="BC102" s="89"/>
      <c r="BD102" s="89"/>
      <c r="BE102" s="89"/>
      <c r="BF102" s="89"/>
      <c r="BG102" s="89"/>
      <c r="BH102" s="89"/>
      <c r="BI102" s="89"/>
      <c r="BJ102" s="89"/>
      <c r="BK102" s="89"/>
      <c r="BL102" s="89"/>
      <c r="BM102" s="89"/>
      <c r="BN102" s="89"/>
      <c r="BO102" s="89"/>
      <c r="BP102" s="89"/>
      <c r="BQ102" s="89"/>
      <c r="BR102" s="89"/>
      <c r="BS102" s="89"/>
      <c r="BT102" s="89"/>
      <c r="BU102" s="89"/>
      <c r="BV102" s="89"/>
      <c r="BW102" s="89"/>
      <c r="BX102" s="89"/>
      <c r="BY102" s="89"/>
      <c r="BZ102" s="89"/>
      <c r="CA102" s="89"/>
      <c r="CB102" s="89"/>
      <c r="CC102" s="89"/>
      <c r="CD102" s="89"/>
      <c r="CE102" s="89"/>
      <c r="CF102" s="89"/>
      <c r="CG102" s="89"/>
      <c r="CH102" s="89"/>
      <c r="CI102" s="89"/>
      <c r="CJ102" s="89"/>
      <c r="CK102" s="89"/>
      <c r="CL102" s="89"/>
      <c r="CM102" s="89"/>
      <c r="CN102" s="89"/>
      <c r="CO102" s="89"/>
      <c r="CP102" s="89"/>
      <c r="CQ102" s="89"/>
      <c r="CR102" s="89"/>
      <c r="CS102" s="89"/>
      <c r="CT102" s="89"/>
      <c r="CU102" s="89"/>
      <c r="CV102" s="89"/>
      <c r="CW102" s="89"/>
      <c r="CX102" s="89"/>
      <c r="CY102" s="89"/>
      <c r="CZ102" s="89"/>
      <c r="DA102" s="89"/>
      <c r="DB102" s="89"/>
      <c r="DC102" s="89"/>
      <c r="DD102" s="89"/>
      <c r="DE102" s="89"/>
      <c r="DF102" s="89"/>
      <c r="DG102" s="89"/>
      <c r="DH102" s="89"/>
      <c r="DI102" s="89"/>
      <c r="DJ102" s="89"/>
      <c r="DK102" s="89"/>
      <c r="DL102" s="89"/>
      <c r="DM102" s="89"/>
      <c r="DN102" s="89"/>
      <c r="DO102" s="89"/>
      <c r="DP102" s="89"/>
      <c r="DQ102" s="89"/>
      <c r="DR102" s="89"/>
      <c r="DS102" s="89"/>
      <c r="DT102" s="89"/>
      <c r="DU102" s="89"/>
      <c r="DV102" s="89"/>
      <c r="DW102" s="89"/>
      <c r="DX102" s="89"/>
      <c r="DY102" s="89"/>
      <c r="DZ102" s="89"/>
      <c r="EA102" s="89"/>
      <c r="EB102" s="89"/>
      <c r="EC102" s="89"/>
      <c r="ED102" s="89"/>
      <c r="EE102" s="89"/>
      <c r="EF102" s="89"/>
      <c r="EG102" s="89"/>
      <c r="EH102" s="89"/>
      <c r="EI102" s="89"/>
      <c r="EJ102" s="89"/>
      <c r="EK102" s="89"/>
      <c r="EL102" s="89"/>
      <c r="EM102" s="89"/>
      <c r="EN102" s="89"/>
    </row>
    <row r="103" spans="1:144" s="87" customFormat="1" ht="11.25">
      <c r="A103" s="386"/>
      <c r="C103" s="396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/>
      <c r="P103" s="158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  <c r="AP103" s="89"/>
      <c r="AQ103" s="89"/>
      <c r="AR103" s="89"/>
      <c r="AS103" s="89"/>
      <c r="AT103" s="89"/>
      <c r="AU103" s="89"/>
      <c r="AV103" s="89"/>
      <c r="AW103" s="89"/>
      <c r="AX103" s="89"/>
      <c r="AY103" s="89"/>
      <c r="AZ103" s="89"/>
      <c r="BA103" s="89"/>
      <c r="BB103" s="89"/>
      <c r="BC103" s="89"/>
      <c r="BD103" s="89"/>
      <c r="BE103" s="89"/>
      <c r="BF103" s="89"/>
      <c r="BG103" s="89"/>
      <c r="BH103" s="89"/>
      <c r="BI103" s="89"/>
      <c r="BJ103" s="89"/>
      <c r="BK103" s="89"/>
      <c r="BL103" s="89"/>
      <c r="BM103" s="89"/>
      <c r="BN103" s="89"/>
      <c r="BO103" s="89"/>
      <c r="BP103" s="89"/>
      <c r="BQ103" s="89"/>
      <c r="BR103" s="89"/>
      <c r="BS103" s="89"/>
      <c r="BT103" s="89"/>
      <c r="BU103" s="89"/>
      <c r="BV103" s="89"/>
      <c r="BW103" s="89"/>
      <c r="BX103" s="89"/>
      <c r="BY103" s="89"/>
      <c r="BZ103" s="89"/>
      <c r="CA103" s="89"/>
      <c r="CB103" s="89"/>
      <c r="CC103" s="89"/>
      <c r="CD103" s="89"/>
      <c r="CE103" s="89"/>
      <c r="CF103" s="89"/>
      <c r="CG103" s="89"/>
      <c r="CH103" s="89"/>
      <c r="CI103" s="89"/>
      <c r="CJ103" s="89"/>
      <c r="CK103" s="89"/>
      <c r="CL103" s="89"/>
      <c r="CM103" s="89"/>
      <c r="CN103" s="89"/>
      <c r="CO103" s="89"/>
      <c r="CP103" s="89"/>
      <c r="CQ103" s="89"/>
      <c r="CR103" s="89"/>
      <c r="CS103" s="89"/>
      <c r="CT103" s="89"/>
      <c r="CU103" s="89"/>
      <c r="CV103" s="89"/>
      <c r="CW103" s="89"/>
      <c r="CX103" s="89"/>
      <c r="CY103" s="89"/>
      <c r="CZ103" s="89"/>
      <c r="DA103" s="89"/>
      <c r="DB103" s="89"/>
      <c r="DC103" s="89"/>
      <c r="DD103" s="89"/>
      <c r="DE103" s="89"/>
      <c r="DF103" s="89"/>
      <c r="DG103" s="89"/>
      <c r="DH103" s="89"/>
      <c r="DI103" s="89"/>
      <c r="DJ103" s="89"/>
      <c r="DK103" s="89"/>
      <c r="DL103" s="89"/>
      <c r="DM103" s="89"/>
      <c r="DN103" s="89"/>
      <c r="DO103" s="89"/>
      <c r="DP103" s="89"/>
      <c r="DQ103" s="89"/>
      <c r="DR103" s="89"/>
      <c r="DS103" s="89"/>
      <c r="DT103" s="89"/>
      <c r="DU103" s="89"/>
      <c r="DV103" s="89"/>
      <c r="DW103" s="89"/>
      <c r="DX103" s="89"/>
      <c r="DY103" s="89"/>
      <c r="DZ103" s="89"/>
      <c r="EA103" s="89"/>
      <c r="EB103" s="89"/>
      <c r="EC103" s="89"/>
      <c r="ED103" s="89"/>
      <c r="EE103" s="89"/>
      <c r="EF103" s="89"/>
      <c r="EG103" s="89"/>
      <c r="EH103" s="89"/>
      <c r="EI103" s="89"/>
      <c r="EJ103" s="89"/>
      <c r="EK103" s="89"/>
      <c r="EL103" s="89"/>
      <c r="EM103" s="89"/>
      <c r="EN103" s="89"/>
    </row>
    <row r="104" spans="1:144" s="87" customFormat="1" ht="12" thickBot="1">
      <c r="A104" s="386">
        <v>17</v>
      </c>
      <c r="B104" s="147" t="s">
        <v>92</v>
      </c>
      <c r="C104" s="361"/>
      <c r="D104" s="397">
        <f t="shared" ref="D104:P104" si="21">+D102+D98</f>
        <v>51349.80307056522</v>
      </c>
      <c r="E104" s="397">
        <f t="shared" si="21"/>
        <v>48046.930434967551</v>
      </c>
      <c r="F104" s="397">
        <f t="shared" si="21"/>
        <v>88597.418620324926</v>
      </c>
      <c r="G104" s="397">
        <f t="shared" si="21"/>
        <v>-39271.489588220655</v>
      </c>
      <c r="H104" s="397">
        <f t="shared" si="21"/>
        <v>-29285.797948595595</v>
      </c>
      <c r="I104" s="397">
        <f t="shared" si="21"/>
        <v>-28779.930334137542</v>
      </c>
      <c r="J104" s="397">
        <f t="shared" si="21"/>
        <v>-2792.7447466320828</v>
      </c>
      <c r="K104" s="397">
        <f t="shared" si="21"/>
        <v>-28627.608132960733</v>
      </c>
      <c r="L104" s="397">
        <f t="shared" si="21"/>
        <v>-19962.936076181308</v>
      </c>
      <c r="M104" s="397">
        <f t="shared" si="21"/>
        <v>-31624.064022969469</v>
      </c>
      <c r="N104" s="397">
        <f t="shared" si="21"/>
        <v>-31784.742350147229</v>
      </c>
      <c r="O104" s="397">
        <f t="shared" si="21"/>
        <v>0</v>
      </c>
      <c r="P104" s="397">
        <f t="shared" si="21"/>
        <v>-24135.161073986907</v>
      </c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  <c r="AS104" s="89"/>
      <c r="AT104" s="89"/>
      <c r="AU104" s="89"/>
      <c r="AV104" s="89"/>
      <c r="AW104" s="89"/>
      <c r="AX104" s="89"/>
      <c r="AY104" s="89"/>
      <c r="AZ104" s="89"/>
      <c r="BA104" s="89"/>
      <c r="BB104" s="89"/>
      <c r="BC104" s="89"/>
      <c r="BD104" s="89"/>
      <c r="BE104" s="89"/>
      <c r="BF104" s="89"/>
      <c r="BG104" s="89"/>
      <c r="BH104" s="89"/>
      <c r="BI104" s="89"/>
      <c r="BJ104" s="89"/>
      <c r="BK104" s="89"/>
      <c r="BL104" s="89"/>
      <c r="BM104" s="89"/>
      <c r="BN104" s="89"/>
      <c r="BO104" s="89"/>
      <c r="BP104" s="89"/>
      <c r="BQ104" s="89"/>
      <c r="BR104" s="89"/>
      <c r="BS104" s="89"/>
      <c r="BT104" s="89"/>
      <c r="BU104" s="89"/>
      <c r="BV104" s="89"/>
      <c r="BW104" s="89"/>
      <c r="BX104" s="89"/>
      <c r="BY104" s="89"/>
      <c r="BZ104" s="89"/>
      <c r="CA104" s="89"/>
      <c r="CB104" s="89"/>
      <c r="CC104" s="89"/>
      <c r="CD104" s="89"/>
      <c r="CE104" s="89"/>
      <c r="CF104" s="89"/>
      <c r="CG104" s="89"/>
      <c r="CH104" s="89"/>
      <c r="CI104" s="89"/>
      <c r="CJ104" s="89"/>
      <c r="CK104" s="89"/>
      <c r="CL104" s="89"/>
      <c r="CM104" s="89"/>
      <c r="CN104" s="89"/>
      <c r="CO104" s="89"/>
      <c r="CP104" s="89"/>
      <c r="CQ104" s="89"/>
      <c r="CR104" s="89"/>
      <c r="CS104" s="89"/>
      <c r="CT104" s="89"/>
      <c r="CU104" s="89"/>
      <c r="CV104" s="89"/>
      <c r="CW104" s="89"/>
      <c r="CX104" s="89"/>
      <c r="CY104" s="89"/>
      <c r="CZ104" s="89"/>
      <c r="DA104" s="89"/>
      <c r="DB104" s="89"/>
      <c r="DC104" s="89"/>
      <c r="DD104" s="89"/>
      <c r="DE104" s="89"/>
      <c r="DF104" s="89"/>
      <c r="DG104" s="89"/>
      <c r="DH104" s="89"/>
      <c r="DI104" s="89"/>
      <c r="DJ104" s="89"/>
      <c r="DK104" s="89"/>
      <c r="DL104" s="89"/>
      <c r="DM104" s="89"/>
      <c r="DN104" s="89"/>
      <c r="DO104" s="89"/>
      <c r="DP104" s="89"/>
      <c r="DQ104" s="89"/>
      <c r="DR104" s="89"/>
      <c r="DS104" s="89"/>
      <c r="DT104" s="89"/>
      <c r="DU104" s="89"/>
      <c r="DV104" s="89"/>
      <c r="DW104" s="89"/>
      <c r="DX104" s="89"/>
      <c r="DY104" s="89"/>
      <c r="DZ104" s="89"/>
      <c r="EA104" s="89"/>
      <c r="EB104" s="89"/>
      <c r="EC104" s="89"/>
      <c r="ED104" s="89"/>
      <c r="EE104" s="89"/>
      <c r="EF104" s="89"/>
      <c r="EG104" s="89"/>
      <c r="EH104" s="89"/>
      <c r="EI104" s="89"/>
      <c r="EJ104" s="89"/>
      <c r="EK104" s="89"/>
      <c r="EL104" s="89"/>
      <c r="EM104" s="89"/>
      <c r="EN104" s="89"/>
    </row>
    <row r="105" spans="1:144" ht="13.5" thickTop="1">
      <c r="B105" s="471" t="str">
        <f>B73</f>
        <v>AEP TEXAS</v>
      </c>
      <c r="C105" s="371"/>
      <c r="D105" s="371"/>
      <c r="E105" s="371"/>
      <c r="F105" s="371"/>
      <c r="G105" s="371"/>
      <c r="H105" s="371"/>
      <c r="I105" s="371"/>
      <c r="J105" s="371"/>
      <c r="K105" s="371"/>
      <c r="L105" s="371"/>
      <c r="M105" s="371"/>
      <c r="N105" s="371"/>
      <c r="O105" s="371"/>
      <c r="P105" s="371"/>
      <c r="Q105" s="470"/>
      <c r="R105" s="470"/>
      <c r="S105" s="470"/>
    </row>
    <row r="106" spans="1:144">
      <c r="B106" s="371" t="s">
        <v>53</v>
      </c>
      <c r="C106" s="371"/>
      <c r="D106" s="371"/>
      <c r="E106" s="371"/>
      <c r="F106" s="371"/>
      <c r="G106" s="371"/>
      <c r="H106" s="371"/>
      <c r="I106" s="371"/>
      <c r="J106" s="371"/>
      <c r="K106" s="371"/>
      <c r="L106" s="371"/>
      <c r="M106" s="371"/>
      <c r="N106" s="371"/>
      <c r="O106" s="371"/>
      <c r="P106" s="371"/>
      <c r="Q106" s="470"/>
      <c r="R106" s="470"/>
      <c r="S106" s="470"/>
    </row>
    <row r="107" spans="1:144">
      <c r="B107" s="471" t="str">
        <f>B75</f>
        <v>FOR TEST YEAR ENDED SEPTEMBER 30, 2023</v>
      </c>
      <c r="C107" s="371"/>
      <c r="D107" s="371"/>
      <c r="E107" s="371"/>
      <c r="F107" s="371"/>
      <c r="G107" s="371"/>
      <c r="H107" s="371"/>
      <c r="I107" s="371"/>
      <c r="J107" s="371"/>
      <c r="K107" s="371"/>
      <c r="L107" s="371"/>
      <c r="M107" s="371"/>
      <c r="N107" s="371"/>
      <c r="O107" s="371"/>
      <c r="P107" s="371"/>
      <c r="Q107" s="470"/>
      <c r="R107" s="470"/>
      <c r="S107" s="470"/>
    </row>
    <row r="108" spans="1:144">
      <c r="B108" s="371"/>
      <c r="C108" s="371"/>
      <c r="D108" s="371"/>
      <c r="E108" s="371"/>
      <c r="F108" s="371"/>
      <c r="G108" s="371"/>
      <c r="H108" s="371"/>
      <c r="I108" s="371"/>
      <c r="J108" s="371"/>
      <c r="K108" s="371"/>
      <c r="L108" s="371"/>
      <c r="M108" s="371"/>
      <c r="N108" s="371"/>
      <c r="O108" s="371"/>
      <c r="P108" s="371"/>
      <c r="Q108" s="470"/>
      <c r="R108" s="470"/>
      <c r="S108" s="470"/>
    </row>
    <row r="109" spans="1:144">
      <c r="B109" s="147"/>
      <c r="C109" s="99"/>
      <c r="D109" s="404"/>
      <c r="E109" s="405"/>
      <c r="F109" s="405"/>
      <c r="G109" s="404"/>
      <c r="H109" s="405"/>
      <c r="I109" s="405"/>
      <c r="K109" s="405"/>
      <c r="L109" s="405"/>
      <c r="M109" s="405"/>
      <c r="N109" s="405"/>
      <c r="O109" s="405"/>
      <c r="P109" s="405"/>
      <c r="Q109" s="470"/>
      <c r="R109" s="470"/>
      <c r="S109" s="470"/>
    </row>
    <row r="110" spans="1:144">
      <c r="A110" s="361" t="s">
        <v>8</v>
      </c>
      <c r="B110" s="361" t="s">
        <v>0</v>
      </c>
      <c r="C110" s="361" t="s">
        <v>7</v>
      </c>
      <c r="D110" s="406" t="str">
        <f t="shared" ref="D110:O110" si="22">D13</f>
        <v>Oct-22</v>
      </c>
      <c r="E110" s="406" t="str">
        <f t="shared" si="22"/>
        <v>Nov-22</v>
      </c>
      <c r="F110" s="406" t="str">
        <f t="shared" si="22"/>
        <v>Dec-22</v>
      </c>
      <c r="G110" s="406" t="str">
        <f t="shared" si="22"/>
        <v>Jan-23</v>
      </c>
      <c r="H110" s="406" t="str">
        <f t="shared" si="22"/>
        <v>Feb-23</v>
      </c>
      <c r="I110" s="406" t="str">
        <f t="shared" si="22"/>
        <v>Mar-23</v>
      </c>
      <c r="J110" s="406" t="str">
        <f t="shared" si="22"/>
        <v>Apr-23</v>
      </c>
      <c r="K110" s="406" t="str">
        <f t="shared" si="22"/>
        <v>May-23</v>
      </c>
      <c r="L110" s="406" t="str">
        <f t="shared" si="22"/>
        <v>Jun-23</v>
      </c>
      <c r="M110" s="406" t="str">
        <f t="shared" si="22"/>
        <v>Jul-23</v>
      </c>
      <c r="N110" s="406" t="str">
        <f t="shared" si="22"/>
        <v>Aug-23</v>
      </c>
      <c r="O110" s="406" t="str">
        <f t="shared" si="22"/>
        <v>Sep-23</v>
      </c>
      <c r="P110" s="406" t="s">
        <v>2</v>
      </c>
      <c r="Q110" s="470"/>
      <c r="R110" s="470"/>
      <c r="S110" s="470"/>
    </row>
    <row r="111" spans="1:144">
      <c r="A111" s="361"/>
      <c r="B111" s="361"/>
      <c r="C111" s="361"/>
      <c r="D111" s="406"/>
      <c r="E111" s="406"/>
      <c r="F111" s="406"/>
      <c r="G111" s="406"/>
      <c r="H111" s="406"/>
      <c r="I111" s="406"/>
      <c r="J111" s="406"/>
      <c r="K111" s="406"/>
      <c r="L111" s="406"/>
      <c r="M111" s="406"/>
      <c r="N111" s="406"/>
      <c r="O111" s="406"/>
      <c r="P111" s="406"/>
      <c r="Q111" s="470"/>
      <c r="R111" s="470"/>
      <c r="S111" s="470"/>
    </row>
    <row r="112" spans="1:144" s="87" customFormat="1" ht="11.25">
      <c r="A112" s="386" t="s">
        <v>9</v>
      </c>
      <c r="B112" s="87" t="s">
        <v>17</v>
      </c>
      <c r="C112" s="99" t="s">
        <v>4</v>
      </c>
      <c r="D112" s="390" cm="1">
        <f t="array" ref="D112">SUMPRODUCT((H_Rate_Class=$B112)*'[5]Demand - T'!D$369:D$478)</f>
        <v>0</v>
      </c>
      <c r="E112" s="390" cm="1">
        <f t="array" ref="E112">SUMPRODUCT((H_Rate_Class=$B112)*'[5]Demand - T'!E$369:E$478)</f>
        <v>0</v>
      </c>
      <c r="F112" s="390" cm="1">
        <f t="array" ref="F112">SUMPRODUCT((H_Rate_Class=$B112)*'[5]Demand - T'!F$369:F$478)</f>
        <v>0</v>
      </c>
      <c r="G112" s="390" cm="1">
        <f t="array" ref="G112">SUMPRODUCT((H_Rate_Class=$B112)*'[5]Demand - T'!G$369:G$478)</f>
        <v>0</v>
      </c>
      <c r="H112" s="390" cm="1">
        <f t="array" ref="H112">SUMPRODUCT((H_Rate_Class=$B112)*'[5]Demand - T'!H$369:H$478)</f>
        <v>0</v>
      </c>
      <c r="I112" s="390" cm="1">
        <f t="array" ref="I112">SUMPRODUCT((H_Rate_Class=$B112)*'[5]Demand - T'!I$369:I$478)</f>
        <v>0</v>
      </c>
      <c r="J112" s="390" cm="1">
        <f t="array" ref="J112">SUMPRODUCT((H_Rate_Class=$B112)*'[5]Demand - T'!J$369:J$478)</f>
        <v>0</v>
      </c>
      <c r="K112" s="390" cm="1">
        <f t="array" ref="K112">SUMPRODUCT((H_Rate_Class=$B112)*'[5]Demand - T'!K$369:K$478)</f>
        <v>0</v>
      </c>
      <c r="L112" s="390" cm="1">
        <f t="array" ref="L112">SUMPRODUCT((H_Rate_Class=$B112)*'[5]Demand - T'!L$369:L$478)</f>
        <v>0</v>
      </c>
      <c r="M112" s="390" cm="1">
        <f t="array" ref="M112">SUMPRODUCT((H_Rate_Class=$B112)*'[5]Demand - T'!M$369:M$478)</f>
        <v>0</v>
      </c>
      <c r="N112" s="390" cm="1">
        <f t="array" ref="N112">SUMPRODUCT((H_Rate_Class=$B112)*'[5]Demand - T'!N$369:N$478)</f>
        <v>0</v>
      </c>
      <c r="O112" s="390" cm="1">
        <f t="array" ref="O112">SUMPRODUCT((H_Rate_Class=$B112)*'[5]Demand - T'!O$369:O$478)</f>
        <v>0</v>
      </c>
      <c r="P112" s="158">
        <f>SUM(D112:O112)</f>
        <v>0</v>
      </c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89"/>
      <c r="AS112" s="89"/>
      <c r="AT112" s="89"/>
      <c r="AU112" s="89"/>
      <c r="AV112" s="89"/>
      <c r="AW112" s="89"/>
      <c r="AX112" s="89"/>
      <c r="AY112" s="89"/>
      <c r="AZ112" s="89"/>
      <c r="BA112" s="89"/>
      <c r="BB112" s="89"/>
      <c r="BC112" s="89"/>
      <c r="BD112" s="89"/>
      <c r="BE112" s="89"/>
      <c r="BF112" s="89"/>
      <c r="BG112" s="89"/>
      <c r="BH112" s="89"/>
      <c r="BI112" s="89"/>
      <c r="BJ112" s="89"/>
      <c r="BK112" s="89"/>
      <c r="BL112" s="89"/>
      <c r="BM112" s="89"/>
      <c r="BN112" s="89"/>
      <c r="BO112" s="89"/>
      <c r="BP112" s="89"/>
      <c r="BQ112" s="89"/>
      <c r="BR112" s="89"/>
      <c r="BS112" s="89"/>
      <c r="BT112" s="89"/>
      <c r="BU112" s="89"/>
      <c r="BV112" s="89"/>
      <c r="BW112" s="89"/>
      <c r="BX112" s="89"/>
      <c r="BY112" s="89"/>
      <c r="BZ112" s="89"/>
      <c r="CA112" s="89"/>
      <c r="CB112" s="89"/>
      <c r="CC112" s="89"/>
      <c r="CD112" s="89"/>
      <c r="CE112" s="89"/>
      <c r="CF112" s="89"/>
      <c r="CG112" s="89"/>
      <c r="CH112" s="89"/>
      <c r="CI112" s="89"/>
      <c r="CJ112" s="89"/>
      <c r="CK112" s="89"/>
      <c r="CL112" s="89"/>
      <c r="CM112" s="89"/>
      <c r="CN112" s="89"/>
      <c r="CO112" s="89"/>
      <c r="CP112" s="89"/>
      <c r="CQ112" s="89"/>
      <c r="CR112" s="89"/>
      <c r="CS112" s="89"/>
      <c r="CT112" s="89"/>
      <c r="CU112" s="89"/>
      <c r="CV112" s="89"/>
      <c r="CW112" s="89"/>
      <c r="CX112" s="89"/>
      <c r="CY112" s="89"/>
      <c r="CZ112" s="89"/>
      <c r="DA112" s="89"/>
      <c r="DB112" s="89"/>
      <c r="DC112" s="89"/>
      <c r="DD112" s="89"/>
      <c r="DE112" s="89"/>
      <c r="DF112" s="89"/>
      <c r="DG112" s="89"/>
      <c r="DH112" s="89"/>
      <c r="DI112" s="89"/>
      <c r="DJ112" s="89"/>
      <c r="DK112" s="89"/>
      <c r="DL112" s="89"/>
      <c r="DM112" s="89"/>
      <c r="DN112" s="89"/>
      <c r="DO112" s="89"/>
      <c r="DP112" s="89"/>
      <c r="DQ112" s="89"/>
      <c r="DR112" s="89"/>
      <c r="DS112" s="89"/>
      <c r="DT112" s="89"/>
      <c r="DU112" s="89"/>
      <c r="DV112" s="89"/>
      <c r="DW112" s="89"/>
      <c r="DX112" s="89"/>
      <c r="DY112" s="89"/>
      <c r="DZ112" s="89"/>
      <c r="EA112" s="89"/>
      <c r="EB112" s="89"/>
      <c r="EC112" s="89"/>
      <c r="ED112" s="89"/>
      <c r="EE112" s="89"/>
      <c r="EF112" s="89"/>
      <c r="EG112" s="89"/>
      <c r="EH112" s="89"/>
      <c r="EI112" s="89"/>
      <c r="EJ112" s="89"/>
      <c r="EK112" s="89"/>
      <c r="EL112" s="89"/>
      <c r="EM112" s="89"/>
      <c r="EN112" s="89"/>
    </row>
    <row r="113" spans="1:144" s="87" customFormat="1" ht="11.25">
      <c r="A113" s="4"/>
      <c r="C113" s="99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58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O113" s="89"/>
      <c r="AP113" s="89"/>
      <c r="AQ113" s="89"/>
      <c r="AR113" s="89"/>
      <c r="AS113" s="89"/>
      <c r="AT113" s="89"/>
      <c r="AU113" s="89"/>
      <c r="AV113" s="89"/>
      <c r="AW113" s="89"/>
      <c r="AX113" s="89"/>
      <c r="AY113" s="89"/>
      <c r="AZ113" s="89"/>
      <c r="BA113" s="89"/>
      <c r="BB113" s="89"/>
      <c r="BC113" s="89"/>
      <c r="BD113" s="89"/>
      <c r="BE113" s="89"/>
      <c r="BF113" s="89"/>
      <c r="BG113" s="89"/>
      <c r="BH113" s="89"/>
      <c r="BI113" s="89"/>
      <c r="BJ113" s="89"/>
      <c r="BK113" s="89"/>
      <c r="BL113" s="89"/>
      <c r="BM113" s="89"/>
      <c r="BN113" s="89"/>
      <c r="BO113" s="89"/>
      <c r="BP113" s="89"/>
      <c r="BQ113" s="89"/>
      <c r="BR113" s="89"/>
      <c r="BS113" s="89"/>
      <c r="BT113" s="89"/>
      <c r="BU113" s="89"/>
      <c r="BV113" s="89"/>
      <c r="BW113" s="89"/>
      <c r="BX113" s="89"/>
      <c r="BY113" s="89"/>
      <c r="BZ113" s="89"/>
      <c r="CA113" s="89"/>
      <c r="CB113" s="89"/>
      <c r="CC113" s="89"/>
      <c r="CD113" s="89"/>
      <c r="CE113" s="89"/>
      <c r="CF113" s="89"/>
      <c r="CG113" s="89"/>
      <c r="CH113" s="89"/>
      <c r="CI113" s="89"/>
      <c r="CJ113" s="89"/>
      <c r="CK113" s="89"/>
      <c r="CL113" s="89"/>
      <c r="CM113" s="89"/>
      <c r="CN113" s="89"/>
      <c r="CO113" s="89"/>
      <c r="CP113" s="89"/>
      <c r="CQ113" s="89"/>
      <c r="CR113" s="89"/>
      <c r="CS113" s="89"/>
      <c r="CT113" s="89"/>
      <c r="CU113" s="89"/>
      <c r="CV113" s="89"/>
      <c r="CW113" s="89"/>
      <c r="CX113" s="89"/>
      <c r="CY113" s="89"/>
      <c r="CZ113" s="89"/>
      <c r="DA113" s="89"/>
      <c r="DB113" s="89"/>
      <c r="DC113" s="89"/>
      <c r="DD113" s="89"/>
      <c r="DE113" s="89"/>
      <c r="DF113" s="89"/>
      <c r="DG113" s="89"/>
      <c r="DH113" s="89"/>
      <c r="DI113" s="89"/>
      <c r="DJ113" s="89"/>
      <c r="DK113" s="89"/>
      <c r="DL113" s="89"/>
      <c r="DM113" s="89"/>
      <c r="DN113" s="89"/>
      <c r="DO113" s="89"/>
      <c r="DP113" s="89"/>
      <c r="DQ113" s="89"/>
      <c r="DR113" s="89"/>
      <c r="DS113" s="89"/>
      <c r="DT113" s="89"/>
      <c r="DU113" s="89"/>
      <c r="DV113" s="89"/>
      <c r="DW113" s="89"/>
      <c r="DX113" s="89"/>
      <c r="DY113" s="89"/>
      <c r="DZ113" s="89"/>
      <c r="EA113" s="89"/>
      <c r="EB113" s="89"/>
      <c r="EC113" s="89"/>
      <c r="ED113" s="89"/>
      <c r="EE113" s="89"/>
      <c r="EF113" s="89"/>
      <c r="EG113" s="89"/>
      <c r="EH113" s="89"/>
      <c r="EI113" s="89"/>
      <c r="EJ113" s="89"/>
      <c r="EK113" s="89"/>
      <c r="EL113" s="89"/>
      <c r="EM113" s="89"/>
      <c r="EN113" s="89"/>
    </row>
    <row r="114" spans="1:144" s="87" customFormat="1" ht="11.25">
      <c r="A114" s="386">
        <v>2</v>
      </c>
      <c r="B114" s="87" t="s">
        <v>20</v>
      </c>
      <c r="C114" s="99" t="s">
        <v>4</v>
      </c>
      <c r="D114" s="177" cm="1">
        <f t="array" ref="D114">SUMPRODUCT((H_Rate_Class=$B114)*'[5]Demand - T'!D$369:D$478)</f>
        <v>0</v>
      </c>
      <c r="E114" s="177" cm="1">
        <f t="array" ref="E114">SUMPRODUCT((H_Rate_Class=$B114)*'[5]Demand - T'!E$369:E$478)</f>
        <v>0</v>
      </c>
      <c r="F114" s="177" cm="1">
        <f t="array" ref="F114">SUMPRODUCT((H_Rate_Class=$B114)*'[5]Demand - T'!F$369:F$478)</f>
        <v>0</v>
      </c>
      <c r="G114" s="177" cm="1">
        <f t="array" ref="G114">SUMPRODUCT((H_Rate_Class=$B114)*'[5]Demand - T'!G$369:G$478)</f>
        <v>0</v>
      </c>
      <c r="H114" s="177" cm="1">
        <f t="array" ref="H114">SUMPRODUCT((H_Rate_Class=$B114)*'[5]Demand - T'!H$369:H$478)</f>
        <v>0</v>
      </c>
      <c r="I114" s="177" cm="1">
        <f t="array" ref="I114">SUMPRODUCT((H_Rate_Class=$B114)*'[5]Demand - T'!I$369:I$478)</f>
        <v>0</v>
      </c>
      <c r="J114" s="177" cm="1">
        <f t="array" ref="J114">SUMPRODUCT((H_Rate_Class=$B114)*'[5]Demand - T'!J$369:J$478)</f>
        <v>0</v>
      </c>
      <c r="K114" s="177" cm="1">
        <f t="array" ref="K114">SUMPRODUCT((H_Rate_Class=$B114)*'[5]Demand - T'!K$369:K$478)</f>
        <v>0</v>
      </c>
      <c r="L114" s="177" cm="1">
        <f t="array" ref="L114">SUMPRODUCT((H_Rate_Class=$B114)*'[5]Demand - T'!L$369:L$478)</f>
        <v>0</v>
      </c>
      <c r="M114" s="177" cm="1">
        <f t="array" ref="M114">SUMPRODUCT((H_Rate_Class=$B114)*'[5]Demand - T'!M$369:M$478)</f>
        <v>0</v>
      </c>
      <c r="N114" s="177" cm="1">
        <f t="array" ref="N114">SUMPRODUCT((H_Rate_Class=$B114)*'[5]Demand - T'!N$369:N$478)</f>
        <v>0</v>
      </c>
      <c r="O114" s="177" cm="1">
        <f t="array" ref="O114">SUMPRODUCT((H_Rate_Class=$B114)*'[5]Demand - T'!O$369:O$478)</f>
        <v>0</v>
      </c>
      <c r="P114" s="158">
        <f>SUM(D114:O114)</f>
        <v>0</v>
      </c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  <c r="AP114" s="89"/>
      <c r="AQ114" s="89"/>
      <c r="AR114" s="89"/>
      <c r="AS114" s="89"/>
      <c r="AT114" s="89"/>
      <c r="AU114" s="89"/>
      <c r="AV114" s="89"/>
      <c r="AW114" s="89"/>
      <c r="AX114" s="89"/>
      <c r="AY114" s="89"/>
      <c r="AZ114" s="89"/>
      <c r="BA114" s="89"/>
      <c r="BB114" s="89"/>
      <c r="BC114" s="89"/>
      <c r="BD114" s="89"/>
      <c r="BE114" s="89"/>
      <c r="BF114" s="89"/>
      <c r="BG114" s="89"/>
      <c r="BH114" s="89"/>
      <c r="BI114" s="89"/>
      <c r="BJ114" s="89"/>
      <c r="BK114" s="89"/>
      <c r="BL114" s="89"/>
      <c r="BM114" s="89"/>
      <c r="BN114" s="89"/>
      <c r="BO114" s="89"/>
      <c r="BP114" s="89"/>
      <c r="BQ114" s="89"/>
      <c r="BR114" s="89"/>
      <c r="BS114" s="89"/>
      <c r="BT114" s="89"/>
      <c r="BU114" s="89"/>
      <c r="BV114" s="89"/>
      <c r="BW114" s="89"/>
      <c r="BX114" s="89"/>
      <c r="BY114" s="89"/>
      <c r="BZ114" s="89"/>
      <c r="CA114" s="89"/>
      <c r="CB114" s="89"/>
      <c r="CC114" s="89"/>
      <c r="CD114" s="89"/>
      <c r="CE114" s="89"/>
      <c r="CF114" s="89"/>
      <c r="CG114" s="89"/>
      <c r="CH114" s="89"/>
      <c r="CI114" s="89"/>
      <c r="CJ114" s="89"/>
      <c r="CK114" s="89"/>
      <c r="CL114" s="89"/>
      <c r="CM114" s="89"/>
      <c r="CN114" s="89"/>
      <c r="CO114" s="89"/>
      <c r="CP114" s="89"/>
      <c r="CQ114" s="89"/>
      <c r="CR114" s="89"/>
      <c r="CS114" s="89"/>
      <c r="CT114" s="89"/>
      <c r="CU114" s="89"/>
      <c r="CV114" s="89"/>
      <c r="CW114" s="89"/>
      <c r="CX114" s="89"/>
      <c r="CY114" s="89"/>
      <c r="CZ114" s="89"/>
      <c r="DA114" s="89"/>
      <c r="DB114" s="89"/>
      <c r="DC114" s="89"/>
      <c r="DD114" s="89"/>
      <c r="DE114" s="89"/>
      <c r="DF114" s="89"/>
      <c r="DG114" s="89"/>
      <c r="DH114" s="89"/>
      <c r="DI114" s="89"/>
      <c r="DJ114" s="89"/>
      <c r="DK114" s="89"/>
      <c r="DL114" s="89"/>
      <c r="DM114" s="89"/>
      <c r="DN114" s="89"/>
      <c r="DO114" s="89"/>
      <c r="DP114" s="89"/>
      <c r="DQ114" s="89"/>
      <c r="DR114" s="89"/>
      <c r="DS114" s="89"/>
      <c r="DT114" s="89"/>
      <c r="DU114" s="89"/>
      <c r="DV114" s="89"/>
      <c r="DW114" s="89"/>
      <c r="DX114" s="89"/>
      <c r="DY114" s="89"/>
      <c r="DZ114" s="89"/>
      <c r="EA114" s="89"/>
      <c r="EB114" s="89"/>
      <c r="EC114" s="89"/>
      <c r="ED114" s="89"/>
      <c r="EE114" s="89"/>
      <c r="EF114" s="89"/>
      <c r="EG114" s="89"/>
      <c r="EH114" s="89"/>
      <c r="EI114" s="89"/>
      <c r="EJ114" s="89"/>
      <c r="EK114" s="89"/>
      <c r="EL114" s="89"/>
      <c r="EM114" s="89"/>
      <c r="EN114" s="89"/>
    </row>
    <row r="115" spans="1:144" s="87" customFormat="1" ht="11.25">
      <c r="A115" s="386"/>
      <c r="C115" s="99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58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89"/>
      <c r="AO115" s="89"/>
      <c r="AP115" s="89"/>
      <c r="AQ115" s="89"/>
      <c r="AR115" s="89"/>
      <c r="AS115" s="89"/>
      <c r="AT115" s="89"/>
      <c r="AU115" s="89"/>
      <c r="AV115" s="89"/>
      <c r="AW115" s="89"/>
      <c r="AX115" s="89"/>
      <c r="AY115" s="89"/>
      <c r="AZ115" s="89"/>
      <c r="BA115" s="89"/>
      <c r="BB115" s="89"/>
      <c r="BC115" s="89"/>
      <c r="BD115" s="89"/>
      <c r="BE115" s="89"/>
      <c r="BF115" s="89"/>
      <c r="BG115" s="89"/>
      <c r="BH115" s="89"/>
      <c r="BI115" s="89"/>
      <c r="BJ115" s="89"/>
      <c r="BK115" s="89"/>
      <c r="BL115" s="89"/>
      <c r="BM115" s="89"/>
      <c r="BN115" s="89"/>
      <c r="BO115" s="89"/>
      <c r="BP115" s="89"/>
      <c r="BQ115" s="89"/>
      <c r="BR115" s="89"/>
      <c r="BS115" s="89"/>
      <c r="BT115" s="89"/>
      <c r="BU115" s="89"/>
      <c r="BV115" s="89"/>
      <c r="BW115" s="89"/>
      <c r="BX115" s="89"/>
      <c r="BY115" s="89"/>
      <c r="BZ115" s="89"/>
      <c r="CA115" s="89"/>
      <c r="CB115" s="89"/>
      <c r="CC115" s="89"/>
      <c r="CD115" s="89"/>
      <c r="CE115" s="89"/>
      <c r="CF115" s="89"/>
      <c r="CG115" s="89"/>
      <c r="CH115" s="89"/>
      <c r="CI115" s="89"/>
      <c r="CJ115" s="89"/>
      <c r="CK115" s="89"/>
      <c r="CL115" s="89"/>
      <c r="CM115" s="89"/>
      <c r="CN115" s="89"/>
      <c r="CO115" s="89"/>
      <c r="CP115" s="89"/>
      <c r="CQ115" s="89"/>
      <c r="CR115" s="89"/>
      <c r="CS115" s="89"/>
      <c r="CT115" s="89"/>
      <c r="CU115" s="89"/>
      <c r="CV115" s="89"/>
      <c r="CW115" s="89"/>
      <c r="CX115" s="89"/>
      <c r="CY115" s="89"/>
      <c r="CZ115" s="89"/>
      <c r="DA115" s="89"/>
      <c r="DB115" s="89"/>
      <c r="DC115" s="89"/>
      <c r="DD115" s="89"/>
      <c r="DE115" s="89"/>
      <c r="DF115" s="89"/>
      <c r="DG115" s="89"/>
      <c r="DH115" s="89"/>
      <c r="DI115" s="89"/>
      <c r="DJ115" s="89"/>
      <c r="DK115" s="89"/>
      <c r="DL115" s="89"/>
      <c r="DM115" s="89"/>
      <c r="DN115" s="89"/>
      <c r="DO115" s="89"/>
      <c r="DP115" s="89"/>
      <c r="DQ115" s="89"/>
      <c r="DR115" s="89"/>
      <c r="DS115" s="89"/>
      <c r="DT115" s="89"/>
      <c r="DU115" s="89"/>
      <c r="DV115" s="89"/>
      <c r="DW115" s="89"/>
      <c r="DX115" s="89"/>
      <c r="DY115" s="89"/>
      <c r="DZ115" s="89"/>
      <c r="EA115" s="89"/>
      <c r="EB115" s="89"/>
      <c r="EC115" s="89"/>
      <c r="ED115" s="89"/>
      <c r="EE115" s="89"/>
      <c r="EF115" s="89"/>
      <c r="EG115" s="89"/>
      <c r="EH115" s="89"/>
      <c r="EI115" s="89"/>
      <c r="EJ115" s="89"/>
      <c r="EK115" s="89"/>
      <c r="EL115" s="89"/>
      <c r="EM115" s="89"/>
      <c r="EN115" s="89"/>
    </row>
    <row r="116" spans="1:144" s="87" customFormat="1" ht="11.25">
      <c r="A116" s="386">
        <v>3</v>
      </c>
      <c r="B116" s="87" t="s">
        <v>81</v>
      </c>
      <c r="C116" s="157" t="s">
        <v>4</v>
      </c>
      <c r="D116" s="390" cm="1">
        <f t="array" ref="D116">SUMPRODUCT((H_Rate_Class=$B116)*'[5]Demand - T'!D$369:D$478)</f>
        <v>0</v>
      </c>
      <c r="E116" s="390" cm="1">
        <f t="array" ref="E116">SUMPRODUCT((H_Rate_Class=$B116)*'[5]Demand - T'!E$369:E$478)</f>
        <v>0</v>
      </c>
      <c r="F116" s="390" cm="1">
        <f t="array" ref="F116">SUMPRODUCT((H_Rate_Class=$B116)*'[5]Demand - T'!F$369:F$478)</f>
        <v>0</v>
      </c>
      <c r="G116" s="390" cm="1">
        <f t="array" ref="G116">SUMPRODUCT((H_Rate_Class=$B116)*'[5]Demand - T'!G$369:G$478)</f>
        <v>0</v>
      </c>
      <c r="H116" s="390" cm="1">
        <f t="array" ref="H116">SUMPRODUCT((H_Rate_Class=$B116)*'[5]Demand - T'!H$369:H$478)</f>
        <v>0</v>
      </c>
      <c r="I116" s="390" cm="1">
        <f t="array" ref="I116">SUMPRODUCT((H_Rate_Class=$B116)*'[5]Demand - T'!I$369:I$478)</f>
        <v>0</v>
      </c>
      <c r="J116" s="390" cm="1">
        <f t="array" ref="J116">SUMPRODUCT((H_Rate_Class=$B116)*'[5]Demand - T'!J$369:J$478)</f>
        <v>0</v>
      </c>
      <c r="K116" s="390" cm="1">
        <f t="array" ref="K116">SUMPRODUCT((H_Rate_Class=$B116)*'[5]Demand - T'!K$369:K$478)</f>
        <v>0</v>
      </c>
      <c r="L116" s="390" cm="1">
        <f t="array" ref="L116">SUMPRODUCT((H_Rate_Class=$B116)*'[5]Demand - T'!L$369:L$478)</f>
        <v>0</v>
      </c>
      <c r="M116" s="390" cm="1">
        <f t="array" ref="M116">SUMPRODUCT((H_Rate_Class=$B116)*'[5]Demand - T'!M$369:M$478)</f>
        <v>0</v>
      </c>
      <c r="N116" s="390" cm="1">
        <f t="array" ref="N116">SUMPRODUCT((H_Rate_Class=$B116)*'[5]Demand - T'!N$369:N$478)</f>
        <v>0</v>
      </c>
      <c r="O116" s="390" cm="1">
        <f t="array" ref="O116">SUMPRODUCT((H_Rate_Class=$B116)*'[5]Demand - T'!O$369:O$478)</f>
        <v>0</v>
      </c>
      <c r="P116" s="158">
        <f>SUM(D116:O116)</f>
        <v>0</v>
      </c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  <c r="AP116" s="89"/>
      <c r="AQ116" s="89"/>
      <c r="AR116" s="89"/>
      <c r="AS116" s="89"/>
      <c r="AT116" s="89"/>
      <c r="AU116" s="89"/>
      <c r="AV116" s="89"/>
      <c r="AW116" s="89"/>
      <c r="AX116" s="89"/>
      <c r="AY116" s="89"/>
      <c r="AZ116" s="89"/>
      <c r="BA116" s="89"/>
      <c r="BB116" s="89"/>
      <c r="BC116" s="89"/>
      <c r="BD116" s="89"/>
      <c r="BE116" s="89"/>
      <c r="BF116" s="89"/>
      <c r="BG116" s="89"/>
      <c r="BH116" s="89"/>
      <c r="BI116" s="89"/>
      <c r="BJ116" s="89"/>
      <c r="BK116" s="89"/>
      <c r="BL116" s="89"/>
      <c r="BM116" s="89"/>
      <c r="BN116" s="89"/>
      <c r="BO116" s="89"/>
      <c r="BP116" s="89"/>
      <c r="BQ116" s="89"/>
      <c r="BR116" s="89"/>
      <c r="BS116" s="89"/>
      <c r="BT116" s="89"/>
      <c r="BU116" s="89"/>
      <c r="BV116" s="89"/>
      <c r="BW116" s="89"/>
      <c r="BX116" s="89"/>
      <c r="BY116" s="89"/>
      <c r="BZ116" s="89"/>
      <c r="CA116" s="89"/>
      <c r="CB116" s="89"/>
      <c r="CC116" s="89"/>
      <c r="CD116" s="89"/>
      <c r="CE116" s="89"/>
      <c r="CF116" s="89"/>
      <c r="CG116" s="89"/>
      <c r="CH116" s="89"/>
      <c r="CI116" s="89"/>
      <c r="CJ116" s="89"/>
      <c r="CK116" s="89"/>
      <c r="CL116" s="89"/>
      <c r="CM116" s="89"/>
      <c r="CN116" s="89"/>
      <c r="CO116" s="89"/>
      <c r="CP116" s="89"/>
      <c r="CQ116" s="89"/>
      <c r="CR116" s="89"/>
      <c r="CS116" s="89"/>
      <c r="CT116" s="89"/>
      <c r="CU116" s="89"/>
      <c r="CV116" s="89"/>
      <c r="CW116" s="89"/>
      <c r="CX116" s="89"/>
      <c r="CY116" s="89"/>
      <c r="CZ116" s="89"/>
      <c r="DA116" s="89"/>
      <c r="DB116" s="89"/>
      <c r="DC116" s="89"/>
      <c r="DD116" s="89"/>
      <c r="DE116" s="89"/>
      <c r="DF116" s="89"/>
      <c r="DG116" s="89"/>
      <c r="DH116" s="89"/>
      <c r="DI116" s="89"/>
      <c r="DJ116" s="89"/>
      <c r="DK116" s="89"/>
      <c r="DL116" s="89"/>
      <c r="DM116" s="89"/>
      <c r="DN116" s="89"/>
      <c r="DO116" s="89"/>
      <c r="DP116" s="89"/>
      <c r="DQ116" s="89"/>
      <c r="DR116" s="89"/>
      <c r="DS116" s="89"/>
      <c r="DT116" s="89"/>
      <c r="DU116" s="89"/>
      <c r="DV116" s="89"/>
      <c r="DW116" s="89"/>
      <c r="DX116" s="89"/>
      <c r="DY116" s="89"/>
      <c r="DZ116" s="89"/>
      <c r="EA116" s="89"/>
      <c r="EB116" s="89"/>
      <c r="EC116" s="89"/>
      <c r="ED116" s="89"/>
      <c r="EE116" s="89"/>
      <c r="EF116" s="89"/>
      <c r="EG116" s="89"/>
      <c r="EH116" s="89"/>
      <c r="EI116" s="89"/>
      <c r="EJ116" s="89"/>
      <c r="EK116" s="89"/>
      <c r="EL116" s="89"/>
      <c r="EM116" s="89"/>
      <c r="EN116" s="89"/>
    </row>
    <row r="117" spans="1:144" s="87" customFormat="1" ht="11.25">
      <c r="A117" s="386">
        <v>4</v>
      </c>
      <c r="B117" s="87" t="s">
        <v>85</v>
      </c>
      <c r="C117" s="157" t="s">
        <v>4</v>
      </c>
      <c r="D117" s="388" cm="1">
        <f t="array" ref="D117">SUMPRODUCT((H_Rate_Class=$B117)*'[5]Demand - T'!D$369:D$478)</f>
        <v>0</v>
      </c>
      <c r="E117" s="388" cm="1">
        <f t="array" ref="E117">SUMPRODUCT((H_Rate_Class=$B117)*'[5]Demand - T'!E$369:E$478)</f>
        <v>0</v>
      </c>
      <c r="F117" s="388" cm="1">
        <f t="array" ref="F117">SUMPRODUCT((H_Rate_Class=$B117)*'[5]Demand - T'!F$369:F$478)</f>
        <v>0</v>
      </c>
      <c r="G117" s="388" cm="1">
        <f t="array" ref="G117">SUMPRODUCT((H_Rate_Class=$B117)*'[5]Demand - T'!G$369:G$478)</f>
        <v>0</v>
      </c>
      <c r="H117" s="388" cm="1">
        <f t="array" ref="H117">SUMPRODUCT((H_Rate_Class=$B117)*'[5]Demand - T'!H$369:H$478)</f>
        <v>0</v>
      </c>
      <c r="I117" s="388" cm="1">
        <f t="array" ref="I117">SUMPRODUCT((H_Rate_Class=$B117)*'[5]Demand - T'!I$369:I$478)</f>
        <v>0</v>
      </c>
      <c r="J117" s="388" cm="1">
        <f t="array" ref="J117">SUMPRODUCT((H_Rate_Class=$B117)*'[5]Demand - T'!J$369:J$478)</f>
        <v>0</v>
      </c>
      <c r="K117" s="388" cm="1">
        <f t="array" ref="K117">SUMPRODUCT((H_Rate_Class=$B117)*'[5]Demand - T'!K$369:K$478)</f>
        <v>0</v>
      </c>
      <c r="L117" s="388" cm="1">
        <f t="array" ref="L117">SUMPRODUCT((H_Rate_Class=$B117)*'[5]Demand - T'!L$369:L$478)</f>
        <v>0</v>
      </c>
      <c r="M117" s="388" cm="1">
        <f t="array" ref="M117">SUMPRODUCT((H_Rate_Class=$B117)*'[5]Demand - T'!M$369:M$478)</f>
        <v>0</v>
      </c>
      <c r="N117" s="388" cm="1">
        <f t="array" ref="N117">SUMPRODUCT((H_Rate_Class=$B117)*'[5]Demand - T'!N$369:N$478)</f>
        <v>0</v>
      </c>
      <c r="O117" s="388" cm="1">
        <f t="array" ref="O117">SUMPRODUCT((H_Rate_Class=$B117)*'[5]Demand - T'!O$369:O$478)</f>
        <v>0</v>
      </c>
      <c r="P117" s="425">
        <f>SUM(D117:O117)</f>
        <v>0</v>
      </c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 s="89"/>
      <c r="BH117" s="89"/>
      <c r="BI117" s="89"/>
      <c r="BJ117" s="89"/>
      <c r="BK117" s="89"/>
      <c r="BL117" s="89"/>
      <c r="BM117" s="89"/>
      <c r="BN117" s="89"/>
      <c r="BO117" s="89"/>
      <c r="BP117" s="89"/>
      <c r="BQ117" s="89"/>
      <c r="BR117" s="89"/>
      <c r="BS117" s="89"/>
      <c r="BT117" s="89"/>
      <c r="BU117" s="89"/>
      <c r="BV117" s="89"/>
      <c r="BW117" s="89"/>
      <c r="BX117" s="89"/>
      <c r="BY117" s="89"/>
      <c r="BZ117" s="89"/>
      <c r="CA117" s="89"/>
      <c r="CB117" s="89"/>
      <c r="CC117" s="89"/>
      <c r="CD117" s="89"/>
      <c r="CE117" s="89"/>
      <c r="CF117" s="89"/>
      <c r="CG117" s="89"/>
      <c r="CH117" s="89"/>
      <c r="CI117" s="89"/>
      <c r="CJ117" s="89"/>
      <c r="CK117" s="89"/>
      <c r="CL117" s="89"/>
      <c r="CM117" s="89"/>
      <c r="CN117" s="89"/>
      <c r="CO117" s="89"/>
      <c r="CP117" s="89"/>
      <c r="CQ117" s="89"/>
      <c r="CR117" s="89"/>
      <c r="CS117" s="89"/>
      <c r="CT117" s="89"/>
      <c r="CU117" s="89"/>
      <c r="CV117" s="89"/>
      <c r="CW117" s="89"/>
      <c r="CX117" s="89"/>
      <c r="CY117" s="89"/>
      <c r="CZ117" s="89"/>
      <c r="DA117" s="89"/>
      <c r="DB117" s="89"/>
      <c r="DC117" s="89"/>
      <c r="DD117" s="89"/>
      <c r="DE117" s="89"/>
      <c r="DF117" s="89"/>
      <c r="DG117" s="89"/>
      <c r="DH117" s="89"/>
      <c r="DI117" s="89"/>
      <c r="DJ117" s="89"/>
      <c r="DK117" s="89"/>
      <c r="DL117" s="89"/>
      <c r="DM117" s="89"/>
      <c r="DN117" s="89"/>
      <c r="DO117" s="89"/>
      <c r="DP117" s="89"/>
      <c r="DQ117" s="89"/>
      <c r="DR117" s="89"/>
      <c r="DS117" s="89"/>
      <c r="DT117" s="89"/>
      <c r="DU117" s="89"/>
      <c r="DV117" s="89"/>
      <c r="DW117" s="89"/>
      <c r="DX117" s="89"/>
      <c r="DY117" s="89"/>
      <c r="DZ117" s="89"/>
      <c r="EA117" s="89"/>
      <c r="EB117" s="89"/>
      <c r="EC117" s="89"/>
      <c r="ED117" s="89"/>
      <c r="EE117" s="89"/>
      <c r="EF117" s="89"/>
      <c r="EG117" s="89"/>
      <c r="EH117" s="89"/>
      <c r="EI117" s="89"/>
      <c r="EJ117" s="89"/>
      <c r="EK117" s="89"/>
      <c r="EL117" s="89"/>
      <c r="EM117" s="89"/>
      <c r="EN117" s="89"/>
    </row>
    <row r="118" spans="1:144" s="87" customFormat="1" ht="11.25">
      <c r="A118" s="386">
        <v>5</v>
      </c>
      <c r="B118" s="131" t="s">
        <v>18</v>
      </c>
      <c r="C118" s="99"/>
      <c r="D118" s="177">
        <f t="shared" ref="D118:P118" si="23">SUM(D116:D117)</f>
        <v>0</v>
      </c>
      <c r="E118" s="177">
        <f t="shared" si="23"/>
        <v>0</v>
      </c>
      <c r="F118" s="177">
        <f t="shared" si="23"/>
        <v>0</v>
      </c>
      <c r="G118" s="177">
        <f t="shared" si="23"/>
        <v>0</v>
      </c>
      <c r="H118" s="177">
        <f t="shared" si="23"/>
        <v>0</v>
      </c>
      <c r="I118" s="177">
        <f t="shared" si="23"/>
        <v>0</v>
      </c>
      <c r="J118" s="177">
        <f t="shared" si="23"/>
        <v>0</v>
      </c>
      <c r="K118" s="177">
        <f t="shared" si="23"/>
        <v>0</v>
      </c>
      <c r="L118" s="177">
        <f t="shared" si="23"/>
        <v>0</v>
      </c>
      <c r="M118" s="177">
        <f t="shared" si="23"/>
        <v>0</v>
      </c>
      <c r="N118" s="177">
        <f t="shared" si="23"/>
        <v>0</v>
      </c>
      <c r="O118" s="177">
        <f t="shared" si="23"/>
        <v>0</v>
      </c>
      <c r="P118" s="177">
        <f t="shared" si="23"/>
        <v>0</v>
      </c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  <c r="AP118" s="89"/>
      <c r="AQ118" s="89"/>
      <c r="AR118" s="89"/>
      <c r="AS118" s="89"/>
      <c r="AT118" s="89"/>
      <c r="AU118" s="89"/>
      <c r="AV118" s="89"/>
      <c r="AW118" s="89"/>
      <c r="AX118" s="89"/>
      <c r="AY118" s="89"/>
      <c r="AZ118" s="89"/>
      <c r="BA118" s="89"/>
      <c r="BB118" s="89"/>
      <c r="BC118" s="89"/>
      <c r="BD118" s="89"/>
      <c r="BE118" s="89"/>
      <c r="BF118" s="89"/>
      <c r="BG118" s="89"/>
      <c r="BH118" s="89"/>
      <c r="BI118" s="89"/>
      <c r="BJ118" s="89"/>
      <c r="BK118" s="89"/>
      <c r="BL118" s="89"/>
      <c r="BM118" s="89"/>
      <c r="BN118" s="89"/>
      <c r="BO118" s="89"/>
      <c r="BP118" s="89"/>
      <c r="BQ118" s="89"/>
      <c r="BR118" s="89"/>
      <c r="BS118" s="89"/>
      <c r="BT118" s="89"/>
      <c r="BU118" s="89"/>
      <c r="BV118" s="89"/>
      <c r="BW118" s="89"/>
      <c r="BX118" s="89"/>
      <c r="BY118" s="89"/>
      <c r="BZ118" s="89"/>
      <c r="CA118" s="89"/>
      <c r="CB118" s="89"/>
      <c r="CC118" s="89"/>
      <c r="CD118" s="89"/>
      <c r="CE118" s="89"/>
      <c r="CF118" s="89"/>
      <c r="CG118" s="89"/>
      <c r="CH118" s="89"/>
      <c r="CI118" s="89"/>
      <c r="CJ118" s="89"/>
      <c r="CK118" s="89"/>
      <c r="CL118" s="89"/>
      <c r="CM118" s="89"/>
      <c r="CN118" s="89"/>
      <c r="CO118" s="89"/>
      <c r="CP118" s="89"/>
      <c r="CQ118" s="89"/>
      <c r="CR118" s="89"/>
      <c r="CS118" s="89"/>
      <c r="CT118" s="89"/>
      <c r="CU118" s="89"/>
      <c r="CV118" s="89"/>
      <c r="CW118" s="89"/>
      <c r="CX118" s="89"/>
      <c r="CY118" s="89"/>
      <c r="CZ118" s="89"/>
      <c r="DA118" s="89"/>
      <c r="DB118" s="89"/>
      <c r="DC118" s="89"/>
      <c r="DD118" s="89"/>
      <c r="DE118" s="89"/>
      <c r="DF118" s="89"/>
      <c r="DG118" s="89"/>
      <c r="DH118" s="89"/>
      <c r="DI118" s="89"/>
      <c r="DJ118" s="89"/>
      <c r="DK118" s="89"/>
      <c r="DL118" s="89"/>
      <c r="DM118" s="89"/>
      <c r="DN118" s="89"/>
      <c r="DO118" s="89"/>
      <c r="DP118" s="89"/>
      <c r="DQ118" s="89"/>
      <c r="DR118" s="89"/>
      <c r="DS118" s="89"/>
      <c r="DT118" s="89"/>
      <c r="DU118" s="89"/>
      <c r="DV118" s="89"/>
      <c r="DW118" s="89"/>
      <c r="DX118" s="89"/>
      <c r="DY118" s="89"/>
      <c r="DZ118" s="89"/>
      <c r="EA118" s="89"/>
      <c r="EB118" s="89"/>
      <c r="EC118" s="89"/>
      <c r="ED118" s="89"/>
      <c r="EE118" s="89"/>
      <c r="EF118" s="89"/>
      <c r="EG118" s="89"/>
      <c r="EH118" s="89"/>
      <c r="EI118" s="89"/>
      <c r="EJ118" s="89"/>
      <c r="EK118" s="89"/>
      <c r="EL118" s="89"/>
      <c r="EM118" s="89"/>
      <c r="EN118" s="89"/>
    </row>
    <row r="119" spans="1:144" s="87" customFormat="1" ht="11.25">
      <c r="A119" s="4"/>
      <c r="B119" s="147"/>
      <c r="C119" s="99"/>
      <c r="D119" s="177"/>
      <c r="E119" s="177"/>
      <c r="F119" s="177"/>
      <c r="G119" s="177"/>
      <c r="H119" s="177"/>
      <c r="I119" s="177"/>
      <c r="J119" s="177"/>
      <c r="K119" s="177"/>
      <c r="L119" s="177"/>
      <c r="M119" s="177"/>
      <c r="N119" s="177"/>
      <c r="O119" s="177"/>
      <c r="P119" s="158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  <c r="AS119" s="89"/>
      <c r="AT119" s="89"/>
      <c r="AU119" s="89"/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89"/>
      <c r="BX119" s="89"/>
      <c r="BY119" s="89"/>
      <c r="BZ119" s="89"/>
      <c r="CA119" s="89"/>
      <c r="CB119" s="89"/>
      <c r="CC119" s="89"/>
      <c r="CD119" s="89"/>
      <c r="CE119" s="89"/>
      <c r="CF119" s="89"/>
      <c r="CG119" s="89"/>
      <c r="CH119" s="89"/>
      <c r="CI119" s="89"/>
      <c r="CJ119" s="89"/>
      <c r="CK119" s="89"/>
      <c r="CL119" s="89"/>
      <c r="CM119" s="89"/>
      <c r="CN119" s="89"/>
      <c r="CO119" s="89"/>
      <c r="CP119" s="89"/>
      <c r="CQ119" s="89"/>
      <c r="CR119" s="89"/>
      <c r="CS119" s="89"/>
      <c r="CT119" s="89"/>
      <c r="CU119" s="89"/>
      <c r="CV119" s="89"/>
      <c r="CW119" s="89"/>
      <c r="CX119" s="89"/>
      <c r="CY119" s="89"/>
      <c r="CZ119" s="89"/>
      <c r="DA119" s="89"/>
      <c r="DB119" s="89"/>
      <c r="DC119" s="89"/>
      <c r="DD119" s="89"/>
      <c r="DE119" s="89"/>
      <c r="DF119" s="89"/>
      <c r="DG119" s="89"/>
      <c r="DH119" s="89"/>
      <c r="DI119" s="89"/>
      <c r="DJ119" s="89"/>
      <c r="DK119" s="89"/>
      <c r="DL119" s="89"/>
      <c r="DM119" s="89"/>
      <c r="DN119" s="89"/>
      <c r="DO119" s="89"/>
      <c r="DP119" s="89"/>
      <c r="DQ119" s="89"/>
      <c r="DR119" s="89"/>
      <c r="DS119" s="89"/>
      <c r="DT119" s="89"/>
      <c r="DU119" s="89"/>
      <c r="DV119" s="89"/>
      <c r="DW119" s="89"/>
      <c r="DX119" s="89"/>
      <c r="DY119" s="89"/>
      <c r="DZ119" s="89"/>
      <c r="EA119" s="89"/>
      <c r="EB119" s="89"/>
      <c r="EC119" s="89"/>
      <c r="ED119" s="89"/>
      <c r="EE119" s="89"/>
      <c r="EF119" s="89"/>
      <c r="EG119" s="89"/>
      <c r="EH119" s="89"/>
      <c r="EI119" s="89"/>
      <c r="EJ119" s="89"/>
      <c r="EK119" s="89"/>
      <c r="EL119" s="89"/>
      <c r="EM119" s="89"/>
      <c r="EN119" s="89"/>
    </row>
    <row r="120" spans="1:144" s="87" customFormat="1" ht="11.25">
      <c r="A120" s="386">
        <v>6</v>
      </c>
      <c r="B120" s="87" t="s">
        <v>82</v>
      </c>
      <c r="C120" s="157" t="s">
        <v>5</v>
      </c>
      <c r="D120" s="177" cm="1">
        <f t="array" ref="D120">SUMPRODUCT((H_Rate_Class=$B120)*'[5]Demand - T'!D$369:D$478)</f>
        <v>0</v>
      </c>
      <c r="E120" s="177" cm="1">
        <f t="array" ref="E120">SUMPRODUCT((H_Rate_Class=$B120)*'[5]Demand - T'!E$369:E$478)</f>
        <v>0</v>
      </c>
      <c r="F120" s="177" cm="1">
        <f t="array" ref="F120">SUMPRODUCT((H_Rate_Class=$B120)*'[5]Demand - T'!F$369:F$478)</f>
        <v>0</v>
      </c>
      <c r="G120" s="177" cm="1">
        <f t="array" ref="G120">SUMPRODUCT((H_Rate_Class=$B120)*'[5]Demand - T'!G$369:G$478)</f>
        <v>0</v>
      </c>
      <c r="H120" s="177" cm="1">
        <f t="array" ref="H120">SUMPRODUCT((H_Rate_Class=$B120)*'[5]Demand - T'!H$369:H$478)</f>
        <v>0</v>
      </c>
      <c r="I120" s="177" cm="1">
        <f t="array" ref="I120">SUMPRODUCT((H_Rate_Class=$B120)*'[5]Demand - T'!I$369:I$478)</f>
        <v>0</v>
      </c>
      <c r="J120" s="177" cm="1">
        <f t="array" ref="J120">SUMPRODUCT((H_Rate_Class=$B120)*'[5]Demand - T'!J$369:J$478)</f>
        <v>0</v>
      </c>
      <c r="K120" s="177" cm="1">
        <f t="array" ref="K120">SUMPRODUCT((H_Rate_Class=$B120)*'[5]Demand - T'!K$369:K$478)</f>
        <v>0</v>
      </c>
      <c r="L120" s="177" cm="1">
        <f t="array" ref="L120">SUMPRODUCT((H_Rate_Class=$B120)*'[5]Demand - T'!L$369:L$478)</f>
        <v>0</v>
      </c>
      <c r="M120" s="177" cm="1">
        <f t="array" ref="M120">SUMPRODUCT((H_Rate_Class=$B120)*'[5]Demand - T'!M$369:M$478)</f>
        <v>0</v>
      </c>
      <c r="N120" s="177" cm="1">
        <f t="array" ref="N120">SUMPRODUCT((H_Rate_Class=$B120)*'[5]Demand - T'!N$369:N$478)</f>
        <v>0</v>
      </c>
      <c r="O120" s="177" cm="1">
        <f t="array" ref="O120">SUMPRODUCT((H_Rate_Class=$B120)*'[5]Demand - T'!O$369:O$478)</f>
        <v>0</v>
      </c>
      <c r="P120" s="158">
        <f>SUM(D120:O120)</f>
        <v>0</v>
      </c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O120" s="89"/>
      <c r="AP120" s="89"/>
      <c r="AQ120" s="89"/>
      <c r="AR120" s="89"/>
      <c r="AS120" s="89"/>
      <c r="AT120" s="89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9"/>
      <c r="BF120" s="89"/>
      <c r="BG120" s="89"/>
      <c r="BH120" s="89"/>
      <c r="BI120" s="89"/>
      <c r="BJ120" s="89"/>
      <c r="BK120" s="89"/>
      <c r="BL120" s="89"/>
      <c r="BM120" s="89"/>
      <c r="BN120" s="89"/>
      <c r="BO120" s="89"/>
      <c r="BP120" s="89"/>
      <c r="BQ120" s="89"/>
      <c r="BR120" s="89"/>
      <c r="BS120" s="89"/>
      <c r="BT120" s="89"/>
      <c r="BU120" s="89"/>
      <c r="BV120" s="89"/>
      <c r="BW120" s="89"/>
      <c r="BX120" s="89"/>
      <c r="BY120" s="89"/>
      <c r="BZ120" s="89"/>
      <c r="CA120" s="89"/>
      <c r="CB120" s="89"/>
      <c r="CC120" s="89"/>
      <c r="CD120" s="89"/>
      <c r="CE120" s="89"/>
      <c r="CF120" s="89"/>
      <c r="CG120" s="89"/>
      <c r="CH120" s="89"/>
      <c r="CI120" s="89"/>
      <c r="CJ120" s="89"/>
      <c r="CK120" s="89"/>
      <c r="CL120" s="89"/>
      <c r="CM120" s="89"/>
      <c r="CN120" s="89"/>
      <c r="CO120" s="89"/>
      <c r="CP120" s="89"/>
      <c r="CQ120" s="89"/>
      <c r="CR120" s="89"/>
      <c r="CS120" s="89"/>
      <c r="CT120" s="89"/>
      <c r="CU120" s="89"/>
      <c r="CV120" s="89"/>
      <c r="CW120" s="89"/>
      <c r="CX120" s="89"/>
      <c r="CY120" s="89"/>
      <c r="CZ120" s="89"/>
      <c r="DA120" s="89"/>
      <c r="DB120" s="89"/>
      <c r="DC120" s="89"/>
      <c r="DD120" s="89"/>
      <c r="DE120" s="89"/>
      <c r="DF120" s="89"/>
      <c r="DG120" s="89"/>
      <c r="DH120" s="89"/>
      <c r="DI120" s="89"/>
      <c r="DJ120" s="89"/>
      <c r="DK120" s="89"/>
      <c r="DL120" s="89"/>
      <c r="DM120" s="89"/>
      <c r="DN120" s="89"/>
      <c r="DO120" s="89"/>
      <c r="DP120" s="89"/>
      <c r="DQ120" s="89"/>
      <c r="DR120" s="89"/>
      <c r="DS120" s="89"/>
      <c r="DT120" s="89"/>
      <c r="DU120" s="89"/>
      <c r="DV120" s="89"/>
      <c r="DW120" s="89"/>
      <c r="DX120" s="89"/>
      <c r="DY120" s="89"/>
      <c r="DZ120" s="89"/>
      <c r="EA120" s="89"/>
      <c r="EB120" s="89"/>
      <c r="EC120" s="89"/>
      <c r="ED120" s="89"/>
      <c r="EE120" s="89"/>
      <c r="EF120" s="89"/>
      <c r="EG120" s="89"/>
      <c r="EH120" s="89"/>
      <c r="EI120" s="89"/>
      <c r="EJ120" s="89"/>
      <c r="EK120" s="89"/>
      <c r="EL120" s="89"/>
      <c r="EM120" s="89"/>
      <c r="EN120" s="89"/>
    </row>
    <row r="121" spans="1:144" s="87" customFormat="1" ht="11.25">
      <c r="A121" s="386">
        <v>7</v>
      </c>
      <c r="B121" s="87" t="s">
        <v>83</v>
      </c>
      <c r="C121" s="157" t="s">
        <v>5</v>
      </c>
      <c r="D121" s="390" cm="1">
        <f t="array" ref="D121">SUMPRODUCT((H_Rate_Class=$B121)*'[5]Demand - T'!D$369:D$478)</f>
        <v>0</v>
      </c>
      <c r="E121" s="390" cm="1">
        <f t="array" ref="E121">SUMPRODUCT((H_Rate_Class=$B121)*'[5]Demand - T'!E$369:E$478)</f>
        <v>0</v>
      </c>
      <c r="F121" s="390" cm="1">
        <f t="array" ref="F121">SUMPRODUCT((H_Rate_Class=$B121)*'[5]Demand - T'!F$369:F$478)</f>
        <v>0</v>
      </c>
      <c r="G121" s="390" cm="1">
        <f t="array" ref="G121">SUMPRODUCT((H_Rate_Class=$B121)*'[5]Demand - T'!G$369:G$478)</f>
        <v>0</v>
      </c>
      <c r="H121" s="390" cm="1">
        <f t="array" ref="H121">SUMPRODUCT((H_Rate_Class=$B121)*'[5]Demand - T'!H$369:H$478)</f>
        <v>0</v>
      </c>
      <c r="I121" s="390" cm="1">
        <f t="array" ref="I121">SUMPRODUCT((H_Rate_Class=$B121)*'[5]Demand - T'!I$369:I$478)</f>
        <v>0</v>
      </c>
      <c r="J121" s="390" cm="1">
        <f t="array" ref="J121">SUMPRODUCT((H_Rate_Class=$B121)*'[5]Demand - T'!J$369:J$478)</f>
        <v>0</v>
      </c>
      <c r="K121" s="390" cm="1">
        <f t="array" ref="K121">SUMPRODUCT((H_Rate_Class=$B121)*'[5]Demand - T'!K$369:K$478)</f>
        <v>0</v>
      </c>
      <c r="L121" s="390" cm="1">
        <f t="array" ref="L121">SUMPRODUCT((H_Rate_Class=$B121)*'[5]Demand - T'!L$369:L$478)</f>
        <v>0</v>
      </c>
      <c r="M121" s="390" cm="1">
        <f t="array" ref="M121">SUMPRODUCT((H_Rate_Class=$B121)*'[5]Demand - T'!M$369:M$478)</f>
        <v>0</v>
      </c>
      <c r="N121" s="390" cm="1">
        <f t="array" ref="N121">SUMPRODUCT((H_Rate_Class=$B121)*'[5]Demand - T'!N$369:N$478)</f>
        <v>0</v>
      </c>
      <c r="O121" s="390" cm="1">
        <f t="array" ref="O121">SUMPRODUCT((H_Rate_Class=$B121)*'[5]Demand - T'!O$369:O$478)</f>
        <v>0</v>
      </c>
      <c r="P121" s="158">
        <f>SUM(D121:O121)</f>
        <v>0</v>
      </c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O121" s="89"/>
      <c r="AP121" s="89"/>
      <c r="AQ121" s="89"/>
      <c r="AR121" s="89"/>
      <c r="AS121" s="89"/>
      <c r="AT121" s="89"/>
      <c r="AU121" s="89"/>
      <c r="AV121" s="89"/>
      <c r="AW121" s="89"/>
      <c r="AX121" s="89"/>
      <c r="AY121" s="89"/>
      <c r="AZ121" s="89"/>
      <c r="BA121" s="89"/>
      <c r="BB121" s="89"/>
      <c r="BC121" s="89"/>
      <c r="BD121" s="89"/>
      <c r="BE121" s="89"/>
      <c r="BF121" s="89"/>
      <c r="BG121" s="89"/>
      <c r="BH121" s="89"/>
      <c r="BI121" s="89"/>
      <c r="BJ121" s="89"/>
      <c r="BK121" s="89"/>
      <c r="BL121" s="89"/>
      <c r="BM121" s="89"/>
      <c r="BN121" s="89"/>
      <c r="BO121" s="89"/>
      <c r="BP121" s="89"/>
      <c r="BQ121" s="89"/>
      <c r="BR121" s="89"/>
      <c r="BS121" s="89"/>
      <c r="BT121" s="89"/>
      <c r="BU121" s="89"/>
      <c r="BV121" s="89"/>
      <c r="BW121" s="89"/>
      <c r="BX121" s="89"/>
      <c r="BY121" s="89"/>
      <c r="BZ121" s="89"/>
      <c r="CA121" s="89"/>
      <c r="CB121" s="89"/>
      <c r="CC121" s="89"/>
      <c r="CD121" s="89"/>
      <c r="CE121" s="89"/>
      <c r="CF121" s="89"/>
      <c r="CG121" s="89"/>
      <c r="CH121" s="89"/>
      <c r="CI121" s="89"/>
      <c r="CJ121" s="89"/>
      <c r="CK121" s="89"/>
      <c r="CL121" s="89"/>
      <c r="CM121" s="89"/>
      <c r="CN121" s="89"/>
      <c r="CO121" s="89"/>
      <c r="CP121" s="89"/>
      <c r="CQ121" s="89"/>
      <c r="CR121" s="89"/>
      <c r="CS121" s="89"/>
      <c r="CT121" s="89"/>
      <c r="CU121" s="89"/>
      <c r="CV121" s="89"/>
      <c r="CW121" s="89"/>
      <c r="CX121" s="89"/>
      <c r="CY121" s="89"/>
      <c r="CZ121" s="89"/>
      <c r="DA121" s="89"/>
      <c r="DB121" s="89"/>
      <c r="DC121" s="89"/>
      <c r="DD121" s="89"/>
      <c r="DE121" s="89"/>
      <c r="DF121" s="89"/>
      <c r="DG121" s="89"/>
      <c r="DH121" s="89"/>
      <c r="DI121" s="89"/>
      <c r="DJ121" s="89"/>
      <c r="DK121" s="89"/>
      <c r="DL121" s="89"/>
      <c r="DM121" s="89"/>
      <c r="DN121" s="89"/>
      <c r="DO121" s="89"/>
      <c r="DP121" s="89"/>
      <c r="DQ121" s="89"/>
      <c r="DR121" s="89"/>
      <c r="DS121" s="89"/>
      <c r="DT121" s="89"/>
      <c r="DU121" s="89"/>
      <c r="DV121" s="89"/>
      <c r="DW121" s="89"/>
      <c r="DX121" s="89"/>
      <c r="DY121" s="89"/>
      <c r="DZ121" s="89"/>
      <c r="EA121" s="89"/>
      <c r="EB121" s="89"/>
      <c r="EC121" s="89"/>
      <c r="ED121" s="89"/>
      <c r="EE121" s="89"/>
      <c r="EF121" s="89"/>
      <c r="EG121" s="89"/>
      <c r="EH121" s="89"/>
      <c r="EI121" s="89"/>
      <c r="EJ121" s="89"/>
      <c r="EK121" s="89"/>
      <c r="EL121" s="89"/>
      <c r="EM121" s="89"/>
      <c r="EN121" s="89"/>
    </row>
    <row r="122" spans="1:144" s="87" customFormat="1" ht="11.25">
      <c r="A122" s="386">
        <v>8</v>
      </c>
      <c r="B122" s="87" t="s">
        <v>148</v>
      </c>
      <c r="C122" s="157" t="s">
        <v>5</v>
      </c>
      <c r="D122" s="390" cm="1">
        <f t="array" ref="D122">SUMPRODUCT((H_Rate_Class=$B122)*'[5]Demand - T'!D$369:D$478)</f>
        <v>0</v>
      </c>
      <c r="E122" s="390" cm="1">
        <f t="array" ref="E122">SUMPRODUCT((H_Rate_Class=$B122)*'[5]Demand - T'!E$369:E$478)</f>
        <v>0</v>
      </c>
      <c r="F122" s="390" cm="1">
        <f t="array" ref="F122">SUMPRODUCT((H_Rate_Class=$B122)*'[5]Demand - T'!F$369:F$478)</f>
        <v>0</v>
      </c>
      <c r="G122" s="390" cm="1">
        <f t="array" ref="G122">SUMPRODUCT((H_Rate_Class=$B122)*'[5]Demand - T'!G$369:G$478)</f>
        <v>0</v>
      </c>
      <c r="H122" s="390" cm="1">
        <f t="array" ref="H122">SUMPRODUCT((H_Rate_Class=$B122)*'[5]Demand - T'!H$369:H$478)</f>
        <v>0</v>
      </c>
      <c r="I122" s="390" cm="1">
        <f t="array" ref="I122">SUMPRODUCT((H_Rate_Class=$B122)*'[5]Demand - T'!I$369:I$478)</f>
        <v>0</v>
      </c>
      <c r="J122" s="390" cm="1">
        <f t="array" ref="J122">SUMPRODUCT((H_Rate_Class=$B122)*'[5]Demand - T'!J$369:J$478)</f>
        <v>0</v>
      </c>
      <c r="K122" s="390" cm="1">
        <f t="array" ref="K122">SUMPRODUCT((H_Rate_Class=$B122)*'[5]Demand - T'!K$369:K$478)</f>
        <v>0</v>
      </c>
      <c r="L122" s="390" cm="1">
        <f t="array" ref="L122">SUMPRODUCT((H_Rate_Class=$B122)*'[5]Demand - T'!L$369:L$478)</f>
        <v>0</v>
      </c>
      <c r="M122" s="390" cm="1">
        <f t="array" ref="M122">SUMPRODUCT((H_Rate_Class=$B122)*'[5]Demand - T'!M$369:M$478)</f>
        <v>0</v>
      </c>
      <c r="N122" s="390" cm="1">
        <f t="array" ref="N122">SUMPRODUCT((H_Rate_Class=$B122)*'[5]Demand - T'!N$369:N$478)</f>
        <v>0</v>
      </c>
      <c r="O122" s="390" cm="1">
        <f t="array" ref="O122">SUMPRODUCT((H_Rate_Class=$B122)*'[5]Demand - T'!O$369:O$478)</f>
        <v>0</v>
      </c>
      <c r="P122" s="158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89"/>
      <c r="AS122" s="89"/>
      <c r="AT122" s="89"/>
      <c r="AU122" s="89"/>
      <c r="AV122" s="89"/>
      <c r="AW122" s="89"/>
      <c r="AX122" s="89"/>
      <c r="AY122" s="89"/>
      <c r="AZ122" s="89"/>
      <c r="BA122" s="89"/>
      <c r="BB122" s="89"/>
      <c r="BC122" s="89"/>
      <c r="BD122" s="89"/>
      <c r="BE122" s="89"/>
      <c r="BF122" s="89"/>
      <c r="BG122" s="89"/>
      <c r="BH122" s="89"/>
      <c r="BI122" s="89"/>
      <c r="BJ122" s="89"/>
      <c r="BK122" s="89"/>
      <c r="BL122" s="89"/>
      <c r="BM122" s="89"/>
      <c r="BN122" s="89"/>
      <c r="BO122" s="89"/>
      <c r="BP122" s="89"/>
      <c r="BQ122" s="89"/>
      <c r="BR122" s="89"/>
      <c r="BS122" s="89"/>
      <c r="BT122" s="89"/>
      <c r="BU122" s="89"/>
      <c r="BV122" s="89"/>
      <c r="BW122" s="89"/>
      <c r="BX122" s="89"/>
      <c r="BY122" s="89"/>
      <c r="BZ122" s="89"/>
      <c r="CA122" s="89"/>
      <c r="CB122" s="89"/>
      <c r="CC122" s="89"/>
      <c r="CD122" s="89"/>
      <c r="CE122" s="89"/>
      <c r="CF122" s="89"/>
      <c r="CG122" s="89"/>
      <c r="CH122" s="89"/>
      <c r="CI122" s="89"/>
      <c r="CJ122" s="89"/>
      <c r="CK122" s="89"/>
      <c r="CL122" s="89"/>
      <c r="CM122" s="89"/>
      <c r="CN122" s="89"/>
      <c r="CO122" s="89"/>
      <c r="CP122" s="89"/>
      <c r="CQ122" s="89"/>
      <c r="CR122" s="89"/>
      <c r="CS122" s="89"/>
      <c r="CT122" s="89"/>
      <c r="CU122" s="89"/>
      <c r="CV122" s="89"/>
      <c r="CW122" s="89"/>
      <c r="CX122" s="89"/>
      <c r="CY122" s="89"/>
      <c r="CZ122" s="89"/>
      <c r="DA122" s="89"/>
      <c r="DB122" s="89"/>
      <c r="DC122" s="89"/>
      <c r="DD122" s="89"/>
      <c r="DE122" s="89"/>
      <c r="DF122" s="89"/>
      <c r="DG122" s="89"/>
      <c r="DH122" s="89"/>
      <c r="DI122" s="89"/>
      <c r="DJ122" s="89"/>
      <c r="DK122" s="89"/>
      <c r="DL122" s="89"/>
      <c r="DM122" s="89"/>
      <c r="DN122" s="89"/>
      <c r="DO122" s="89"/>
      <c r="DP122" s="89"/>
      <c r="DQ122" s="89"/>
      <c r="DR122" s="89"/>
      <c r="DS122" s="89"/>
      <c r="DT122" s="89"/>
      <c r="DU122" s="89"/>
      <c r="DV122" s="89"/>
      <c r="DW122" s="89"/>
      <c r="DX122" s="89"/>
      <c r="DY122" s="89"/>
      <c r="DZ122" s="89"/>
      <c r="EA122" s="89"/>
      <c r="EB122" s="89"/>
      <c r="EC122" s="89"/>
      <c r="ED122" s="89"/>
      <c r="EE122" s="89"/>
      <c r="EF122" s="89"/>
      <c r="EG122" s="89"/>
      <c r="EH122" s="89"/>
      <c r="EI122" s="89"/>
      <c r="EJ122" s="89"/>
      <c r="EK122" s="89"/>
      <c r="EL122" s="89"/>
      <c r="EM122" s="89"/>
      <c r="EN122" s="89"/>
    </row>
    <row r="123" spans="1:144" s="87" customFormat="1" ht="11.25">
      <c r="A123" s="386">
        <v>9</v>
      </c>
      <c r="B123" s="87" t="s">
        <v>149</v>
      </c>
      <c r="C123" s="157" t="s">
        <v>5</v>
      </c>
      <c r="D123" s="390" cm="1">
        <f t="array" ref="D123">SUMPRODUCT((H_Rate_Class=$B123)*'[5]Demand - T'!D$369:D$478)</f>
        <v>0</v>
      </c>
      <c r="E123" s="390" cm="1">
        <f t="array" ref="E123">SUMPRODUCT((H_Rate_Class=$B123)*'[5]Demand - T'!E$369:E$478)</f>
        <v>0</v>
      </c>
      <c r="F123" s="390" cm="1">
        <f t="array" ref="F123">SUMPRODUCT((H_Rate_Class=$B123)*'[5]Demand - T'!F$369:F$478)</f>
        <v>0</v>
      </c>
      <c r="G123" s="390" cm="1">
        <f t="array" ref="G123">SUMPRODUCT((H_Rate_Class=$B123)*'[5]Demand - T'!G$369:G$478)</f>
        <v>0</v>
      </c>
      <c r="H123" s="390" cm="1">
        <f t="array" ref="H123">SUMPRODUCT((H_Rate_Class=$B123)*'[5]Demand - T'!H$369:H$478)</f>
        <v>0</v>
      </c>
      <c r="I123" s="390" cm="1">
        <f t="array" ref="I123">SUMPRODUCT((H_Rate_Class=$B123)*'[5]Demand - T'!I$369:I$478)</f>
        <v>0</v>
      </c>
      <c r="J123" s="390" cm="1">
        <f t="array" ref="J123">SUMPRODUCT((H_Rate_Class=$B123)*'[5]Demand - T'!J$369:J$478)</f>
        <v>0</v>
      </c>
      <c r="K123" s="390" cm="1">
        <f t="array" ref="K123">SUMPRODUCT((H_Rate_Class=$B123)*'[5]Demand - T'!K$369:K$478)</f>
        <v>0</v>
      </c>
      <c r="L123" s="390" cm="1">
        <f t="array" ref="L123">SUMPRODUCT((H_Rate_Class=$B123)*'[5]Demand - T'!L$369:L$478)</f>
        <v>0</v>
      </c>
      <c r="M123" s="390" cm="1">
        <f t="array" ref="M123">SUMPRODUCT((H_Rate_Class=$B123)*'[5]Demand - T'!M$369:M$478)</f>
        <v>0</v>
      </c>
      <c r="N123" s="390" cm="1">
        <f t="array" ref="N123">SUMPRODUCT((H_Rate_Class=$B123)*'[5]Demand - T'!N$369:N$478)</f>
        <v>0</v>
      </c>
      <c r="O123" s="390" cm="1">
        <f t="array" ref="O123">SUMPRODUCT((H_Rate_Class=$B123)*'[5]Demand - T'!O$369:O$478)</f>
        <v>0</v>
      </c>
      <c r="P123" s="158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  <c r="AP123" s="89"/>
      <c r="AQ123" s="89"/>
      <c r="AR123" s="89"/>
      <c r="AS123" s="89"/>
      <c r="AT123" s="89"/>
      <c r="AU123" s="89"/>
      <c r="AV123" s="89"/>
      <c r="AW123" s="89"/>
      <c r="AX123" s="89"/>
      <c r="AY123" s="89"/>
      <c r="AZ123" s="89"/>
      <c r="BA123" s="89"/>
      <c r="BB123" s="89"/>
      <c r="BC123" s="89"/>
      <c r="BD123" s="89"/>
      <c r="BE123" s="89"/>
      <c r="BF123" s="89"/>
      <c r="BG123" s="89"/>
      <c r="BH123" s="89"/>
      <c r="BI123" s="89"/>
      <c r="BJ123" s="89"/>
      <c r="BK123" s="89"/>
      <c r="BL123" s="89"/>
      <c r="BM123" s="89"/>
      <c r="BN123" s="89"/>
      <c r="BO123" s="89"/>
      <c r="BP123" s="89"/>
      <c r="BQ123" s="89"/>
      <c r="BR123" s="89"/>
      <c r="BS123" s="89"/>
      <c r="BT123" s="89"/>
      <c r="BU123" s="89"/>
      <c r="BV123" s="89"/>
      <c r="BW123" s="89"/>
      <c r="BX123" s="89"/>
      <c r="BY123" s="89"/>
      <c r="BZ123" s="89"/>
      <c r="CA123" s="89"/>
      <c r="CB123" s="89"/>
      <c r="CC123" s="89"/>
      <c r="CD123" s="89"/>
      <c r="CE123" s="89"/>
      <c r="CF123" s="89"/>
      <c r="CG123" s="89"/>
      <c r="CH123" s="89"/>
      <c r="CI123" s="89"/>
      <c r="CJ123" s="89"/>
      <c r="CK123" s="89"/>
      <c r="CL123" s="89"/>
      <c r="CM123" s="89"/>
      <c r="CN123" s="89"/>
      <c r="CO123" s="89"/>
      <c r="CP123" s="89"/>
      <c r="CQ123" s="89"/>
      <c r="CR123" s="89"/>
      <c r="CS123" s="89"/>
      <c r="CT123" s="89"/>
      <c r="CU123" s="89"/>
      <c r="CV123" s="89"/>
      <c r="CW123" s="89"/>
      <c r="CX123" s="89"/>
      <c r="CY123" s="89"/>
      <c r="CZ123" s="89"/>
      <c r="DA123" s="89"/>
      <c r="DB123" s="89"/>
      <c r="DC123" s="89"/>
      <c r="DD123" s="89"/>
      <c r="DE123" s="89"/>
      <c r="DF123" s="89"/>
      <c r="DG123" s="89"/>
      <c r="DH123" s="89"/>
      <c r="DI123" s="89"/>
      <c r="DJ123" s="89"/>
      <c r="DK123" s="89"/>
      <c r="DL123" s="89"/>
      <c r="DM123" s="89"/>
      <c r="DN123" s="89"/>
      <c r="DO123" s="89"/>
      <c r="DP123" s="89"/>
      <c r="DQ123" s="89"/>
      <c r="DR123" s="89"/>
      <c r="DS123" s="89"/>
      <c r="DT123" s="89"/>
      <c r="DU123" s="89"/>
      <c r="DV123" s="89"/>
      <c r="DW123" s="89"/>
      <c r="DX123" s="89"/>
      <c r="DY123" s="89"/>
      <c r="DZ123" s="89"/>
      <c r="EA123" s="89"/>
      <c r="EB123" s="89"/>
      <c r="EC123" s="89"/>
      <c r="ED123" s="89"/>
      <c r="EE123" s="89"/>
      <c r="EF123" s="89"/>
      <c r="EG123" s="89"/>
      <c r="EH123" s="89"/>
      <c r="EI123" s="89"/>
      <c r="EJ123" s="89"/>
      <c r="EK123" s="89"/>
      <c r="EL123" s="89"/>
      <c r="EM123" s="89"/>
      <c r="EN123" s="89"/>
    </row>
    <row r="124" spans="1:144" s="87" customFormat="1" ht="11.25">
      <c r="A124" s="386">
        <v>10</v>
      </c>
      <c r="B124" s="87" t="s">
        <v>19</v>
      </c>
      <c r="C124" s="157"/>
      <c r="D124" s="391">
        <f t="shared" ref="D124:P124" si="24">SUM(D120:D121)</f>
        <v>0</v>
      </c>
      <c r="E124" s="391">
        <f t="shared" si="24"/>
        <v>0</v>
      </c>
      <c r="F124" s="391">
        <f t="shared" si="24"/>
        <v>0</v>
      </c>
      <c r="G124" s="391">
        <f t="shared" si="24"/>
        <v>0</v>
      </c>
      <c r="H124" s="391">
        <f t="shared" si="24"/>
        <v>0</v>
      </c>
      <c r="I124" s="391">
        <f t="shared" si="24"/>
        <v>0</v>
      </c>
      <c r="J124" s="391">
        <f t="shared" si="24"/>
        <v>0</v>
      </c>
      <c r="K124" s="391">
        <f t="shared" si="24"/>
        <v>0</v>
      </c>
      <c r="L124" s="391">
        <f t="shared" si="24"/>
        <v>0</v>
      </c>
      <c r="M124" s="391">
        <f t="shared" si="24"/>
        <v>0</v>
      </c>
      <c r="N124" s="391">
        <f t="shared" si="24"/>
        <v>0</v>
      </c>
      <c r="O124" s="391">
        <f t="shared" si="24"/>
        <v>0</v>
      </c>
      <c r="P124" s="391">
        <f t="shared" si="24"/>
        <v>0</v>
      </c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89"/>
      <c r="AS124" s="89"/>
      <c r="AT124" s="89"/>
      <c r="AU124" s="89"/>
      <c r="AV124" s="89"/>
      <c r="AW124" s="89"/>
      <c r="AX124" s="89"/>
      <c r="AY124" s="89"/>
      <c r="AZ124" s="89"/>
      <c r="BA124" s="89"/>
      <c r="BB124" s="89"/>
      <c r="BC124" s="89"/>
      <c r="BD124" s="89"/>
      <c r="BE124" s="89"/>
      <c r="BF124" s="89"/>
      <c r="BG124" s="89"/>
      <c r="BH124" s="89"/>
      <c r="BI124" s="89"/>
      <c r="BJ124" s="89"/>
      <c r="BK124" s="89"/>
      <c r="BL124" s="89"/>
      <c r="BM124" s="89"/>
      <c r="BN124" s="89"/>
      <c r="BO124" s="89"/>
      <c r="BP124" s="89"/>
      <c r="BQ124" s="89"/>
      <c r="BR124" s="89"/>
      <c r="BS124" s="89"/>
      <c r="BT124" s="89"/>
      <c r="BU124" s="89"/>
      <c r="BV124" s="89"/>
      <c r="BW124" s="89"/>
      <c r="BX124" s="89"/>
      <c r="BY124" s="89"/>
      <c r="BZ124" s="89"/>
      <c r="CA124" s="89"/>
      <c r="CB124" s="89"/>
      <c r="CC124" s="89"/>
      <c r="CD124" s="89"/>
      <c r="CE124" s="89"/>
      <c r="CF124" s="89"/>
      <c r="CG124" s="89"/>
      <c r="CH124" s="89"/>
      <c r="CI124" s="89"/>
      <c r="CJ124" s="89"/>
      <c r="CK124" s="89"/>
      <c r="CL124" s="89"/>
      <c r="CM124" s="89"/>
      <c r="CN124" s="89"/>
      <c r="CO124" s="89"/>
      <c r="CP124" s="89"/>
      <c r="CQ124" s="89"/>
      <c r="CR124" s="89"/>
      <c r="CS124" s="89"/>
      <c r="CT124" s="89"/>
      <c r="CU124" s="89"/>
      <c r="CV124" s="89"/>
      <c r="CW124" s="89"/>
      <c r="CX124" s="89"/>
      <c r="CY124" s="89"/>
      <c r="CZ124" s="89"/>
      <c r="DA124" s="89"/>
      <c r="DB124" s="89"/>
      <c r="DC124" s="89"/>
      <c r="DD124" s="89"/>
      <c r="DE124" s="89"/>
      <c r="DF124" s="89"/>
      <c r="DG124" s="89"/>
      <c r="DH124" s="89"/>
      <c r="DI124" s="89"/>
      <c r="DJ124" s="89"/>
      <c r="DK124" s="89"/>
      <c r="DL124" s="89"/>
      <c r="DM124" s="89"/>
      <c r="DN124" s="89"/>
      <c r="DO124" s="89"/>
      <c r="DP124" s="89"/>
      <c r="DQ124" s="89"/>
      <c r="DR124" s="89"/>
      <c r="DS124" s="89"/>
      <c r="DT124" s="89"/>
      <c r="DU124" s="89"/>
      <c r="DV124" s="89"/>
      <c r="DW124" s="89"/>
      <c r="DX124" s="89"/>
      <c r="DY124" s="89"/>
      <c r="DZ124" s="89"/>
      <c r="EA124" s="89"/>
      <c r="EB124" s="89"/>
      <c r="EC124" s="89"/>
      <c r="ED124" s="89"/>
      <c r="EE124" s="89"/>
      <c r="EF124" s="89"/>
      <c r="EG124" s="89"/>
      <c r="EH124" s="89"/>
      <c r="EI124" s="89"/>
      <c r="EJ124" s="89"/>
      <c r="EK124" s="89"/>
      <c r="EL124" s="89"/>
      <c r="EM124" s="89"/>
      <c r="EN124" s="89"/>
    </row>
    <row r="125" spans="1:144" s="87" customFormat="1" ht="11.25">
      <c r="A125" s="386"/>
      <c r="C125" s="157"/>
      <c r="D125" s="177"/>
      <c r="E125" s="177"/>
      <c r="F125" s="177"/>
      <c r="G125" s="177"/>
      <c r="H125" s="177"/>
      <c r="I125" s="177"/>
      <c r="J125" s="177"/>
      <c r="K125" s="177"/>
      <c r="L125" s="177"/>
      <c r="M125" s="177"/>
      <c r="N125" s="177"/>
      <c r="O125" s="177"/>
      <c r="P125" s="158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  <c r="AP125" s="89"/>
      <c r="AQ125" s="89"/>
      <c r="AR125" s="89"/>
      <c r="AS125" s="89"/>
      <c r="AT125" s="89"/>
      <c r="AU125" s="89"/>
      <c r="AV125" s="89"/>
      <c r="AW125" s="89"/>
      <c r="AX125" s="89"/>
      <c r="AY125" s="89"/>
      <c r="AZ125" s="89"/>
      <c r="BA125" s="89"/>
      <c r="BB125" s="89"/>
      <c r="BC125" s="89"/>
      <c r="BD125" s="89"/>
      <c r="BE125" s="89"/>
      <c r="BF125" s="89"/>
      <c r="BG125" s="89"/>
      <c r="BH125" s="89"/>
      <c r="BI125" s="89"/>
      <c r="BJ125" s="89"/>
      <c r="BK125" s="89"/>
      <c r="BL125" s="89"/>
      <c r="BM125" s="89"/>
      <c r="BN125" s="89"/>
      <c r="BO125" s="89"/>
      <c r="BP125" s="89"/>
      <c r="BQ125" s="89"/>
      <c r="BR125" s="89"/>
      <c r="BS125" s="89"/>
      <c r="BT125" s="89"/>
      <c r="BU125" s="89"/>
      <c r="BV125" s="89"/>
      <c r="BW125" s="89"/>
      <c r="BX125" s="89"/>
      <c r="BY125" s="89"/>
      <c r="BZ125" s="89"/>
      <c r="CA125" s="89"/>
      <c r="CB125" s="89"/>
      <c r="CC125" s="89"/>
      <c r="CD125" s="89"/>
      <c r="CE125" s="89"/>
      <c r="CF125" s="89"/>
      <c r="CG125" s="89"/>
      <c r="CH125" s="89"/>
      <c r="CI125" s="89"/>
      <c r="CJ125" s="89"/>
      <c r="CK125" s="89"/>
      <c r="CL125" s="89"/>
      <c r="CM125" s="89"/>
      <c r="CN125" s="89"/>
      <c r="CO125" s="89"/>
      <c r="CP125" s="89"/>
      <c r="CQ125" s="89"/>
      <c r="CR125" s="89"/>
      <c r="CS125" s="89"/>
      <c r="CT125" s="89"/>
      <c r="CU125" s="89"/>
      <c r="CV125" s="89"/>
      <c r="CW125" s="89"/>
      <c r="CX125" s="89"/>
      <c r="CY125" s="89"/>
      <c r="CZ125" s="89"/>
      <c r="DA125" s="89"/>
      <c r="DB125" s="89"/>
      <c r="DC125" s="89"/>
      <c r="DD125" s="89"/>
      <c r="DE125" s="89"/>
      <c r="DF125" s="89"/>
      <c r="DG125" s="89"/>
      <c r="DH125" s="89"/>
      <c r="DI125" s="89"/>
      <c r="DJ125" s="89"/>
      <c r="DK125" s="89"/>
      <c r="DL125" s="89"/>
      <c r="DM125" s="89"/>
      <c r="DN125" s="89"/>
      <c r="DO125" s="89"/>
      <c r="DP125" s="89"/>
      <c r="DQ125" s="89"/>
      <c r="DR125" s="89"/>
      <c r="DS125" s="89"/>
      <c r="DT125" s="89"/>
      <c r="DU125" s="89"/>
      <c r="DV125" s="89"/>
      <c r="DW125" s="89"/>
      <c r="DX125" s="89"/>
      <c r="DY125" s="89"/>
      <c r="DZ125" s="89"/>
      <c r="EA125" s="89"/>
      <c r="EB125" s="89"/>
      <c r="EC125" s="89"/>
      <c r="ED125" s="89"/>
      <c r="EE125" s="89"/>
      <c r="EF125" s="89"/>
      <c r="EG125" s="89"/>
      <c r="EH125" s="89"/>
      <c r="EI125" s="89"/>
      <c r="EJ125" s="89"/>
      <c r="EK125" s="89"/>
      <c r="EL125" s="89"/>
      <c r="EM125" s="89"/>
      <c r="EN125" s="89"/>
    </row>
    <row r="126" spans="1:144" s="87" customFormat="1" ht="11.25">
      <c r="A126" s="386">
        <v>11</v>
      </c>
      <c r="B126" s="131" t="s">
        <v>86</v>
      </c>
      <c r="C126" s="157" t="s">
        <v>6</v>
      </c>
      <c r="D126" s="177" cm="1">
        <f t="array" ref="D126">SUMPRODUCT((H_Rate_Class=$B126)*'[5]Demand - T'!D$369:D$478)</f>
        <v>0</v>
      </c>
      <c r="E126" s="177" cm="1">
        <f t="array" ref="E126">SUMPRODUCT((H_Rate_Class=$B126)*'[5]Demand - T'!E$369:E$478)</f>
        <v>0</v>
      </c>
      <c r="F126" s="177" cm="1">
        <f t="array" ref="F126">SUMPRODUCT((H_Rate_Class=$B126)*'[5]Demand - T'!F$369:F$478)</f>
        <v>0</v>
      </c>
      <c r="G126" s="177" cm="1">
        <f t="array" ref="G126">SUMPRODUCT((H_Rate_Class=$B126)*'[5]Demand - T'!G$369:G$478)</f>
        <v>0</v>
      </c>
      <c r="H126" s="177" cm="1">
        <f t="array" ref="H126">SUMPRODUCT((H_Rate_Class=$B126)*'[5]Demand - T'!H$369:H$478)</f>
        <v>0</v>
      </c>
      <c r="I126" s="177" cm="1">
        <f t="array" ref="I126">SUMPRODUCT((H_Rate_Class=$B126)*'[5]Demand - T'!I$369:I$478)</f>
        <v>0</v>
      </c>
      <c r="J126" s="177" cm="1">
        <f t="array" ref="J126">SUMPRODUCT((H_Rate_Class=$B126)*'[5]Demand - T'!J$369:J$478)</f>
        <v>0</v>
      </c>
      <c r="K126" s="177" cm="1">
        <f t="array" ref="K126">SUMPRODUCT((H_Rate_Class=$B126)*'[5]Demand - T'!K$369:K$478)</f>
        <v>0</v>
      </c>
      <c r="L126" s="177" cm="1">
        <f t="array" ref="L126">SUMPRODUCT((H_Rate_Class=$B126)*'[5]Demand - T'!L$369:L$478)</f>
        <v>0</v>
      </c>
      <c r="M126" s="177" cm="1">
        <f t="array" ref="M126">SUMPRODUCT((H_Rate_Class=$B126)*'[5]Demand - T'!M$369:M$478)</f>
        <v>0</v>
      </c>
      <c r="N126" s="177" cm="1">
        <f t="array" ref="N126">SUMPRODUCT((H_Rate_Class=$B126)*'[5]Demand - T'!N$369:N$478)</f>
        <v>0</v>
      </c>
      <c r="O126" s="177" cm="1">
        <f t="array" ref="O126">SUMPRODUCT((H_Rate_Class=$B126)*'[5]Demand - T'!O$369:O$478)</f>
        <v>0</v>
      </c>
      <c r="P126" s="158">
        <f>SUM(D126:O126)</f>
        <v>0</v>
      </c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  <c r="AR126" s="89"/>
      <c r="AS126" s="89"/>
      <c r="AT126" s="89"/>
      <c r="AU126" s="89"/>
      <c r="AV126" s="89"/>
      <c r="AW126" s="89"/>
      <c r="AX126" s="89"/>
      <c r="AY126" s="89"/>
      <c r="AZ126" s="89"/>
      <c r="BA126" s="89"/>
      <c r="BB126" s="89"/>
      <c r="BC126" s="89"/>
      <c r="BD126" s="89"/>
      <c r="BE126" s="89"/>
      <c r="BF126" s="89"/>
      <c r="BG126" s="89"/>
      <c r="BH126" s="89"/>
      <c r="BI126" s="89"/>
      <c r="BJ126" s="89"/>
      <c r="BK126" s="89"/>
      <c r="BL126" s="89"/>
      <c r="BM126" s="89"/>
      <c r="BN126" s="89"/>
      <c r="BO126" s="89"/>
      <c r="BP126" s="89"/>
      <c r="BQ126" s="89"/>
      <c r="BR126" s="89"/>
      <c r="BS126" s="89"/>
      <c r="BT126" s="89"/>
      <c r="BU126" s="89"/>
      <c r="BV126" s="89"/>
      <c r="BW126" s="89"/>
      <c r="BX126" s="89"/>
      <c r="BY126" s="89"/>
      <c r="BZ126" s="89"/>
      <c r="CA126" s="89"/>
      <c r="CB126" s="89"/>
      <c r="CC126" s="89"/>
      <c r="CD126" s="89"/>
      <c r="CE126" s="89"/>
      <c r="CF126" s="89"/>
      <c r="CG126" s="89"/>
      <c r="CH126" s="89"/>
      <c r="CI126" s="89"/>
      <c r="CJ126" s="89"/>
      <c r="CK126" s="89"/>
      <c r="CL126" s="89"/>
      <c r="CM126" s="89"/>
      <c r="CN126" s="89"/>
      <c r="CO126" s="89"/>
      <c r="CP126" s="89"/>
      <c r="CQ126" s="89"/>
      <c r="CR126" s="89"/>
      <c r="CS126" s="89"/>
      <c r="CT126" s="89"/>
      <c r="CU126" s="89"/>
      <c r="CV126" s="89"/>
      <c r="CW126" s="89"/>
      <c r="CX126" s="89"/>
      <c r="CY126" s="89"/>
      <c r="CZ126" s="89"/>
      <c r="DA126" s="89"/>
      <c r="DB126" s="89"/>
      <c r="DC126" s="89"/>
      <c r="DD126" s="89"/>
      <c r="DE126" s="89"/>
      <c r="DF126" s="89"/>
      <c r="DG126" s="89"/>
      <c r="DH126" s="89"/>
      <c r="DI126" s="89"/>
      <c r="DJ126" s="89"/>
      <c r="DK126" s="89"/>
      <c r="DL126" s="89"/>
      <c r="DM126" s="89"/>
      <c r="DN126" s="89"/>
      <c r="DO126" s="89"/>
      <c r="DP126" s="89"/>
      <c r="DQ126" s="89"/>
      <c r="DR126" s="89"/>
      <c r="DS126" s="89"/>
      <c r="DT126" s="89"/>
      <c r="DU126" s="89"/>
      <c r="DV126" s="89"/>
      <c r="DW126" s="89"/>
      <c r="DX126" s="89"/>
      <c r="DY126" s="89"/>
      <c r="DZ126" s="89"/>
      <c r="EA126" s="89"/>
      <c r="EB126" s="89"/>
      <c r="EC126" s="89"/>
      <c r="ED126" s="89"/>
      <c r="EE126" s="89"/>
      <c r="EF126" s="89"/>
      <c r="EG126" s="89"/>
      <c r="EH126" s="89"/>
      <c r="EI126" s="89"/>
      <c r="EJ126" s="89"/>
      <c r="EK126" s="89"/>
      <c r="EL126" s="89"/>
      <c r="EM126" s="89"/>
      <c r="EN126" s="89"/>
    </row>
    <row r="127" spans="1:144" s="87" customFormat="1" ht="11.25">
      <c r="A127" s="4"/>
      <c r="C127" s="99"/>
      <c r="D127" s="390"/>
      <c r="E127" s="390"/>
      <c r="F127" s="390"/>
      <c r="G127" s="177"/>
      <c r="H127" s="177"/>
      <c r="I127" s="177"/>
      <c r="J127" s="177"/>
      <c r="K127" s="177"/>
      <c r="L127" s="177"/>
      <c r="M127" s="177"/>
      <c r="N127" s="177"/>
      <c r="O127" s="177"/>
      <c r="P127" s="158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  <c r="AS127" s="89"/>
      <c r="AT127" s="89"/>
      <c r="AU127" s="89"/>
      <c r="AV127" s="89"/>
      <c r="AW127" s="89"/>
      <c r="AX127" s="89"/>
      <c r="AY127" s="89"/>
      <c r="AZ127" s="89"/>
      <c r="BA127" s="89"/>
      <c r="BB127" s="89"/>
      <c r="BC127" s="89"/>
      <c r="BD127" s="89"/>
      <c r="BE127" s="89"/>
      <c r="BF127" s="89"/>
      <c r="BG127" s="89"/>
      <c r="BH127" s="89"/>
      <c r="BI127" s="89"/>
      <c r="BJ127" s="89"/>
      <c r="BK127" s="89"/>
      <c r="BL127" s="89"/>
      <c r="BM127" s="89"/>
      <c r="BN127" s="89"/>
      <c r="BO127" s="89"/>
      <c r="BP127" s="89"/>
      <c r="BQ127" s="89"/>
      <c r="BR127" s="89"/>
      <c r="BS127" s="89"/>
      <c r="BT127" s="89"/>
      <c r="BU127" s="89"/>
      <c r="BV127" s="89"/>
      <c r="BW127" s="89"/>
      <c r="BX127" s="89"/>
      <c r="BY127" s="89"/>
      <c r="BZ127" s="89"/>
      <c r="CA127" s="89"/>
      <c r="CB127" s="89"/>
      <c r="CC127" s="89"/>
      <c r="CD127" s="89"/>
      <c r="CE127" s="89"/>
      <c r="CF127" s="89"/>
      <c r="CG127" s="89"/>
      <c r="CH127" s="89"/>
      <c r="CI127" s="89"/>
      <c r="CJ127" s="89"/>
      <c r="CK127" s="89"/>
      <c r="CL127" s="89"/>
      <c r="CM127" s="89"/>
      <c r="CN127" s="89"/>
      <c r="CO127" s="89"/>
      <c r="CP127" s="89"/>
      <c r="CQ127" s="89"/>
      <c r="CR127" s="89"/>
      <c r="CS127" s="89"/>
      <c r="CT127" s="89"/>
      <c r="CU127" s="89"/>
      <c r="CV127" s="89"/>
      <c r="CW127" s="89"/>
      <c r="CX127" s="89"/>
      <c r="CY127" s="89"/>
      <c r="CZ127" s="89"/>
      <c r="DA127" s="89"/>
      <c r="DB127" s="89"/>
      <c r="DC127" s="89"/>
      <c r="DD127" s="89"/>
      <c r="DE127" s="89"/>
      <c r="DF127" s="89"/>
      <c r="DG127" s="89"/>
      <c r="DH127" s="89"/>
      <c r="DI127" s="89"/>
      <c r="DJ127" s="89"/>
      <c r="DK127" s="89"/>
      <c r="DL127" s="89"/>
      <c r="DM127" s="89"/>
      <c r="DN127" s="89"/>
      <c r="DO127" s="89"/>
      <c r="DP127" s="89"/>
      <c r="DQ127" s="89"/>
      <c r="DR127" s="89"/>
      <c r="DS127" s="89"/>
      <c r="DT127" s="89"/>
      <c r="DU127" s="89"/>
      <c r="DV127" s="89"/>
      <c r="DW127" s="89"/>
      <c r="DX127" s="89"/>
      <c r="DY127" s="89"/>
      <c r="DZ127" s="89"/>
      <c r="EA127" s="89"/>
      <c r="EB127" s="89"/>
      <c r="EC127" s="89"/>
      <c r="ED127" s="89"/>
      <c r="EE127" s="89"/>
      <c r="EF127" s="89"/>
      <c r="EG127" s="89"/>
      <c r="EH127" s="89"/>
      <c r="EI127" s="89"/>
      <c r="EJ127" s="89"/>
      <c r="EK127" s="89"/>
      <c r="EL127" s="89"/>
      <c r="EM127" s="89"/>
      <c r="EN127" s="89"/>
    </row>
    <row r="128" spans="1:144" s="87" customFormat="1" ht="11.25">
      <c r="A128" s="386">
        <v>12</v>
      </c>
      <c r="B128" s="89" t="s">
        <v>21</v>
      </c>
      <c r="C128" s="157" t="s">
        <v>4</v>
      </c>
      <c r="D128" s="177" cm="1">
        <f t="array" ref="D128">SUMPRODUCT((H_Rate_Class=$B128)*'[5]Demand - T'!D$369:D$478)</f>
        <v>0</v>
      </c>
      <c r="E128" s="177" cm="1">
        <f t="array" ref="E128">SUMPRODUCT((H_Rate_Class=$B128)*'[5]Demand - T'!E$369:E$478)</f>
        <v>0</v>
      </c>
      <c r="F128" s="177" cm="1">
        <f t="array" ref="F128">SUMPRODUCT((H_Rate_Class=$B128)*'[5]Demand - T'!F$369:F$478)</f>
        <v>0</v>
      </c>
      <c r="G128" s="177" cm="1">
        <f t="array" ref="G128">SUMPRODUCT((H_Rate_Class=$B128)*'[5]Demand - T'!G$369:G$478)</f>
        <v>0</v>
      </c>
      <c r="H128" s="177" cm="1">
        <f t="array" ref="H128">SUMPRODUCT((H_Rate_Class=$B128)*'[5]Demand - T'!H$369:H$478)</f>
        <v>0</v>
      </c>
      <c r="I128" s="177" cm="1">
        <f t="array" ref="I128">SUMPRODUCT((H_Rate_Class=$B128)*'[5]Demand - T'!I$369:I$478)</f>
        <v>0</v>
      </c>
      <c r="J128" s="177" cm="1">
        <f t="array" ref="J128">SUMPRODUCT((H_Rate_Class=$B128)*'[5]Demand - T'!J$369:J$478)</f>
        <v>0</v>
      </c>
      <c r="K128" s="177" cm="1">
        <f t="array" ref="K128">SUMPRODUCT((H_Rate_Class=$B128)*'[5]Demand - T'!K$369:K$478)</f>
        <v>0</v>
      </c>
      <c r="L128" s="177" cm="1">
        <f t="array" ref="L128">SUMPRODUCT((H_Rate_Class=$B128)*'[5]Demand - T'!L$369:L$478)</f>
        <v>0</v>
      </c>
      <c r="M128" s="177" cm="1">
        <f t="array" ref="M128">SUMPRODUCT((H_Rate_Class=$B128)*'[5]Demand - T'!M$369:M$478)</f>
        <v>0</v>
      </c>
      <c r="N128" s="177" cm="1">
        <f t="array" ref="N128">SUMPRODUCT((H_Rate_Class=$B128)*'[5]Demand - T'!N$369:N$478)</f>
        <v>0</v>
      </c>
      <c r="O128" s="177" cm="1">
        <f t="array" ref="O128">SUMPRODUCT((H_Rate_Class=$B128)*'[5]Demand - T'!O$369:O$478)</f>
        <v>0</v>
      </c>
      <c r="P128" s="158">
        <f>SUM(D128:O128)</f>
        <v>0</v>
      </c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  <c r="AS128" s="89"/>
      <c r="AT128" s="89"/>
      <c r="AU128" s="89"/>
      <c r="AV128" s="89"/>
      <c r="AW128" s="89"/>
      <c r="AX128" s="89"/>
      <c r="AY128" s="89"/>
      <c r="AZ128" s="89"/>
      <c r="BA128" s="89"/>
      <c r="BB128" s="89"/>
      <c r="BC128" s="89"/>
      <c r="BD128" s="89"/>
      <c r="BE128" s="89"/>
      <c r="BF128" s="89"/>
      <c r="BG128" s="89"/>
      <c r="BH128" s="89"/>
      <c r="BI128" s="89"/>
      <c r="BJ128" s="89"/>
      <c r="BK128" s="89"/>
      <c r="BL128" s="89"/>
      <c r="BM128" s="89"/>
      <c r="BN128" s="89"/>
      <c r="BO128" s="89"/>
      <c r="BP128" s="89"/>
      <c r="BQ128" s="89"/>
      <c r="BR128" s="89"/>
      <c r="BS128" s="89"/>
      <c r="BT128" s="89"/>
      <c r="BU128" s="89"/>
      <c r="BV128" s="89"/>
      <c r="BW128" s="89"/>
      <c r="BX128" s="89"/>
      <c r="BY128" s="89"/>
      <c r="BZ128" s="89"/>
      <c r="CA128" s="89"/>
      <c r="CB128" s="89"/>
      <c r="CC128" s="89"/>
      <c r="CD128" s="89"/>
      <c r="CE128" s="89"/>
      <c r="CF128" s="89"/>
      <c r="CG128" s="89"/>
      <c r="CH128" s="89"/>
      <c r="CI128" s="89"/>
      <c r="CJ128" s="89"/>
      <c r="CK128" s="89"/>
      <c r="CL128" s="89"/>
      <c r="CM128" s="89"/>
      <c r="CN128" s="89"/>
      <c r="CO128" s="89"/>
      <c r="CP128" s="89"/>
      <c r="CQ128" s="89"/>
      <c r="CR128" s="89"/>
      <c r="CS128" s="89"/>
      <c r="CT128" s="89"/>
      <c r="CU128" s="89"/>
      <c r="CV128" s="89"/>
      <c r="CW128" s="89"/>
      <c r="CX128" s="89"/>
      <c r="CY128" s="89"/>
      <c r="CZ128" s="89"/>
      <c r="DA128" s="89"/>
      <c r="DB128" s="89"/>
      <c r="DC128" s="89"/>
      <c r="DD128" s="89"/>
      <c r="DE128" s="89"/>
      <c r="DF128" s="89"/>
      <c r="DG128" s="89"/>
      <c r="DH128" s="89"/>
      <c r="DI128" s="89"/>
      <c r="DJ128" s="89"/>
      <c r="DK128" s="89"/>
      <c r="DL128" s="89"/>
      <c r="DM128" s="89"/>
      <c r="DN128" s="89"/>
      <c r="DO128" s="89"/>
      <c r="DP128" s="89"/>
      <c r="DQ128" s="89"/>
      <c r="DR128" s="89"/>
      <c r="DS128" s="89"/>
      <c r="DT128" s="89"/>
      <c r="DU128" s="89"/>
      <c r="DV128" s="89"/>
      <c r="DW128" s="89"/>
      <c r="DX128" s="89"/>
      <c r="DY128" s="89"/>
      <c r="DZ128" s="89"/>
      <c r="EA128" s="89"/>
      <c r="EB128" s="89"/>
      <c r="EC128" s="89"/>
      <c r="ED128" s="89"/>
      <c r="EE128" s="89"/>
      <c r="EF128" s="89"/>
      <c r="EG128" s="89"/>
      <c r="EH128" s="89"/>
      <c r="EI128" s="89"/>
      <c r="EJ128" s="89"/>
      <c r="EK128" s="89"/>
      <c r="EL128" s="89"/>
      <c r="EM128" s="89"/>
      <c r="EN128" s="89"/>
    </row>
    <row r="129" spans="1:144" s="87" customFormat="1" ht="11.25">
      <c r="A129" s="386"/>
      <c r="C129" s="99"/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58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  <c r="AS129" s="89"/>
      <c r="AT129" s="89"/>
      <c r="AU129" s="89"/>
      <c r="AV129" s="89"/>
      <c r="AW129" s="89"/>
      <c r="AX129" s="89"/>
      <c r="AY129" s="89"/>
      <c r="AZ129" s="89"/>
      <c r="BA129" s="89"/>
      <c r="BB129" s="89"/>
      <c r="BC129" s="89"/>
      <c r="BD129" s="89"/>
      <c r="BE129" s="89"/>
      <c r="BF129" s="89"/>
      <c r="BG129" s="89"/>
      <c r="BH129" s="89"/>
      <c r="BI129" s="89"/>
      <c r="BJ129" s="89"/>
      <c r="BK129" s="89"/>
      <c r="BL129" s="89"/>
      <c r="BM129" s="89"/>
      <c r="BN129" s="89"/>
      <c r="BO129" s="89"/>
      <c r="BP129" s="89"/>
      <c r="BQ129" s="89"/>
      <c r="BR129" s="89"/>
      <c r="BS129" s="89"/>
      <c r="BT129" s="89"/>
      <c r="BU129" s="89"/>
      <c r="BV129" s="89"/>
      <c r="BW129" s="89"/>
      <c r="BX129" s="89"/>
      <c r="BY129" s="89"/>
      <c r="BZ129" s="89"/>
      <c r="CA129" s="89"/>
      <c r="CB129" s="89"/>
      <c r="CC129" s="89"/>
      <c r="CD129" s="89"/>
      <c r="CE129" s="89"/>
      <c r="CF129" s="89"/>
      <c r="CG129" s="89"/>
      <c r="CH129" s="89"/>
      <c r="CI129" s="89"/>
      <c r="CJ129" s="89"/>
      <c r="CK129" s="89"/>
      <c r="CL129" s="89"/>
      <c r="CM129" s="89"/>
      <c r="CN129" s="89"/>
      <c r="CO129" s="89"/>
      <c r="CP129" s="89"/>
      <c r="CQ129" s="89"/>
      <c r="CR129" s="89"/>
      <c r="CS129" s="89"/>
      <c r="CT129" s="89"/>
      <c r="CU129" s="89"/>
      <c r="CV129" s="89"/>
      <c r="CW129" s="89"/>
      <c r="CX129" s="89"/>
      <c r="CY129" s="89"/>
      <c r="CZ129" s="89"/>
      <c r="DA129" s="89"/>
      <c r="DB129" s="89"/>
      <c r="DC129" s="89"/>
      <c r="DD129" s="89"/>
      <c r="DE129" s="89"/>
      <c r="DF129" s="89"/>
      <c r="DG129" s="89"/>
      <c r="DH129" s="89"/>
      <c r="DI129" s="89"/>
      <c r="DJ129" s="89"/>
      <c r="DK129" s="89"/>
      <c r="DL129" s="89"/>
      <c r="DM129" s="89"/>
      <c r="DN129" s="89"/>
      <c r="DO129" s="89"/>
      <c r="DP129" s="89"/>
      <c r="DQ129" s="89"/>
      <c r="DR129" s="89"/>
      <c r="DS129" s="89"/>
      <c r="DT129" s="89"/>
      <c r="DU129" s="89"/>
      <c r="DV129" s="89"/>
      <c r="DW129" s="89"/>
      <c r="DX129" s="89"/>
      <c r="DY129" s="89"/>
      <c r="DZ129" s="89"/>
      <c r="EA129" s="89"/>
      <c r="EB129" s="89"/>
      <c r="EC129" s="89"/>
      <c r="ED129" s="89"/>
      <c r="EE129" s="89"/>
      <c r="EF129" s="89"/>
      <c r="EG129" s="89"/>
      <c r="EH129" s="89"/>
      <c r="EI129" s="89"/>
      <c r="EJ129" s="89"/>
      <c r="EK129" s="89"/>
      <c r="EL129" s="89"/>
      <c r="EM129" s="89"/>
      <c r="EN129" s="89"/>
    </row>
    <row r="130" spans="1:144" s="87" customFormat="1" ht="11.25">
      <c r="A130" s="386">
        <v>13</v>
      </c>
      <c r="B130" s="393" t="s">
        <v>22</v>
      </c>
      <c r="C130" s="362"/>
      <c r="D130" s="394">
        <f t="shared" ref="D130:P130" si="25">D128+D126+D124+D118+D114+D112</f>
        <v>0</v>
      </c>
      <c r="E130" s="394">
        <f t="shared" si="25"/>
        <v>0</v>
      </c>
      <c r="F130" s="394">
        <f t="shared" si="25"/>
        <v>0</v>
      </c>
      <c r="G130" s="394">
        <f t="shared" si="25"/>
        <v>0</v>
      </c>
      <c r="H130" s="394">
        <f t="shared" si="25"/>
        <v>0</v>
      </c>
      <c r="I130" s="394">
        <f t="shared" si="25"/>
        <v>0</v>
      </c>
      <c r="J130" s="394">
        <f t="shared" si="25"/>
        <v>0</v>
      </c>
      <c r="K130" s="394">
        <f t="shared" si="25"/>
        <v>0</v>
      </c>
      <c r="L130" s="394">
        <f t="shared" si="25"/>
        <v>0</v>
      </c>
      <c r="M130" s="394">
        <f t="shared" si="25"/>
        <v>0</v>
      </c>
      <c r="N130" s="394">
        <f t="shared" si="25"/>
        <v>0</v>
      </c>
      <c r="O130" s="394">
        <f t="shared" si="25"/>
        <v>0</v>
      </c>
      <c r="P130" s="394">
        <f t="shared" si="25"/>
        <v>0</v>
      </c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89"/>
      <c r="AR130" s="89"/>
      <c r="AS130" s="89"/>
      <c r="AT130" s="89"/>
      <c r="AU130" s="89"/>
      <c r="AV130" s="89"/>
      <c r="AW130" s="89"/>
      <c r="AX130" s="89"/>
      <c r="AY130" s="89"/>
      <c r="AZ130" s="89"/>
      <c r="BA130" s="89"/>
      <c r="BB130" s="89"/>
      <c r="BC130" s="89"/>
      <c r="BD130" s="89"/>
      <c r="BE130" s="89"/>
      <c r="BF130" s="89"/>
      <c r="BG130" s="89"/>
      <c r="BH130" s="89"/>
      <c r="BI130" s="89"/>
      <c r="BJ130" s="89"/>
      <c r="BK130" s="89"/>
      <c r="BL130" s="89"/>
      <c r="BM130" s="89"/>
      <c r="BN130" s="89"/>
      <c r="BO130" s="89"/>
      <c r="BP130" s="89"/>
      <c r="BQ130" s="89"/>
      <c r="BR130" s="89"/>
      <c r="BS130" s="89"/>
      <c r="BT130" s="89"/>
      <c r="BU130" s="89"/>
      <c r="BV130" s="89"/>
      <c r="BW130" s="89"/>
      <c r="BX130" s="89"/>
      <c r="BY130" s="89"/>
      <c r="BZ130" s="89"/>
      <c r="CA130" s="89"/>
      <c r="CB130" s="89"/>
      <c r="CC130" s="89"/>
      <c r="CD130" s="89"/>
      <c r="CE130" s="89"/>
      <c r="CF130" s="89"/>
      <c r="CG130" s="89"/>
      <c r="CH130" s="89"/>
      <c r="CI130" s="89"/>
      <c r="CJ130" s="89"/>
      <c r="CK130" s="89"/>
      <c r="CL130" s="89"/>
      <c r="CM130" s="89"/>
      <c r="CN130" s="89"/>
      <c r="CO130" s="89"/>
      <c r="CP130" s="89"/>
      <c r="CQ130" s="89"/>
      <c r="CR130" s="89"/>
      <c r="CS130" s="89"/>
      <c r="CT130" s="89"/>
      <c r="CU130" s="89"/>
      <c r="CV130" s="89"/>
      <c r="CW130" s="89"/>
      <c r="CX130" s="89"/>
      <c r="CY130" s="89"/>
      <c r="CZ130" s="89"/>
      <c r="DA130" s="89"/>
      <c r="DB130" s="89"/>
      <c r="DC130" s="89"/>
      <c r="DD130" s="89"/>
      <c r="DE130" s="89"/>
      <c r="DF130" s="89"/>
      <c r="DG130" s="89"/>
      <c r="DH130" s="89"/>
      <c r="DI130" s="89"/>
      <c r="DJ130" s="89"/>
      <c r="DK130" s="89"/>
      <c r="DL130" s="89"/>
      <c r="DM130" s="89"/>
      <c r="DN130" s="89"/>
      <c r="DO130" s="89"/>
      <c r="DP130" s="89"/>
      <c r="DQ130" s="89"/>
      <c r="DR130" s="89"/>
      <c r="DS130" s="89"/>
      <c r="DT130" s="89"/>
      <c r="DU130" s="89"/>
      <c r="DV130" s="89"/>
      <c r="DW130" s="89"/>
      <c r="DX130" s="89"/>
      <c r="DY130" s="89"/>
      <c r="DZ130" s="89"/>
      <c r="EA130" s="89"/>
      <c r="EB130" s="89"/>
      <c r="EC130" s="89"/>
      <c r="ED130" s="89"/>
      <c r="EE130" s="89"/>
      <c r="EF130" s="89"/>
      <c r="EG130" s="89"/>
      <c r="EH130" s="89"/>
      <c r="EI130" s="89"/>
      <c r="EJ130" s="89"/>
      <c r="EK130" s="89"/>
      <c r="EL130" s="89"/>
      <c r="EM130" s="89"/>
      <c r="EN130" s="89"/>
    </row>
    <row r="131" spans="1:144" s="87" customFormat="1" ht="11.25">
      <c r="A131" s="4"/>
      <c r="B131" s="362"/>
      <c r="C131" s="362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58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  <c r="AS131" s="89"/>
      <c r="AT131" s="89"/>
      <c r="AU131" s="89"/>
      <c r="AV131" s="89"/>
      <c r="AW131" s="89"/>
      <c r="AX131" s="89"/>
      <c r="AY131" s="89"/>
      <c r="AZ131" s="89"/>
      <c r="BA131" s="89"/>
      <c r="BB131" s="89"/>
      <c r="BC131" s="89"/>
      <c r="BD131" s="89"/>
      <c r="BE131" s="89"/>
      <c r="BF131" s="89"/>
      <c r="BG131" s="89"/>
      <c r="BH131" s="89"/>
      <c r="BI131" s="89"/>
      <c r="BJ131" s="89"/>
      <c r="BK131" s="89"/>
      <c r="BL131" s="89"/>
      <c r="BM131" s="89"/>
      <c r="BN131" s="89"/>
      <c r="BO131" s="89"/>
      <c r="BP131" s="89"/>
      <c r="BQ131" s="89"/>
      <c r="BR131" s="89"/>
      <c r="BS131" s="89"/>
      <c r="BT131" s="89"/>
      <c r="BU131" s="89"/>
      <c r="BV131" s="89"/>
      <c r="BW131" s="89"/>
      <c r="BX131" s="89"/>
      <c r="BY131" s="89"/>
      <c r="BZ131" s="89"/>
      <c r="CA131" s="89"/>
      <c r="CB131" s="89"/>
      <c r="CC131" s="89"/>
      <c r="CD131" s="89"/>
      <c r="CE131" s="89"/>
      <c r="CF131" s="89"/>
      <c r="CG131" s="89"/>
      <c r="CH131" s="89"/>
      <c r="CI131" s="89"/>
      <c r="CJ131" s="89"/>
      <c r="CK131" s="89"/>
      <c r="CL131" s="89"/>
      <c r="CM131" s="89"/>
      <c r="CN131" s="89"/>
      <c r="CO131" s="89"/>
      <c r="CP131" s="89"/>
      <c r="CQ131" s="89"/>
      <c r="CR131" s="89"/>
      <c r="CS131" s="89"/>
      <c r="CT131" s="89"/>
      <c r="CU131" s="89"/>
      <c r="CV131" s="89"/>
      <c r="CW131" s="89"/>
      <c r="CX131" s="89"/>
      <c r="CY131" s="89"/>
      <c r="CZ131" s="89"/>
      <c r="DA131" s="89"/>
      <c r="DB131" s="89"/>
      <c r="DC131" s="89"/>
      <c r="DD131" s="89"/>
      <c r="DE131" s="89"/>
      <c r="DF131" s="89"/>
      <c r="DG131" s="89"/>
      <c r="DH131" s="89"/>
      <c r="DI131" s="89"/>
      <c r="DJ131" s="89"/>
      <c r="DK131" s="89"/>
      <c r="DL131" s="89"/>
      <c r="DM131" s="89"/>
      <c r="DN131" s="89"/>
      <c r="DO131" s="89"/>
      <c r="DP131" s="89"/>
      <c r="DQ131" s="89"/>
      <c r="DR131" s="89"/>
      <c r="DS131" s="89"/>
      <c r="DT131" s="89"/>
      <c r="DU131" s="89"/>
      <c r="DV131" s="89"/>
      <c r="DW131" s="89"/>
      <c r="DX131" s="89"/>
      <c r="DY131" s="89"/>
      <c r="DZ131" s="89"/>
      <c r="EA131" s="89"/>
      <c r="EB131" s="89"/>
      <c r="EC131" s="89"/>
      <c r="ED131" s="89"/>
      <c r="EE131" s="89"/>
      <c r="EF131" s="89"/>
      <c r="EG131" s="89"/>
      <c r="EH131" s="89"/>
      <c r="EI131" s="89"/>
      <c r="EJ131" s="89"/>
      <c r="EK131" s="89"/>
      <c r="EL131" s="89"/>
      <c r="EM131" s="89"/>
      <c r="EN131" s="89"/>
    </row>
    <row r="132" spans="1:144" s="87" customFormat="1" ht="11.25">
      <c r="A132" s="386">
        <v>14</v>
      </c>
      <c r="B132" s="89" t="s">
        <v>69</v>
      </c>
      <c r="C132" s="157" t="s">
        <v>5</v>
      </c>
      <c r="D132" s="177" cm="1">
        <f t="array" ref="D132">SUMPRODUCT((H_Rate_Class=$B132)*'[5]Demand - T'!D$369:D$478)</f>
        <v>0</v>
      </c>
      <c r="E132" s="177" cm="1">
        <f t="array" ref="E132">SUMPRODUCT((H_Rate_Class=$B132)*'[5]Demand - T'!E$369:E$478)</f>
        <v>0</v>
      </c>
      <c r="F132" s="177" cm="1">
        <f t="array" ref="F132">SUMPRODUCT((H_Rate_Class=$B132)*'[5]Demand - T'!F$369:F$478)</f>
        <v>0</v>
      </c>
      <c r="G132" s="177" cm="1">
        <f t="array" ref="G132">SUMPRODUCT((H_Rate_Class=$B132)*'[5]Demand - T'!G$369:G$478)</f>
        <v>0</v>
      </c>
      <c r="H132" s="177" cm="1">
        <f t="array" ref="H132">SUMPRODUCT((H_Rate_Class=$B132)*'[5]Demand - T'!H$369:H$478)</f>
        <v>0</v>
      </c>
      <c r="I132" s="177" cm="1">
        <f t="array" ref="I132">SUMPRODUCT((H_Rate_Class=$B132)*'[5]Demand - T'!I$369:I$478)</f>
        <v>0</v>
      </c>
      <c r="J132" s="177" cm="1">
        <f t="array" ref="J132">SUMPRODUCT((H_Rate_Class=$B132)*'[5]Demand - T'!J$369:J$478)</f>
        <v>0</v>
      </c>
      <c r="K132" s="177" cm="1">
        <f t="array" ref="K132">SUMPRODUCT((H_Rate_Class=$B132)*'[5]Demand - T'!K$369:K$478)</f>
        <v>0</v>
      </c>
      <c r="L132" s="177" cm="1">
        <f t="array" ref="L132">SUMPRODUCT((H_Rate_Class=$B132)*'[5]Demand - T'!L$369:L$478)</f>
        <v>0</v>
      </c>
      <c r="M132" s="177" cm="1">
        <f t="array" ref="M132">SUMPRODUCT((H_Rate_Class=$B132)*'[5]Demand - T'!M$369:M$478)</f>
        <v>0</v>
      </c>
      <c r="N132" s="177" cm="1">
        <f t="array" ref="N132">SUMPRODUCT((H_Rate_Class=$B132)*'[5]Demand - T'!N$369:N$478)</f>
        <v>0</v>
      </c>
      <c r="O132" s="177" cm="1">
        <f t="array" ref="O132">SUMPRODUCT((H_Rate_Class=$B132)*'[5]Demand - T'!O$369:O$478)</f>
        <v>0</v>
      </c>
      <c r="P132" s="158">
        <f>SUM(D132:O132)</f>
        <v>0</v>
      </c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  <c r="AP132" s="89"/>
      <c r="AQ132" s="89"/>
      <c r="AR132" s="89"/>
      <c r="AS132" s="89"/>
      <c r="AT132" s="89"/>
      <c r="AU132" s="89"/>
      <c r="AV132" s="89"/>
      <c r="AW132" s="89"/>
      <c r="AX132" s="89"/>
      <c r="AY132" s="89"/>
      <c r="AZ132" s="89"/>
      <c r="BA132" s="89"/>
      <c r="BB132" s="89"/>
      <c r="BC132" s="89"/>
      <c r="BD132" s="89"/>
      <c r="BE132" s="89"/>
      <c r="BF132" s="89"/>
      <c r="BG132" s="89"/>
      <c r="BH132" s="89"/>
      <c r="BI132" s="89"/>
      <c r="BJ132" s="89"/>
      <c r="BK132" s="89"/>
      <c r="BL132" s="89"/>
      <c r="BM132" s="89"/>
      <c r="BN132" s="89"/>
      <c r="BO132" s="89"/>
      <c r="BP132" s="89"/>
      <c r="BQ132" s="89"/>
      <c r="BR132" s="89"/>
      <c r="BS132" s="89"/>
      <c r="BT132" s="89"/>
      <c r="BU132" s="89"/>
      <c r="BV132" s="89"/>
      <c r="BW132" s="89"/>
      <c r="BX132" s="89"/>
      <c r="BY132" s="89"/>
      <c r="BZ132" s="89"/>
      <c r="CA132" s="89"/>
      <c r="CB132" s="89"/>
      <c r="CC132" s="89"/>
      <c r="CD132" s="89"/>
      <c r="CE132" s="89"/>
      <c r="CF132" s="89"/>
      <c r="CG132" s="89"/>
      <c r="CH132" s="89"/>
      <c r="CI132" s="89"/>
      <c r="CJ132" s="89"/>
      <c r="CK132" s="89"/>
      <c r="CL132" s="89"/>
      <c r="CM132" s="89"/>
      <c r="CN132" s="89"/>
      <c r="CO132" s="89"/>
      <c r="CP132" s="89"/>
      <c r="CQ132" s="89"/>
      <c r="CR132" s="89"/>
      <c r="CS132" s="89"/>
      <c r="CT132" s="89"/>
      <c r="CU132" s="89"/>
      <c r="CV132" s="89"/>
      <c r="CW132" s="89"/>
      <c r="CX132" s="89"/>
      <c r="CY132" s="89"/>
      <c r="CZ132" s="89"/>
      <c r="DA132" s="89"/>
      <c r="DB132" s="89"/>
      <c r="DC132" s="89"/>
      <c r="DD132" s="89"/>
      <c r="DE132" s="89"/>
      <c r="DF132" s="89"/>
      <c r="DG132" s="89"/>
      <c r="DH132" s="89"/>
      <c r="DI132" s="89"/>
      <c r="DJ132" s="89"/>
      <c r="DK132" s="89"/>
      <c r="DL132" s="89"/>
      <c r="DM132" s="89"/>
      <c r="DN132" s="89"/>
      <c r="DO132" s="89"/>
      <c r="DP132" s="89"/>
      <c r="DQ132" s="89"/>
      <c r="DR132" s="89"/>
      <c r="DS132" s="89"/>
      <c r="DT132" s="89"/>
      <c r="DU132" s="89"/>
      <c r="DV132" s="89"/>
      <c r="DW132" s="89"/>
      <c r="DX132" s="89"/>
      <c r="DY132" s="89"/>
      <c r="DZ132" s="89"/>
      <c r="EA132" s="89"/>
      <c r="EB132" s="89"/>
      <c r="EC132" s="89"/>
      <c r="ED132" s="89"/>
      <c r="EE132" s="89"/>
      <c r="EF132" s="89"/>
      <c r="EG132" s="89"/>
      <c r="EH132" s="89"/>
      <c r="EI132" s="89"/>
      <c r="EJ132" s="89"/>
      <c r="EK132" s="89"/>
      <c r="EL132" s="89"/>
      <c r="EM132" s="89"/>
      <c r="EN132" s="89"/>
    </row>
    <row r="133" spans="1:144" s="87" customFormat="1" ht="11.25">
      <c r="A133" s="386">
        <v>15</v>
      </c>
      <c r="B133" s="89" t="s">
        <v>70</v>
      </c>
      <c r="C133" s="157" t="s">
        <v>6</v>
      </c>
      <c r="D133" s="388" cm="1">
        <f t="array" ref="D133">SUMPRODUCT((H_Rate_Class=$B133)*'[5]Demand - T'!D$369:D$478)</f>
        <v>0</v>
      </c>
      <c r="E133" s="388" cm="1">
        <f t="array" ref="E133">SUMPRODUCT((H_Rate_Class=$B133)*'[5]Demand - T'!E$369:E$478)</f>
        <v>0</v>
      </c>
      <c r="F133" s="388" cm="1">
        <f t="array" ref="F133">SUMPRODUCT((H_Rate_Class=$B133)*'[5]Demand - T'!F$369:F$478)</f>
        <v>0</v>
      </c>
      <c r="G133" s="388" cm="1">
        <f t="array" ref="G133">SUMPRODUCT((H_Rate_Class=$B133)*'[5]Demand - T'!G$369:G$478)</f>
        <v>0</v>
      </c>
      <c r="H133" s="388" cm="1">
        <f t="array" ref="H133">SUMPRODUCT((H_Rate_Class=$B133)*'[5]Demand - T'!H$369:H$478)</f>
        <v>0</v>
      </c>
      <c r="I133" s="388" cm="1">
        <f t="array" ref="I133">SUMPRODUCT((H_Rate_Class=$B133)*'[5]Demand - T'!I$369:I$478)</f>
        <v>0</v>
      </c>
      <c r="J133" s="388" cm="1">
        <f t="array" ref="J133">SUMPRODUCT((H_Rate_Class=$B133)*'[5]Demand - T'!J$369:J$478)</f>
        <v>0</v>
      </c>
      <c r="K133" s="388" cm="1">
        <f t="array" ref="K133">SUMPRODUCT((H_Rate_Class=$B133)*'[5]Demand - T'!K$369:K$478)</f>
        <v>0</v>
      </c>
      <c r="L133" s="388" cm="1">
        <f t="array" ref="L133">SUMPRODUCT((H_Rate_Class=$B133)*'[5]Demand - T'!L$369:L$478)</f>
        <v>0</v>
      </c>
      <c r="M133" s="388" cm="1">
        <f t="array" ref="M133">SUMPRODUCT((H_Rate_Class=$B133)*'[5]Demand - T'!M$369:M$478)</f>
        <v>0</v>
      </c>
      <c r="N133" s="388" cm="1">
        <f t="array" ref="N133">SUMPRODUCT((H_Rate_Class=$B133)*'[5]Demand - T'!N$369:N$478)</f>
        <v>0</v>
      </c>
      <c r="O133" s="388" cm="1">
        <f t="array" ref="O133">SUMPRODUCT((H_Rate_Class=$B133)*'[5]Demand - T'!O$369:O$478)</f>
        <v>0</v>
      </c>
      <c r="P133" s="425">
        <f>SUM(D133:O133)</f>
        <v>0</v>
      </c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89"/>
      <c r="AR133" s="89"/>
      <c r="AS133" s="89"/>
      <c r="AT133" s="89"/>
      <c r="AU133" s="89"/>
      <c r="AV133" s="89"/>
      <c r="AW133" s="89"/>
      <c r="AX133" s="89"/>
      <c r="AY133" s="89"/>
      <c r="AZ133" s="89"/>
      <c r="BA133" s="89"/>
      <c r="BB133" s="89"/>
      <c r="BC133" s="89"/>
      <c r="BD133" s="89"/>
      <c r="BE133" s="89"/>
      <c r="BF133" s="89"/>
      <c r="BG133" s="89"/>
      <c r="BH133" s="89"/>
      <c r="BI133" s="89"/>
      <c r="BJ133" s="89"/>
      <c r="BK133" s="89"/>
      <c r="BL133" s="89"/>
      <c r="BM133" s="89"/>
      <c r="BN133" s="89"/>
      <c r="BO133" s="89"/>
      <c r="BP133" s="89"/>
      <c r="BQ133" s="89"/>
      <c r="BR133" s="89"/>
      <c r="BS133" s="89"/>
      <c r="BT133" s="89"/>
      <c r="BU133" s="89"/>
      <c r="BV133" s="89"/>
      <c r="BW133" s="89"/>
      <c r="BX133" s="89"/>
      <c r="BY133" s="89"/>
      <c r="BZ133" s="89"/>
      <c r="CA133" s="89"/>
      <c r="CB133" s="89"/>
      <c r="CC133" s="89"/>
      <c r="CD133" s="89"/>
      <c r="CE133" s="89"/>
      <c r="CF133" s="89"/>
      <c r="CG133" s="89"/>
      <c r="CH133" s="89"/>
      <c r="CI133" s="89"/>
      <c r="CJ133" s="89"/>
      <c r="CK133" s="89"/>
      <c r="CL133" s="89"/>
      <c r="CM133" s="89"/>
      <c r="CN133" s="89"/>
      <c r="CO133" s="89"/>
      <c r="CP133" s="89"/>
      <c r="CQ133" s="89"/>
      <c r="CR133" s="89"/>
      <c r="CS133" s="89"/>
      <c r="CT133" s="89"/>
      <c r="CU133" s="89"/>
      <c r="CV133" s="89"/>
      <c r="CW133" s="89"/>
      <c r="CX133" s="89"/>
      <c r="CY133" s="89"/>
      <c r="CZ133" s="89"/>
      <c r="DA133" s="89"/>
      <c r="DB133" s="89"/>
      <c r="DC133" s="89"/>
      <c r="DD133" s="89"/>
      <c r="DE133" s="89"/>
      <c r="DF133" s="89"/>
      <c r="DG133" s="89"/>
      <c r="DH133" s="89"/>
      <c r="DI133" s="89"/>
      <c r="DJ133" s="89"/>
      <c r="DK133" s="89"/>
      <c r="DL133" s="89"/>
      <c r="DM133" s="89"/>
      <c r="DN133" s="89"/>
      <c r="DO133" s="89"/>
      <c r="DP133" s="89"/>
      <c r="DQ133" s="89"/>
      <c r="DR133" s="89"/>
      <c r="DS133" s="89"/>
      <c r="DT133" s="89"/>
      <c r="DU133" s="89"/>
      <c r="DV133" s="89"/>
      <c r="DW133" s="89"/>
      <c r="DX133" s="89"/>
      <c r="DY133" s="89"/>
      <c r="DZ133" s="89"/>
      <c r="EA133" s="89"/>
      <c r="EB133" s="89"/>
      <c r="EC133" s="89"/>
      <c r="ED133" s="89"/>
      <c r="EE133" s="89"/>
      <c r="EF133" s="89"/>
      <c r="EG133" s="89"/>
      <c r="EH133" s="89"/>
      <c r="EI133" s="89"/>
      <c r="EJ133" s="89"/>
      <c r="EK133" s="89"/>
      <c r="EL133" s="89"/>
      <c r="EM133" s="89"/>
      <c r="EN133" s="89"/>
    </row>
    <row r="134" spans="1:144" s="87" customFormat="1" ht="11.25">
      <c r="A134" s="386">
        <v>16</v>
      </c>
      <c r="B134" s="393" t="s">
        <v>23</v>
      </c>
      <c r="C134" s="361"/>
      <c r="D134" s="101">
        <f t="shared" ref="D134:P134" si="26">SUM(D132:D133)</f>
        <v>0</v>
      </c>
      <c r="E134" s="101">
        <f t="shared" si="26"/>
        <v>0</v>
      </c>
      <c r="F134" s="101">
        <f t="shared" si="26"/>
        <v>0</v>
      </c>
      <c r="G134" s="101">
        <f t="shared" si="26"/>
        <v>0</v>
      </c>
      <c r="H134" s="101">
        <f t="shared" si="26"/>
        <v>0</v>
      </c>
      <c r="I134" s="101">
        <f t="shared" si="26"/>
        <v>0</v>
      </c>
      <c r="J134" s="101">
        <f t="shared" si="26"/>
        <v>0</v>
      </c>
      <c r="K134" s="101">
        <f t="shared" si="26"/>
        <v>0</v>
      </c>
      <c r="L134" s="101">
        <f t="shared" si="26"/>
        <v>0</v>
      </c>
      <c r="M134" s="101">
        <f t="shared" si="26"/>
        <v>0</v>
      </c>
      <c r="N134" s="101">
        <f t="shared" si="26"/>
        <v>0</v>
      </c>
      <c r="O134" s="101">
        <f t="shared" si="26"/>
        <v>0</v>
      </c>
      <c r="P134" s="101">
        <f t="shared" si="26"/>
        <v>0</v>
      </c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89"/>
      <c r="AT134" s="89"/>
      <c r="AU134" s="89"/>
      <c r="AV134" s="89"/>
      <c r="AW134" s="89"/>
      <c r="AX134" s="89"/>
      <c r="AY134" s="89"/>
      <c r="AZ134" s="89"/>
      <c r="BA134" s="89"/>
      <c r="BB134" s="89"/>
      <c r="BC134" s="89"/>
      <c r="BD134" s="89"/>
      <c r="BE134" s="89"/>
      <c r="BF134" s="89"/>
      <c r="BG134" s="89"/>
      <c r="BH134" s="89"/>
      <c r="BI134" s="89"/>
      <c r="BJ134" s="89"/>
      <c r="BK134" s="89"/>
      <c r="BL134" s="89"/>
      <c r="BM134" s="89"/>
      <c r="BN134" s="89"/>
      <c r="BO134" s="89"/>
      <c r="BP134" s="89"/>
      <c r="BQ134" s="89"/>
      <c r="BR134" s="89"/>
      <c r="BS134" s="89"/>
      <c r="BT134" s="89"/>
      <c r="BU134" s="89"/>
      <c r="BV134" s="89"/>
      <c r="BW134" s="89"/>
      <c r="BX134" s="89"/>
      <c r="BY134" s="89"/>
      <c r="BZ134" s="89"/>
      <c r="CA134" s="89"/>
      <c r="CB134" s="89"/>
      <c r="CC134" s="89"/>
      <c r="CD134" s="89"/>
      <c r="CE134" s="89"/>
      <c r="CF134" s="89"/>
      <c r="CG134" s="89"/>
      <c r="CH134" s="89"/>
      <c r="CI134" s="89"/>
      <c r="CJ134" s="89"/>
      <c r="CK134" s="89"/>
      <c r="CL134" s="89"/>
      <c r="CM134" s="89"/>
      <c r="CN134" s="89"/>
      <c r="CO134" s="89"/>
      <c r="CP134" s="89"/>
      <c r="CQ134" s="89"/>
      <c r="CR134" s="89"/>
      <c r="CS134" s="89"/>
      <c r="CT134" s="89"/>
      <c r="CU134" s="89"/>
      <c r="CV134" s="89"/>
      <c r="CW134" s="89"/>
      <c r="CX134" s="89"/>
      <c r="CY134" s="89"/>
      <c r="CZ134" s="89"/>
      <c r="DA134" s="89"/>
      <c r="DB134" s="89"/>
      <c r="DC134" s="89"/>
      <c r="DD134" s="89"/>
      <c r="DE134" s="89"/>
      <c r="DF134" s="89"/>
      <c r="DG134" s="89"/>
      <c r="DH134" s="89"/>
      <c r="DI134" s="89"/>
      <c r="DJ134" s="89"/>
      <c r="DK134" s="89"/>
      <c r="DL134" s="89"/>
      <c r="DM134" s="89"/>
      <c r="DN134" s="89"/>
      <c r="DO134" s="89"/>
      <c r="DP134" s="89"/>
      <c r="DQ134" s="89"/>
      <c r="DR134" s="89"/>
      <c r="DS134" s="89"/>
      <c r="DT134" s="89"/>
      <c r="DU134" s="89"/>
      <c r="DV134" s="89"/>
      <c r="DW134" s="89"/>
      <c r="DX134" s="89"/>
      <c r="DY134" s="89"/>
      <c r="DZ134" s="89"/>
      <c r="EA134" s="89"/>
      <c r="EB134" s="89"/>
      <c r="EC134" s="89"/>
      <c r="ED134" s="89"/>
      <c r="EE134" s="89"/>
      <c r="EF134" s="89"/>
      <c r="EG134" s="89"/>
      <c r="EH134" s="89"/>
      <c r="EI134" s="89"/>
      <c r="EJ134" s="89"/>
      <c r="EK134" s="89"/>
      <c r="EL134" s="89"/>
      <c r="EM134" s="89"/>
      <c r="EN134" s="89"/>
    </row>
    <row r="135" spans="1:144" s="87" customFormat="1" ht="11.25">
      <c r="A135" s="386"/>
      <c r="C135" s="396"/>
      <c r="D135" s="177"/>
      <c r="E135" s="177"/>
      <c r="F135" s="177"/>
      <c r="G135" s="177"/>
      <c r="H135" s="177"/>
      <c r="I135" s="177"/>
      <c r="J135" s="177"/>
      <c r="K135" s="177"/>
      <c r="L135" s="177"/>
      <c r="M135" s="177"/>
      <c r="N135" s="177"/>
      <c r="O135" s="177"/>
      <c r="P135" s="158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  <c r="AP135" s="89"/>
      <c r="AQ135" s="89"/>
      <c r="AR135" s="89"/>
      <c r="AS135" s="89"/>
      <c r="AT135" s="89"/>
      <c r="AU135" s="89"/>
      <c r="AV135" s="89"/>
      <c r="AW135" s="89"/>
      <c r="AX135" s="89"/>
      <c r="AY135" s="89"/>
      <c r="AZ135" s="89"/>
      <c r="BA135" s="89"/>
      <c r="BB135" s="89"/>
      <c r="BC135" s="89"/>
      <c r="BD135" s="89"/>
      <c r="BE135" s="89"/>
      <c r="BF135" s="89"/>
      <c r="BG135" s="89"/>
      <c r="BH135" s="89"/>
      <c r="BI135" s="89"/>
      <c r="BJ135" s="89"/>
      <c r="BK135" s="89"/>
      <c r="BL135" s="89"/>
      <c r="BM135" s="89"/>
      <c r="BN135" s="89"/>
      <c r="BO135" s="89"/>
      <c r="BP135" s="89"/>
      <c r="BQ135" s="89"/>
      <c r="BR135" s="89"/>
      <c r="BS135" s="89"/>
      <c r="BT135" s="89"/>
      <c r="BU135" s="89"/>
      <c r="BV135" s="89"/>
      <c r="BW135" s="89"/>
      <c r="BX135" s="89"/>
      <c r="BY135" s="89"/>
      <c r="BZ135" s="89"/>
      <c r="CA135" s="89"/>
      <c r="CB135" s="89"/>
      <c r="CC135" s="89"/>
      <c r="CD135" s="89"/>
      <c r="CE135" s="89"/>
      <c r="CF135" s="89"/>
      <c r="CG135" s="89"/>
      <c r="CH135" s="89"/>
      <c r="CI135" s="89"/>
      <c r="CJ135" s="89"/>
      <c r="CK135" s="89"/>
      <c r="CL135" s="89"/>
      <c r="CM135" s="89"/>
      <c r="CN135" s="89"/>
      <c r="CO135" s="89"/>
      <c r="CP135" s="89"/>
      <c r="CQ135" s="89"/>
      <c r="CR135" s="89"/>
      <c r="CS135" s="89"/>
      <c r="CT135" s="89"/>
      <c r="CU135" s="89"/>
      <c r="CV135" s="89"/>
      <c r="CW135" s="89"/>
      <c r="CX135" s="89"/>
      <c r="CY135" s="89"/>
      <c r="CZ135" s="89"/>
      <c r="DA135" s="89"/>
      <c r="DB135" s="89"/>
      <c r="DC135" s="89"/>
      <c r="DD135" s="89"/>
      <c r="DE135" s="89"/>
      <c r="DF135" s="89"/>
      <c r="DG135" s="89"/>
      <c r="DH135" s="89"/>
      <c r="DI135" s="89"/>
      <c r="DJ135" s="89"/>
      <c r="DK135" s="89"/>
      <c r="DL135" s="89"/>
      <c r="DM135" s="89"/>
      <c r="DN135" s="89"/>
      <c r="DO135" s="89"/>
      <c r="DP135" s="89"/>
      <c r="DQ135" s="89"/>
      <c r="DR135" s="89"/>
      <c r="DS135" s="89"/>
      <c r="DT135" s="89"/>
      <c r="DU135" s="89"/>
      <c r="DV135" s="89"/>
      <c r="DW135" s="89"/>
      <c r="DX135" s="89"/>
      <c r="DY135" s="89"/>
      <c r="DZ135" s="89"/>
      <c r="EA135" s="89"/>
      <c r="EB135" s="89"/>
      <c r="EC135" s="89"/>
      <c r="ED135" s="89"/>
      <c r="EE135" s="89"/>
      <c r="EF135" s="89"/>
      <c r="EG135" s="89"/>
      <c r="EH135" s="89"/>
      <c r="EI135" s="89"/>
      <c r="EJ135" s="89"/>
      <c r="EK135" s="89"/>
      <c r="EL135" s="89"/>
      <c r="EM135" s="89"/>
      <c r="EN135" s="89"/>
    </row>
    <row r="136" spans="1:144" s="87" customFormat="1" ht="12" thickBot="1">
      <c r="A136" s="386">
        <v>17</v>
      </c>
      <c r="B136" s="147" t="s">
        <v>92</v>
      </c>
      <c r="C136" s="361"/>
      <c r="D136" s="397">
        <f t="shared" ref="D136:P136" si="27">+D134+D130</f>
        <v>0</v>
      </c>
      <c r="E136" s="397">
        <f t="shared" si="27"/>
        <v>0</v>
      </c>
      <c r="F136" s="397">
        <f t="shared" si="27"/>
        <v>0</v>
      </c>
      <c r="G136" s="397">
        <f t="shared" si="27"/>
        <v>0</v>
      </c>
      <c r="H136" s="397">
        <f t="shared" si="27"/>
        <v>0</v>
      </c>
      <c r="I136" s="397">
        <f t="shared" si="27"/>
        <v>0</v>
      </c>
      <c r="J136" s="397">
        <f t="shared" si="27"/>
        <v>0</v>
      </c>
      <c r="K136" s="397">
        <f t="shared" si="27"/>
        <v>0</v>
      </c>
      <c r="L136" s="397">
        <f t="shared" si="27"/>
        <v>0</v>
      </c>
      <c r="M136" s="397">
        <f t="shared" si="27"/>
        <v>0</v>
      </c>
      <c r="N136" s="397">
        <f t="shared" si="27"/>
        <v>0</v>
      </c>
      <c r="O136" s="397">
        <f t="shared" si="27"/>
        <v>0</v>
      </c>
      <c r="P136" s="397">
        <f t="shared" si="27"/>
        <v>0</v>
      </c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O136" s="89"/>
      <c r="AP136" s="89"/>
      <c r="AQ136" s="89"/>
      <c r="AR136" s="89"/>
      <c r="AS136" s="89"/>
      <c r="AT136" s="89"/>
      <c r="AU136" s="89"/>
      <c r="AV136" s="89"/>
      <c r="AW136" s="89"/>
      <c r="AX136" s="89"/>
      <c r="AY136" s="89"/>
      <c r="AZ136" s="89"/>
      <c r="BA136" s="89"/>
      <c r="BB136" s="89"/>
      <c r="BC136" s="89"/>
      <c r="BD136" s="89"/>
      <c r="BE136" s="89"/>
      <c r="BF136" s="89"/>
      <c r="BG136" s="89"/>
      <c r="BH136" s="89"/>
      <c r="BI136" s="89"/>
      <c r="BJ136" s="89"/>
      <c r="BK136" s="89"/>
      <c r="BL136" s="89"/>
      <c r="BM136" s="89"/>
      <c r="BN136" s="89"/>
      <c r="BO136" s="89"/>
      <c r="BP136" s="89"/>
      <c r="BQ136" s="89"/>
      <c r="BR136" s="89"/>
      <c r="BS136" s="89"/>
      <c r="BT136" s="89"/>
      <c r="BU136" s="89"/>
      <c r="BV136" s="89"/>
      <c r="BW136" s="89"/>
      <c r="BX136" s="89"/>
      <c r="BY136" s="89"/>
      <c r="BZ136" s="89"/>
      <c r="CA136" s="89"/>
      <c r="CB136" s="89"/>
      <c r="CC136" s="89"/>
      <c r="CD136" s="89"/>
      <c r="CE136" s="89"/>
      <c r="CF136" s="89"/>
      <c r="CG136" s="89"/>
      <c r="CH136" s="89"/>
      <c r="CI136" s="89"/>
      <c r="CJ136" s="89"/>
      <c r="CK136" s="89"/>
      <c r="CL136" s="89"/>
      <c r="CM136" s="89"/>
      <c r="CN136" s="89"/>
      <c r="CO136" s="89"/>
      <c r="CP136" s="89"/>
      <c r="CQ136" s="89"/>
      <c r="CR136" s="89"/>
      <c r="CS136" s="89"/>
      <c r="CT136" s="89"/>
      <c r="CU136" s="89"/>
      <c r="CV136" s="89"/>
      <c r="CW136" s="89"/>
      <c r="CX136" s="89"/>
      <c r="CY136" s="89"/>
      <c r="CZ136" s="89"/>
      <c r="DA136" s="89"/>
      <c r="DB136" s="89"/>
      <c r="DC136" s="89"/>
      <c r="DD136" s="89"/>
      <c r="DE136" s="89"/>
      <c r="DF136" s="89"/>
      <c r="DG136" s="89"/>
      <c r="DH136" s="89"/>
      <c r="DI136" s="89"/>
      <c r="DJ136" s="89"/>
      <c r="DK136" s="89"/>
      <c r="DL136" s="89"/>
      <c r="DM136" s="89"/>
      <c r="DN136" s="89"/>
      <c r="DO136" s="89"/>
      <c r="DP136" s="89"/>
      <c r="DQ136" s="89"/>
      <c r="DR136" s="89"/>
      <c r="DS136" s="89"/>
      <c r="DT136" s="89"/>
      <c r="DU136" s="89"/>
      <c r="DV136" s="89"/>
      <c r="DW136" s="89"/>
      <c r="DX136" s="89"/>
      <c r="DY136" s="89"/>
      <c r="DZ136" s="89"/>
      <c r="EA136" s="89"/>
      <c r="EB136" s="89"/>
      <c r="EC136" s="89"/>
      <c r="ED136" s="89"/>
      <c r="EE136" s="89"/>
      <c r="EF136" s="89"/>
      <c r="EG136" s="89"/>
      <c r="EH136" s="89"/>
      <c r="EI136" s="89"/>
      <c r="EJ136" s="89"/>
      <c r="EK136" s="89"/>
      <c r="EL136" s="89"/>
      <c r="EM136" s="89"/>
      <c r="EN136" s="89"/>
    </row>
    <row r="137" spans="1:144" ht="8.25" customHeight="1" thickTop="1">
      <c r="A137" s="99"/>
      <c r="B137" s="131"/>
      <c r="C137" s="99"/>
      <c r="D137" s="458"/>
      <c r="E137" s="458"/>
      <c r="F137" s="458"/>
      <c r="G137" s="458"/>
      <c r="H137" s="458"/>
      <c r="I137" s="458"/>
      <c r="J137" s="458"/>
      <c r="K137" s="458"/>
      <c r="L137" s="458"/>
      <c r="M137" s="458"/>
      <c r="N137" s="458"/>
      <c r="O137" s="458"/>
    </row>
    <row r="138" spans="1:144">
      <c r="A138" s="99"/>
      <c r="B138" s="371" t="str">
        <f>B8</f>
        <v>AEP TEXAS</v>
      </c>
      <c r="C138" s="371"/>
      <c r="D138" s="371"/>
      <c r="E138" s="371"/>
      <c r="F138" s="371"/>
      <c r="G138" s="371"/>
      <c r="H138" s="371"/>
      <c r="I138" s="371"/>
      <c r="J138" s="371"/>
      <c r="K138" s="371"/>
      <c r="L138" s="371"/>
      <c r="M138" s="371"/>
      <c r="N138" s="371"/>
      <c r="O138" s="371"/>
      <c r="P138" s="371"/>
    </row>
    <row r="139" spans="1:144">
      <c r="B139" s="371" t="s">
        <v>37</v>
      </c>
      <c r="C139" s="371"/>
      <c r="D139" s="371"/>
      <c r="E139" s="371"/>
      <c r="F139" s="371"/>
      <c r="G139" s="371"/>
      <c r="H139" s="371"/>
      <c r="I139" s="371"/>
      <c r="J139" s="371"/>
      <c r="K139" s="371"/>
      <c r="L139" s="371"/>
      <c r="M139" s="371"/>
      <c r="N139" s="371"/>
      <c r="O139" s="371"/>
      <c r="P139" s="371"/>
    </row>
    <row r="140" spans="1:144">
      <c r="B140" s="371" t="str">
        <f>B107</f>
        <v>FOR TEST YEAR ENDED SEPTEMBER 30, 2023</v>
      </c>
      <c r="C140" s="371"/>
      <c r="D140" s="371"/>
      <c r="E140" s="371"/>
      <c r="F140" s="371"/>
      <c r="G140" s="371"/>
      <c r="H140" s="371"/>
      <c r="I140" s="371"/>
      <c r="J140" s="371"/>
      <c r="K140" s="371"/>
      <c r="L140" s="371"/>
      <c r="M140" s="371"/>
      <c r="N140" s="371"/>
      <c r="O140" s="371"/>
      <c r="P140" s="371"/>
    </row>
    <row r="141" spans="1:144">
      <c r="B141" s="371"/>
      <c r="C141" s="371"/>
      <c r="D141" s="371"/>
      <c r="E141" s="371"/>
      <c r="F141" s="371"/>
      <c r="G141" s="371"/>
      <c r="H141" s="371"/>
      <c r="I141" s="371"/>
      <c r="J141" s="371"/>
      <c r="K141" s="371"/>
      <c r="L141" s="371"/>
      <c r="M141" s="371"/>
      <c r="N141" s="371"/>
      <c r="O141" s="371"/>
      <c r="P141" s="371"/>
    </row>
    <row r="142" spans="1:144">
      <c r="B142" s="147"/>
      <c r="C142" s="99"/>
      <c r="D142" s="404"/>
      <c r="E142" s="405"/>
      <c r="F142" s="405"/>
      <c r="G142" s="404"/>
      <c r="H142" s="405"/>
      <c r="I142" s="405"/>
      <c r="K142" s="405"/>
      <c r="L142" s="405"/>
      <c r="M142" s="405"/>
      <c r="N142" s="405"/>
      <c r="O142" s="405"/>
      <c r="P142" s="405"/>
    </row>
    <row r="143" spans="1:144">
      <c r="A143" s="361" t="s">
        <v>8</v>
      </c>
      <c r="B143" s="361" t="s">
        <v>0</v>
      </c>
      <c r="C143" s="361" t="s">
        <v>7</v>
      </c>
      <c r="D143" s="406" t="str">
        <f t="shared" ref="D143:O143" si="28">D13</f>
        <v>Oct-22</v>
      </c>
      <c r="E143" s="406" t="str">
        <f t="shared" si="28"/>
        <v>Nov-22</v>
      </c>
      <c r="F143" s="406" t="str">
        <f t="shared" si="28"/>
        <v>Dec-22</v>
      </c>
      <c r="G143" s="406" t="str">
        <f t="shared" si="28"/>
        <v>Jan-23</v>
      </c>
      <c r="H143" s="406" t="str">
        <f t="shared" si="28"/>
        <v>Feb-23</v>
      </c>
      <c r="I143" s="406" t="str">
        <f t="shared" si="28"/>
        <v>Mar-23</v>
      </c>
      <c r="J143" s="406" t="str">
        <f t="shared" si="28"/>
        <v>Apr-23</v>
      </c>
      <c r="K143" s="406" t="str">
        <f t="shared" si="28"/>
        <v>May-23</v>
      </c>
      <c r="L143" s="406" t="str">
        <f t="shared" si="28"/>
        <v>Jun-23</v>
      </c>
      <c r="M143" s="406" t="str">
        <f t="shared" si="28"/>
        <v>Jul-23</v>
      </c>
      <c r="N143" s="406" t="str">
        <f t="shared" si="28"/>
        <v>Aug-23</v>
      </c>
      <c r="O143" s="406" t="str">
        <f t="shared" si="28"/>
        <v>Sep-23</v>
      </c>
      <c r="P143" s="406" t="s">
        <v>2</v>
      </c>
    </row>
    <row r="144" spans="1:144">
      <c r="A144" s="361"/>
      <c r="B144" s="361"/>
      <c r="C144" s="361"/>
      <c r="D144" s="406"/>
      <c r="E144" s="406"/>
      <c r="F144" s="406"/>
      <c r="G144" s="406"/>
      <c r="H144" s="406"/>
      <c r="I144" s="406"/>
      <c r="J144" s="406"/>
      <c r="K144" s="406"/>
      <c r="L144" s="406"/>
      <c r="M144" s="406"/>
      <c r="N144" s="406"/>
      <c r="O144" s="406"/>
      <c r="P144" s="406"/>
    </row>
    <row r="145" spans="1:144" s="87" customFormat="1" ht="11.25">
      <c r="A145" s="386" t="s">
        <v>9</v>
      </c>
      <c r="B145" s="87" t="s">
        <v>17</v>
      </c>
      <c r="C145" s="99" t="s">
        <v>4</v>
      </c>
      <c r="D145" s="177">
        <f t="shared" ref="D145:P147" si="29">D112+D80+D48+D15</f>
        <v>0</v>
      </c>
      <c r="E145" s="177">
        <f t="shared" si="29"/>
        <v>0</v>
      </c>
      <c r="F145" s="177">
        <f t="shared" si="29"/>
        <v>0</v>
      </c>
      <c r="G145" s="177">
        <f t="shared" si="29"/>
        <v>0</v>
      </c>
      <c r="H145" s="177">
        <f t="shared" si="29"/>
        <v>0</v>
      </c>
      <c r="I145" s="177">
        <f t="shared" si="29"/>
        <v>0</v>
      </c>
      <c r="J145" s="177">
        <f t="shared" si="29"/>
        <v>0</v>
      </c>
      <c r="K145" s="177">
        <f t="shared" si="29"/>
        <v>0</v>
      </c>
      <c r="L145" s="177">
        <f t="shared" si="29"/>
        <v>0</v>
      </c>
      <c r="M145" s="177">
        <f t="shared" si="29"/>
        <v>0</v>
      </c>
      <c r="N145" s="177">
        <f t="shared" si="29"/>
        <v>0</v>
      </c>
      <c r="O145" s="177">
        <f t="shared" si="29"/>
        <v>0</v>
      </c>
      <c r="P145" s="177">
        <f t="shared" si="29"/>
        <v>0</v>
      </c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  <c r="AP145" s="89"/>
      <c r="AQ145" s="89"/>
      <c r="AR145" s="89"/>
      <c r="AS145" s="89"/>
      <c r="AT145" s="89"/>
      <c r="AU145" s="89"/>
      <c r="AV145" s="89"/>
      <c r="AW145" s="89"/>
      <c r="AX145" s="89"/>
      <c r="AY145" s="89"/>
      <c r="AZ145" s="89"/>
      <c r="BA145" s="89"/>
      <c r="BB145" s="89"/>
      <c r="BC145" s="89"/>
      <c r="BD145" s="89"/>
      <c r="BE145" s="89"/>
      <c r="BF145" s="89"/>
      <c r="BG145" s="89"/>
      <c r="BH145" s="89"/>
      <c r="BI145" s="89"/>
      <c r="BJ145" s="89"/>
      <c r="BK145" s="89"/>
      <c r="BL145" s="89"/>
      <c r="BM145" s="89"/>
      <c r="BN145" s="89"/>
      <c r="BO145" s="89"/>
      <c r="BP145" s="89"/>
      <c r="BQ145" s="89"/>
      <c r="BR145" s="89"/>
      <c r="BS145" s="89"/>
      <c r="BT145" s="89"/>
      <c r="BU145" s="89"/>
      <c r="BV145" s="89"/>
      <c r="BW145" s="89"/>
      <c r="BX145" s="89"/>
      <c r="BY145" s="89"/>
      <c r="BZ145" s="89"/>
      <c r="CA145" s="89"/>
      <c r="CB145" s="89"/>
      <c r="CC145" s="89"/>
      <c r="CD145" s="89"/>
      <c r="CE145" s="89"/>
      <c r="CF145" s="89"/>
      <c r="CG145" s="89"/>
      <c r="CH145" s="89"/>
      <c r="CI145" s="89"/>
      <c r="CJ145" s="89"/>
      <c r="CK145" s="89"/>
      <c r="CL145" s="89"/>
      <c r="CM145" s="89"/>
      <c r="CN145" s="89"/>
      <c r="CO145" s="89"/>
      <c r="CP145" s="89"/>
      <c r="CQ145" s="89"/>
      <c r="CR145" s="89"/>
      <c r="CS145" s="89"/>
      <c r="CT145" s="89"/>
      <c r="CU145" s="89"/>
      <c r="CV145" s="89"/>
      <c r="CW145" s="89"/>
      <c r="CX145" s="89"/>
      <c r="CY145" s="89"/>
      <c r="CZ145" s="89"/>
      <c r="DA145" s="89"/>
      <c r="DB145" s="89"/>
      <c r="DC145" s="89"/>
      <c r="DD145" s="89"/>
      <c r="DE145" s="89"/>
      <c r="DF145" s="89"/>
      <c r="DG145" s="89"/>
      <c r="DH145" s="89"/>
      <c r="DI145" s="89"/>
      <c r="DJ145" s="89"/>
      <c r="DK145" s="89"/>
      <c r="DL145" s="89"/>
      <c r="DM145" s="89"/>
      <c r="DN145" s="89"/>
      <c r="DO145" s="89"/>
      <c r="DP145" s="89"/>
      <c r="DQ145" s="89"/>
      <c r="DR145" s="89"/>
      <c r="DS145" s="89"/>
      <c r="DT145" s="89"/>
      <c r="DU145" s="89"/>
      <c r="DV145" s="89"/>
      <c r="DW145" s="89"/>
      <c r="DX145" s="89"/>
      <c r="DY145" s="89"/>
      <c r="DZ145" s="89"/>
      <c r="EA145" s="89"/>
      <c r="EB145" s="89"/>
      <c r="EC145" s="89"/>
      <c r="ED145" s="89"/>
      <c r="EE145" s="89"/>
      <c r="EF145" s="89"/>
      <c r="EG145" s="89"/>
      <c r="EH145" s="89"/>
      <c r="EI145" s="89"/>
      <c r="EJ145" s="89"/>
      <c r="EK145" s="89"/>
      <c r="EL145" s="89"/>
      <c r="EM145" s="89"/>
      <c r="EN145" s="89"/>
    </row>
    <row r="146" spans="1:144" s="87" customFormat="1" ht="11.25">
      <c r="A146" s="4"/>
      <c r="C146" s="99"/>
      <c r="D146" s="177"/>
      <c r="E146" s="177"/>
      <c r="F146" s="177"/>
      <c r="G146" s="177"/>
      <c r="H146" s="177"/>
      <c r="I146" s="177"/>
      <c r="J146" s="177"/>
      <c r="K146" s="177"/>
      <c r="L146" s="177"/>
      <c r="M146" s="177"/>
      <c r="N146" s="177"/>
      <c r="O146" s="177"/>
      <c r="P146" s="177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  <c r="AP146" s="89"/>
      <c r="AQ146" s="89"/>
      <c r="AR146" s="89"/>
      <c r="AS146" s="89"/>
      <c r="AT146" s="89"/>
      <c r="AU146" s="89"/>
      <c r="AV146" s="89"/>
      <c r="AW146" s="89"/>
      <c r="AX146" s="89"/>
      <c r="AY146" s="89"/>
      <c r="AZ146" s="89"/>
      <c r="BA146" s="89"/>
      <c r="BB146" s="89"/>
      <c r="BC146" s="89"/>
      <c r="BD146" s="89"/>
      <c r="BE146" s="89"/>
      <c r="BF146" s="89"/>
      <c r="BG146" s="89"/>
      <c r="BH146" s="89"/>
      <c r="BI146" s="89"/>
      <c r="BJ146" s="89"/>
      <c r="BK146" s="89"/>
      <c r="BL146" s="89"/>
      <c r="BM146" s="89"/>
      <c r="BN146" s="89"/>
      <c r="BO146" s="89"/>
      <c r="BP146" s="89"/>
      <c r="BQ146" s="89"/>
      <c r="BR146" s="89"/>
      <c r="BS146" s="89"/>
      <c r="BT146" s="89"/>
      <c r="BU146" s="89"/>
      <c r="BV146" s="89"/>
      <c r="BW146" s="89"/>
      <c r="BX146" s="89"/>
      <c r="BY146" s="89"/>
      <c r="BZ146" s="89"/>
      <c r="CA146" s="89"/>
      <c r="CB146" s="89"/>
      <c r="CC146" s="89"/>
      <c r="CD146" s="89"/>
      <c r="CE146" s="89"/>
      <c r="CF146" s="89"/>
      <c r="CG146" s="89"/>
      <c r="CH146" s="89"/>
      <c r="CI146" s="89"/>
      <c r="CJ146" s="89"/>
      <c r="CK146" s="89"/>
      <c r="CL146" s="89"/>
      <c r="CM146" s="89"/>
      <c r="CN146" s="89"/>
      <c r="CO146" s="89"/>
      <c r="CP146" s="89"/>
      <c r="CQ146" s="89"/>
      <c r="CR146" s="89"/>
      <c r="CS146" s="89"/>
      <c r="CT146" s="89"/>
      <c r="CU146" s="89"/>
      <c r="CV146" s="89"/>
      <c r="CW146" s="89"/>
      <c r="CX146" s="89"/>
      <c r="CY146" s="89"/>
      <c r="CZ146" s="89"/>
      <c r="DA146" s="89"/>
      <c r="DB146" s="89"/>
      <c r="DC146" s="89"/>
      <c r="DD146" s="89"/>
      <c r="DE146" s="89"/>
      <c r="DF146" s="89"/>
      <c r="DG146" s="89"/>
      <c r="DH146" s="89"/>
      <c r="DI146" s="89"/>
      <c r="DJ146" s="89"/>
      <c r="DK146" s="89"/>
      <c r="DL146" s="89"/>
      <c r="DM146" s="89"/>
      <c r="DN146" s="89"/>
      <c r="DO146" s="89"/>
      <c r="DP146" s="89"/>
      <c r="DQ146" s="89"/>
      <c r="DR146" s="89"/>
      <c r="DS146" s="89"/>
      <c r="DT146" s="89"/>
      <c r="DU146" s="89"/>
      <c r="DV146" s="89"/>
      <c r="DW146" s="89"/>
      <c r="DX146" s="89"/>
      <c r="DY146" s="89"/>
      <c r="DZ146" s="89"/>
      <c r="EA146" s="89"/>
      <c r="EB146" s="89"/>
      <c r="EC146" s="89"/>
      <c r="ED146" s="89"/>
      <c r="EE146" s="89"/>
      <c r="EF146" s="89"/>
      <c r="EG146" s="89"/>
      <c r="EH146" s="89"/>
      <c r="EI146" s="89"/>
      <c r="EJ146" s="89"/>
      <c r="EK146" s="89"/>
      <c r="EL146" s="89"/>
      <c r="EM146" s="89"/>
      <c r="EN146" s="89"/>
    </row>
    <row r="147" spans="1:144" s="87" customFormat="1" ht="11.25">
      <c r="A147" s="386">
        <v>2</v>
      </c>
      <c r="B147" s="87" t="s">
        <v>20</v>
      </c>
      <c r="C147" s="99" t="s">
        <v>4</v>
      </c>
      <c r="D147" s="177">
        <f t="shared" si="29"/>
        <v>0</v>
      </c>
      <c r="E147" s="177">
        <f t="shared" si="29"/>
        <v>0</v>
      </c>
      <c r="F147" s="177">
        <f t="shared" si="29"/>
        <v>0</v>
      </c>
      <c r="G147" s="177">
        <f t="shared" si="29"/>
        <v>0</v>
      </c>
      <c r="H147" s="177">
        <f t="shared" si="29"/>
        <v>0</v>
      </c>
      <c r="I147" s="177">
        <f t="shared" si="29"/>
        <v>0</v>
      </c>
      <c r="J147" s="177">
        <f t="shared" si="29"/>
        <v>0</v>
      </c>
      <c r="K147" s="177">
        <f t="shared" si="29"/>
        <v>0</v>
      </c>
      <c r="L147" s="177">
        <f t="shared" si="29"/>
        <v>0</v>
      </c>
      <c r="M147" s="177">
        <f t="shared" si="29"/>
        <v>0</v>
      </c>
      <c r="N147" s="177">
        <f t="shared" si="29"/>
        <v>0</v>
      </c>
      <c r="O147" s="177">
        <f t="shared" si="29"/>
        <v>0</v>
      </c>
      <c r="P147" s="177">
        <f t="shared" si="29"/>
        <v>0</v>
      </c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89"/>
      <c r="AO147" s="89"/>
      <c r="AP147" s="89"/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89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89"/>
      <c r="CY147" s="89"/>
      <c r="CZ147" s="89"/>
      <c r="DA147" s="89"/>
      <c r="DB147" s="89"/>
      <c r="DC147" s="89"/>
      <c r="DD147" s="89"/>
      <c r="DE147" s="89"/>
      <c r="DF147" s="89"/>
      <c r="DG147" s="89"/>
      <c r="DH147" s="89"/>
      <c r="DI147" s="89"/>
      <c r="DJ147" s="89"/>
      <c r="DK147" s="89"/>
      <c r="DL147" s="89"/>
      <c r="DM147" s="89"/>
      <c r="DN147" s="89"/>
      <c r="DO147" s="89"/>
      <c r="DP147" s="89"/>
      <c r="DQ147" s="89"/>
      <c r="DR147" s="89"/>
      <c r="DS147" s="89"/>
      <c r="DT147" s="89"/>
      <c r="DU147" s="89"/>
      <c r="DV147" s="89"/>
      <c r="DW147" s="89"/>
      <c r="DX147" s="89"/>
      <c r="DY147" s="89"/>
      <c r="DZ147" s="89"/>
      <c r="EA147" s="89"/>
      <c r="EB147" s="89"/>
      <c r="EC147" s="89"/>
      <c r="ED147" s="89"/>
      <c r="EE147" s="89"/>
      <c r="EF147" s="89"/>
      <c r="EG147" s="89"/>
      <c r="EH147" s="89"/>
      <c r="EI147" s="89"/>
      <c r="EJ147" s="89"/>
      <c r="EK147" s="89"/>
      <c r="EL147" s="89"/>
      <c r="EM147" s="89"/>
      <c r="EN147" s="89"/>
    </row>
    <row r="148" spans="1:144" s="87" customFormat="1" ht="11.25">
      <c r="A148" s="386"/>
      <c r="C148" s="99"/>
      <c r="D148" s="177"/>
      <c r="E148" s="177"/>
      <c r="F148" s="177"/>
      <c r="G148" s="177"/>
      <c r="H148" s="177"/>
      <c r="I148" s="177"/>
      <c r="J148" s="177"/>
      <c r="K148" s="177"/>
      <c r="L148" s="177"/>
      <c r="M148" s="177"/>
      <c r="N148" s="177"/>
      <c r="O148" s="177"/>
      <c r="P148" s="177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O148" s="89"/>
      <c r="AP148" s="89"/>
      <c r="AQ148" s="89"/>
      <c r="AR148" s="89"/>
      <c r="AS148" s="89"/>
      <c r="AT148" s="89"/>
      <c r="AU148" s="89"/>
      <c r="AV148" s="89"/>
      <c r="AW148" s="89"/>
      <c r="AX148" s="89"/>
      <c r="AY148" s="89"/>
      <c r="AZ148" s="89"/>
      <c r="BA148" s="89"/>
      <c r="BB148" s="89"/>
      <c r="BC148" s="89"/>
      <c r="BD148" s="89"/>
      <c r="BE148" s="89"/>
      <c r="BF148" s="89"/>
      <c r="BG148" s="89"/>
      <c r="BH148" s="89"/>
      <c r="BI148" s="89"/>
      <c r="BJ148" s="89"/>
      <c r="BK148" s="89"/>
      <c r="BL148" s="89"/>
      <c r="BM148" s="89"/>
      <c r="BN148" s="89"/>
      <c r="BO148" s="89"/>
      <c r="BP148" s="89"/>
      <c r="BQ148" s="89"/>
      <c r="BR148" s="89"/>
      <c r="BS148" s="89"/>
      <c r="BT148" s="89"/>
      <c r="BU148" s="89"/>
      <c r="BV148" s="89"/>
      <c r="BW148" s="89"/>
      <c r="BX148" s="89"/>
      <c r="BY148" s="89"/>
      <c r="BZ148" s="89"/>
      <c r="CA148" s="89"/>
      <c r="CB148" s="89"/>
      <c r="CC148" s="89"/>
      <c r="CD148" s="89"/>
      <c r="CE148" s="89"/>
      <c r="CF148" s="89"/>
      <c r="CG148" s="89"/>
      <c r="CH148" s="89"/>
      <c r="CI148" s="89"/>
      <c r="CJ148" s="89"/>
      <c r="CK148" s="89"/>
      <c r="CL148" s="89"/>
      <c r="CM148" s="89"/>
      <c r="CN148" s="89"/>
      <c r="CO148" s="89"/>
      <c r="CP148" s="89"/>
      <c r="CQ148" s="89"/>
      <c r="CR148" s="89"/>
      <c r="CS148" s="89"/>
      <c r="CT148" s="89"/>
      <c r="CU148" s="89"/>
      <c r="CV148" s="89"/>
      <c r="CW148" s="89"/>
      <c r="CX148" s="89"/>
      <c r="CY148" s="89"/>
      <c r="CZ148" s="89"/>
      <c r="DA148" s="89"/>
      <c r="DB148" s="89"/>
      <c r="DC148" s="89"/>
      <c r="DD148" s="89"/>
      <c r="DE148" s="89"/>
      <c r="DF148" s="89"/>
      <c r="DG148" s="89"/>
      <c r="DH148" s="89"/>
      <c r="DI148" s="89"/>
      <c r="DJ148" s="89"/>
      <c r="DK148" s="89"/>
      <c r="DL148" s="89"/>
      <c r="DM148" s="89"/>
      <c r="DN148" s="89"/>
      <c r="DO148" s="89"/>
      <c r="DP148" s="89"/>
      <c r="DQ148" s="89"/>
      <c r="DR148" s="89"/>
      <c r="DS148" s="89"/>
      <c r="DT148" s="89"/>
      <c r="DU148" s="89"/>
      <c r="DV148" s="89"/>
      <c r="DW148" s="89"/>
      <c r="DX148" s="89"/>
      <c r="DY148" s="89"/>
      <c r="DZ148" s="89"/>
      <c r="EA148" s="89"/>
      <c r="EB148" s="89"/>
      <c r="EC148" s="89"/>
      <c r="ED148" s="89"/>
      <c r="EE148" s="89"/>
      <c r="EF148" s="89"/>
      <c r="EG148" s="89"/>
      <c r="EH148" s="89"/>
      <c r="EI148" s="89"/>
      <c r="EJ148" s="89"/>
      <c r="EK148" s="89"/>
      <c r="EL148" s="89"/>
      <c r="EM148" s="89"/>
      <c r="EN148" s="89"/>
    </row>
    <row r="149" spans="1:144" s="87" customFormat="1" ht="11.25">
      <c r="A149" s="386">
        <v>3</v>
      </c>
      <c r="B149" s="87" t="s">
        <v>81</v>
      </c>
      <c r="C149" s="157" t="s">
        <v>4</v>
      </c>
      <c r="D149" s="177">
        <f>D116+D84+D52+D19</f>
        <v>2344898.2394039677</v>
      </c>
      <c r="E149" s="177">
        <f t="shared" ref="E149:P149" si="30">E116+E84+E52+E19</f>
        <v>2310347.8015746563</v>
      </c>
      <c r="F149" s="177">
        <f t="shared" si="30"/>
        <v>2347380.1297913864</v>
      </c>
      <c r="G149" s="177">
        <f t="shared" si="30"/>
        <v>2352927.2599335238</v>
      </c>
      <c r="H149" s="177">
        <f t="shared" si="30"/>
        <v>2353291.992784983</v>
      </c>
      <c r="I149" s="177">
        <f t="shared" si="30"/>
        <v>2225522.2713169726</v>
      </c>
      <c r="J149" s="177">
        <f t="shared" si="30"/>
        <v>2235512.8439119696</v>
      </c>
      <c r="K149" s="177">
        <f t="shared" si="30"/>
        <v>2278215.5300144432</v>
      </c>
      <c r="L149" s="177">
        <f t="shared" si="30"/>
        <v>2368846.926268612</v>
      </c>
      <c r="M149" s="177">
        <f t="shared" si="30"/>
        <v>2345579.125540433</v>
      </c>
      <c r="N149" s="177">
        <f t="shared" si="30"/>
        <v>2379614.3188605485</v>
      </c>
      <c r="O149" s="177">
        <f t="shared" si="30"/>
        <v>2395042.0650049848</v>
      </c>
      <c r="P149" s="177">
        <f t="shared" si="30"/>
        <v>27937178.504406482</v>
      </c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9"/>
      <c r="AO149" s="89"/>
      <c r="AP149" s="89"/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89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89"/>
      <c r="CY149" s="89"/>
      <c r="CZ149" s="89"/>
      <c r="DA149" s="89"/>
      <c r="DB149" s="89"/>
      <c r="DC149" s="89"/>
      <c r="DD149" s="89"/>
      <c r="DE149" s="89"/>
      <c r="DF149" s="89"/>
      <c r="DG149" s="89"/>
      <c r="DH149" s="89"/>
      <c r="DI149" s="89"/>
      <c r="DJ149" s="89"/>
      <c r="DK149" s="89"/>
      <c r="DL149" s="89"/>
      <c r="DM149" s="89"/>
      <c r="DN149" s="89"/>
      <c r="DO149" s="89"/>
      <c r="DP149" s="89"/>
      <c r="DQ149" s="89"/>
      <c r="DR149" s="89"/>
      <c r="DS149" s="89"/>
      <c r="DT149" s="89"/>
      <c r="DU149" s="89"/>
      <c r="DV149" s="89"/>
      <c r="DW149" s="89"/>
      <c r="DX149" s="89"/>
      <c r="DY149" s="89"/>
      <c r="DZ149" s="89"/>
      <c r="EA149" s="89"/>
      <c r="EB149" s="89"/>
      <c r="EC149" s="89"/>
      <c r="ED149" s="89"/>
      <c r="EE149" s="89"/>
      <c r="EF149" s="89"/>
      <c r="EG149" s="89"/>
      <c r="EH149" s="89"/>
      <c r="EI149" s="89"/>
      <c r="EJ149" s="89"/>
      <c r="EK149" s="89"/>
      <c r="EL149" s="89"/>
      <c r="EM149" s="89"/>
      <c r="EN149" s="89"/>
    </row>
    <row r="150" spans="1:144" s="87" customFormat="1" ht="11.25">
      <c r="A150" s="386">
        <v>4</v>
      </c>
      <c r="B150" s="87" t="s">
        <v>85</v>
      </c>
      <c r="C150" s="157" t="s">
        <v>4</v>
      </c>
      <c r="D150" s="388">
        <f>D117+D85+D53+D20</f>
        <v>201276.43244644432</v>
      </c>
      <c r="E150" s="388">
        <f t="shared" ref="E150:O150" si="31">E117+E85+E53+E20</f>
        <v>204477.86851154952</v>
      </c>
      <c r="F150" s="388">
        <f t="shared" si="31"/>
        <v>198293.63161181274</v>
      </c>
      <c r="G150" s="388">
        <f t="shared" si="31"/>
        <v>191645.01190809693</v>
      </c>
      <c r="H150" s="388">
        <f t="shared" si="31"/>
        <v>190809.31124650021</v>
      </c>
      <c r="I150" s="388">
        <f t="shared" si="31"/>
        <v>186212.034894799</v>
      </c>
      <c r="J150" s="388">
        <f t="shared" si="31"/>
        <v>188183.12697560515</v>
      </c>
      <c r="K150" s="388">
        <f t="shared" si="31"/>
        <v>195374.99179684461</v>
      </c>
      <c r="L150" s="388">
        <f t="shared" si="31"/>
        <v>192936.89828194052</v>
      </c>
      <c r="M150" s="388">
        <f t="shared" si="31"/>
        <v>188185.35269898834</v>
      </c>
      <c r="N150" s="388">
        <f t="shared" si="31"/>
        <v>187315.38905087946</v>
      </c>
      <c r="O150" s="388">
        <f t="shared" si="31"/>
        <v>188991.57180065097</v>
      </c>
      <c r="P150" s="425">
        <f>SUM(D150:O150)</f>
        <v>2313701.6212241119</v>
      </c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O150" s="89"/>
      <c r="AP150" s="89"/>
      <c r="AQ150" s="89"/>
      <c r="AR150" s="89"/>
      <c r="AS150" s="89"/>
      <c r="AT150" s="89"/>
      <c r="AU150" s="89"/>
      <c r="AV150" s="89"/>
      <c r="AW150" s="89"/>
      <c r="AX150" s="89"/>
      <c r="AY150" s="89"/>
      <c r="AZ150" s="89"/>
      <c r="BA150" s="89"/>
      <c r="BB150" s="89"/>
      <c r="BC150" s="89"/>
      <c r="BD150" s="89"/>
      <c r="BE150" s="89"/>
      <c r="BF150" s="89"/>
      <c r="BG150" s="89"/>
      <c r="BH150" s="89"/>
      <c r="BI150" s="89"/>
      <c r="BJ150" s="89"/>
      <c r="BK150" s="89"/>
      <c r="BL150" s="89"/>
      <c r="BM150" s="89"/>
      <c r="BN150" s="89"/>
      <c r="BO150" s="89"/>
      <c r="BP150" s="89"/>
      <c r="BQ150" s="89"/>
      <c r="BR150" s="89"/>
      <c r="BS150" s="89"/>
      <c r="BT150" s="89"/>
      <c r="BU150" s="89"/>
      <c r="BV150" s="89"/>
      <c r="BW150" s="89"/>
      <c r="BX150" s="89"/>
      <c r="BY150" s="89"/>
      <c r="BZ150" s="89"/>
      <c r="CA150" s="89"/>
      <c r="CB150" s="89"/>
      <c r="CC150" s="89"/>
      <c r="CD150" s="89"/>
      <c r="CE150" s="89"/>
      <c r="CF150" s="89"/>
      <c r="CG150" s="89"/>
      <c r="CH150" s="89"/>
      <c r="CI150" s="89"/>
      <c r="CJ150" s="89"/>
      <c r="CK150" s="89"/>
      <c r="CL150" s="89"/>
      <c r="CM150" s="89"/>
      <c r="CN150" s="89"/>
      <c r="CO150" s="89"/>
      <c r="CP150" s="89"/>
      <c r="CQ150" s="89"/>
      <c r="CR150" s="89"/>
      <c r="CS150" s="89"/>
      <c r="CT150" s="89"/>
      <c r="CU150" s="89"/>
      <c r="CV150" s="89"/>
      <c r="CW150" s="89"/>
      <c r="CX150" s="89"/>
      <c r="CY150" s="89"/>
      <c r="CZ150" s="89"/>
      <c r="DA150" s="89"/>
      <c r="DB150" s="89"/>
      <c r="DC150" s="89"/>
      <c r="DD150" s="89"/>
      <c r="DE150" s="89"/>
      <c r="DF150" s="89"/>
      <c r="DG150" s="89"/>
      <c r="DH150" s="89"/>
      <c r="DI150" s="89"/>
      <c r="DJ150" s="89"/>
      <c r="DK150" s="89"/>
      <c r="DL150" s="89"/>
      <c r="DM150" s="89"/>
      <c r="DN150" s="89"/>
      <c r="DO150" s="89"/>
      <c r="DP150" s="89"/>
      <c r="DQ150" s="89"/>
      <c r="DR150" s="89"/>
      <c r="DS150" s="89"/>
      <c r="DT150" s="89"/>
      <c r="DU150" s="89"/>
      <c r="DV150" s="89"/>
      <c r="DW150" s="89"/>
      <c r="DX150" s="89"/>
      <c r="DY150" s="89"/>
      <c r="DZ150" s="89"/>
      <c r="EA150" s="89"/>
      <c r="EB150" s="89"/>
      <c r="EC150" s="89"/>
      <c r="ED150" s="89"/>
      <c r="EE150" s="89"/>
      <c r="EF150" s="89"/>
      <c r="EG150" s="89"/>
      <c r="EH150" s="89"/>
      <c r="EI150" s="89"/>
      <c r="EJ150" s="89"/>
      <c r="EK150" s="89"/>
      <c r="EL150" s="89"/>
      <c r="EM150" s="89"/>
      <c r="EN150" s="89"/>
    </row>
    <row r="151" spans="1:144" s="87" customFormat="1" ht="11.25">
      <c r="A151" s="386">
        <v>5</v>
      </c>
      <c r="B151" s="131" t="s">
        <v>18</v>
      </c>
      <c r="C151" s="99"/>
      <c r="D151" s="177">
        <f t="shared" ref="D151:P151" si="32">SUM(D149:D150)</f>
        <v>2546174.6718504122</v>
      </c>
      <c r="E151" s="177">
        <f t="shared" si="32"/>
        <v>2514825.6700862059</v>
      </c>
      <c r="F151" s="177">
        <f t="shared" si="32"/>
        <v>2545673.7614031993</v>
      </c>
      <c r="G151" s="177">
        <f t="shared" si="32"/>
        <v>2544572.2718416206</v>
      </c>
      <c r="H151" s="177">
        <f t="shared" si="32"/>
        <v>2544101.3040314834</v>
      </c>
      <c r="I151" s="177">
        <f t="shared" si="32"/>
        <v>2411734.3062117714</v>
      </c>
      <c r="J151" s="177">
        <f t="shared" si="32"/>
        <v>2423695.9708875748</v>
      </c>
      <c r="K151" s="177">
        <f t="shared" si="32"/>
        <v>2473590.5218112879</v>
      </c>
      <c r="L151" s="177">
        <f t="shared" si="32"/>
        <v>2561783.8245505528</v>
      </c>
      <c r="M151" s="177">
        <f t="shared" si="32"/>
        <v>2533764.4782394213</v>
      </c>
      <c r="N151" s="177">
        <f t="shared" si="32"/>
        <v>2566929.7079114281</v>
      </c>
      <c r="O151" s="177">
        <f t="shared" si="32"/>
        <v>2584033.6368056359</v>
      </c>
      <c r="P151" s="177">
        <f t="shared" si="32"/>
        <v>30250880.125630595</v>
      </c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  <c r="AN151" s="89"/>
      <c r="AO151" s="89"/>
      <c r="AP151" s="89"/>
      <c r="AQ151" s="89"/>
      <c r="AR151" s="89"/>
      <c r="AS151" s="89"/>
      <c r="AT151" s="89"/>
      <c r="AU151" s="89"/>
      <c r="AV151" s="89"/>
      <c r="AW151" s="89"/>
      <c r="AX151" s="89"/>
      <c r="AY151" s="89"/>
      <c r="AZ151" s="89"/>
      <c r="BA151" s="89"/>
      <c r="BB151" s="89"/>
      <c r="BC151" s="89"/>
      <c r="BD151" s="89"/>
      <c r="BE151" s="89"/>
      <c r="BF151" s="89"/>
      <c r="BG151" s="89"/>
      <c r="BH151" s="89"/>
      <c r="BI151" s="89"/>
      <c r="BJ151" s="89"/>
      <c r="BK151" s="89"/>
      <c r="BL151" s="89"/>
      <c r="BM151" s="89"/>
      <c r="BN151" s="89"/>
      <c r="BO151" s="89"/>
      <c r="BP151" s="89"/>
      <c r="BQ151" s="89"/>
      <c r="BR151" s="89"/>
      <c r="BS151" s="89"/>
      <c r="BT151" s="89"/>
      <c r="BU151" s="89"/>
      <c r="BV151" s="89"/>
      <c r="BW151" s="89"/>
      <c r="BX151" s="89"/>
      <c r="BY151" s="89"/>
      <c r="BZ151" s="89"/>
      <c r="CA151" s="89"/>
      <c r="CB151" s="89"/>
      <c r="CC151" s="89"/>
      <c r="CD151" s="89"/>
      <c r="CE151" s="89"/>
      <c r="CF151" s="89"/>
      <c r="CG151" s="89"/>
      <c r="CH151" s="89"/>
      <c r="CI151" s="89"/>
      <c r="CJ151" s="89"/>
      <c r="CK151" s="89"/>
      <c r="CL151" s="89"/>
      <c r="CM151" s="89"/>
      <c r="CN151" s="89"/>
      <c r="CO151" s="89"/>
      <c r="CP151" s="89"/>
      <c r="CQ151" s="89"/>
      <c r="CR151" s="89"/>
      <c r="CS151" s="89"/>
      <c r="CT151" s="89"/>
      <c r="CU151" s="89"/>
      <c r="CV151" s="89"/>
      <c r="CW151" s="89"/>
      <c r="CX151" s="89"/>
      <c r="CY151" s="89"/>
      <c r="CZ151" s="89"/>
      <c r="DA151" s="89"/>
      <c r="DB151" s="89"/>
      <c r="DC151" s="89"/>
      <c r="DD151" s="89"/>
      <c r="DE151" s="89"/>
      <c r="DF151" s="89"/>
      <c r="DG151" s="89"/>
      <c r="DH151" s="89"/>
      <c r="DI151" s="89"/>
      <c r="DJ151" s="89"/>
      <c r="DK151" s="89"/>
      <c r="DL151" s="89"/>
      <c r="DM151" s="89"/>
      <c r="DN151" s="89"/>
      <c r="DO151" s="89"/>
      <c r="DP151" s="89"/>
      <c r="DQ151" s="89"/>
      <c r="DR151" s="89"/>
      <c r="DS151" s="89"/>
      <c r="DT151" s="89"/>
      <c r="DU151" s="89"/>
      <c r="DV151" s="89"/>
      <c r="DW151" s="89"/>
      <c r="DX151" s="89"/>
      <c r="DY151" s="89"/>
      <c r="DZ151" s="89"/>
      <c r="EA151" s="89"/>
      <c r="EB151" s="89"/>
      <c r="EC151" s="89"/>
      <c r="ED151" s="89"/>
      <c r="EE151" s="89"/>
      <c r="EF151" s="89"/>
      <c r="EG151" s="89"/>
      <c r="EH151" s="89"/>
      <c r="EI151" s="89"/>
      <c r="EJ151" s="89"/>
      <c r="EK151" s="89"/>
      <c r="EL151" s="89"/>
      <c r="EM151" s="89"/>
      <c r="EN151" s="89"/>
    </row>
    <row r="152" spans="1:144" s="87" customFormat="1" ht="11.25">
      <c r="A152" s="4"/>
      <c r="B152" s="147"/>
      <c r="C152" s="99"/>
      <c r="D152" s="177"/>
      <c r="E152" s="177"/>
      <c r="F152" s="177"/>
      <c r="G152" s="177"/>
      <c r="H152" s="177"/>
      <c r="I152" s="177"/>
      <c r="J152" s="177"/>
      <c r="K152" s="177"/>
      <c r="L152" s="177"/>
      <c r="M152" s="177"/>
      <c r="N152" s="177"/>
      <c r="O152" s="177"/>
      <c r="P152" s="158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O152" s="89"/>
      <c r="AP152" s="89"/>
      <c r="AQ152" s="89"/>
      <c r="AR152" s="89"/>
      <c r="AS152" s="89"/>
      <c r="AT152" s="89"/>
      <c r="AU152" s="89"/>
      <c r="AV152" s="89"/>
      <c r="AW152" s="89"/>
      <c r="AX152" s="89"/>
      <c r="AY152" s="89"/>
      <c r="AZ152" s="89"/>
      <c r="BA152" s="89"/>
      <c r="BB152" s="89"/>
      <c r="BC152" s="89"/>
      <c r="BD152" s="89"/>
      <c r="BE152" s="89"/>
      <c r="BF152" s="89"/>
      <c r="BG152" s="89"/>
      <c r="BH152" s="89"/>
      <c r="BI152" s="89"/>
      <c r="BJ152" s="89"/>
      <c r="BK152" s="89"/>
      <c r="BL152" s="89"/>
      <c r="BM152" s="89"/>
      <c r="BN152" s="89"/>
      <c r="BO152" s="89"/>
      <c r="BP152" s="89"/>
      <c r="BQ152" s="89"/>
      <c r="BR152" s="89"/>
      <c r="BS152" s="89"/>
      <c r="BT152" s="89"/>
      <c r="BU152" s="89"/>
      <c r="BV152" s="89"/>
      <c r="BW152" s="89"/>
      <c r="BX152" s="89"/>
      <c r="BY152" s="89"/>
      <c r="BZ152" s="89"/>
      <c r="CA152" s="89"/>
      <c r="CB152" s="89"/>
      <c r="CC152" s="89"/>
      <c r="CD152" s="89"/>
      <c r="CE152" s="89"/>
      <c r="CF152" s="89"/>
      <c r="CG152" s="89"/>
      <c r="CH152" s="89"/>
      <c r="CI152" s="89"/>
      <c r="CJ152" s="89"/>
      <c r="CK152" s="89"/>
      <c r="CL152" s="89"/>
      <c r="CM152" s="89"/>
      <c r="CN152" s="89"/>
      <c r="CO152" s="89"/>
      <c r="CP152" s="89"/>
      <c r="CQ152" s="89"/>
      <c r="CR152" s="89"/>
      <c r="CS152" s="89"/>
      <c r="CT152" s="89"/>
      <c r="CU152" s="89"/>
      <c r="CV152" s="89"/>
      <c r="CW152" s="89"/>
      <c r="CX152" s="89"/>
      <c r="CY152" s="89"/>
      <c r="CZ152" s="89"/>
      <c r="DA152" s="89"/>
      <c r="DB152" s="89"/>
      <c r="DC152" s="89"/>
      <c r="DD152" s="89"/>
      <c r="DE152" s="89"/>
      <c r="DF152" s="89"/>
      <c r="DG152" s="89"/>
      <c r="DH152" s="89"/>
      <c r="DI152" s="89"/>
      <c r="DJ152" s="89"/>
      <c r="DK152" s="89"/>
      <c r="DL152" s="89"/>
      <c r="DM152" s="89"/>
      <c r="DN152" s="89"/>
      <c r="DO152" s="89"/>
      <c r="DP152" s="89"/>
      <c r="DQ152" s="89"/>
      <c r="DR152" s="89"/>
      <c r="DS152" s="89"/>
      <c r="DT152" s="89"/>
      <c r="DU152" s="89"/>
      <c r="DV152" s="89"/>
      <c r="DW152" s="89"/>
      <c r="DX152" s="89"/>
      <c r="DY152" s="89"/>
      <c r="DZ152" s="89"/>
      <c r="EA152" s="89"/>
      <c r="EB152" s="89"/>
      <c r="EC152" s="89"/>
      <c r="ED152" s="89"/>
      <c r="EE152" s="89"/>
      <c r="EF152" s="89"/>
      <c r="EG152" s="89"/>
      <c r="EH152" s="89"/>
      <c r="EI152" s="89"/>
      <c r="EJ152" s="89"/>
      <c r="EK152" s="89"/>
      <c r="EL152" s="89"/>
      <c r="EM152" s="89"/>
      <c r="EN152" s="89"/>
    </row>
    <row r="153" spans="1:144" s="87" customFormat="1" ht="11.25">
      <c r="A153" s="386">
        <v>6</v>
      </c>
      <c r="B153" s="87" t="s">
        <v>82</v>
      </c>
      <c r="C153" s="157" t="s">
        <v>5</v>
      </c>
      <c r="D153" s="177">
        <f t="shared" ref="D153:O153" si="33">D120+D88+D56+D23</f>
        <v>50974.792580264038</v>
      </c>
      <c r="E153" s="177">
        <f t="shared" si="33"/>
        <v>52222.172880669808</v>
      </c>
      <c r="F153" s="177">
        <f t="shared" si="33"/>
        <v>53550.272494812431</v>
      </c>
      <c r="G153" s="177">
        <f t="shared" si="33"/>
        <v>51772.608790637598</v>
      </c>
      <c r="H153" s="177">
        <f t="shared" si="33"/>
        <v>52124.94007685141</v>
      </c>
      <c r="I153" s="177">
        <f t="shared" si="33"/>
        <v>54379.880501331339</v>
      </c>
      <c r="J153" s="177">
        <f t="shared" si="33"/>
        <v>57764.022376829344</v>
      </c>
      <c r="K153" s="177">
        <f t="shared" si="33"/>
        <v>57797.249695744016</v>
      </c>
      <c r="L153" s="177">
        <f t="shared" si="33"/>
        <v>55321.878087655045</v>
      </c>
      <c r="M153" s="177">
        <f t="shared" si="33"/>
        <v>60681.135659304047</v>
      </c>
      <c r="N153" s="177">
        <f t="shared" si="33"/>
        <v>55798.208191130805</v>
      </c>
      <c r="O153" s="177">
        <f t="shared" si="33"/>
        <v>57117.681087474935</v>
      </c>
      <c r="P153" s="158">
        <f>SUM(D153:O153)</f>
        <v>659504.84242270479</v>
      </c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89"/>
      <c r="AO153" s="89"/>
      <c r="AP153" s="89"/>
      <c r="AQ153" s="89"/>
      <c r="AR153" s="89"/>
      <c r="AS153" s="89"/>
      <c r="AT153" s="89"/>
      <c r="AU153" s="89"/>
      <c r="AV153" s="89"/>
      <c r="AW153" s="89"/>
      <c r="AX153" s="89"/>
      <c r="AY153" s="89"/>
      <c r="AZ153" s="89"/>
      <c r="BA153" s="89"/>
      <c r="BB153" s="89"/>
      <c r="BC153" s="89"/>
      <c r="BD153" s="89"/>
      <c r="BE153" s="89"/>
      <c r="BF153" s="89"/>
      <c r="BG153" s="89"/>
      <c r="BH153" s="89"/>
      <c r="BI153" s="89"/>
      <c r="BJ153" s="89"/>
      <c r="BK153" s="89"/>
      <c r="BL153" s="89"/>
      <c r="BM153" s="89"/>
      <c r="BN153" s="89"/>
      <c r="BO153" s="89"/>
      <c r="BP153" s="89"/>
      <c r="BQ153" s="89"/>
      <c r="BR153" s="89"/>
      <c r="BS153" s="89"/>
      <c r="BT153" s="89"/>
      <c r="BU153" s="89"/>
      <c r="BV153" s="89"/>
      <c r="BW153" s="89"/>
      <c r="BX153" s="89"/>
      <c r="BY153" s="89"/>
      <c r="BZ153" s="89"/>
      <c r="CA153" s="89"/>
      <c r="CB153" s="89"/>
      <c r="CC153" s="89"/>
      <c r="CD153" s="89"/>
      <c r="CE153" s="89"/>
      <c r="CF153" s="89"/>
      <c r="CG153" s="89"/>
      <c r="CH153" s="89"/>
      <c r="CI153" s="89"/>
      <c r="CJ153" s="89"/>
      <c r="CK153" s="89"/>
      <c r="CL153" s="89"/>
      <c r="CM153" s="89"/>
      <c r="CN153" s="89"/>
      <c r="CO153" s="89"/>
      <c r="CP153" s="89"/>
      <c r="CQ153" s="89"/>
      <c r="CR153" s="89"/>
      <c r="CS153" s="89"/>
      <c r="CT153" s="89"/>
      <c r="CU153" s="89"/>
      <c r="CV153" s="89"/>
      <c r="CW153" s="89"/>
      <c r="CX153" s="89"/>
      <c r="CY153" s="89"/>
      <c r="CZ153" s="89"/>
      <c r="DA153" s="89"/>
      <c r="DB153" s="89"/>
      <c r="DC153" s="89"/>
      <c r="DD153" s="89"/>
      <c r="DE153" s="89"/>
      <c r="DF153" s="89"/>
      <c r="DG153" s="89"/>
      <c r="DH153" s="89"/>
      <c r="DI153" s="89"/>
      <c r="DJ153" s="89"/>
      <c r="DK153" s="89"/>
      <c r="DL153" s="89"/>
      <c r="DM153" s="89"/>
      <c r="DN153" s="89"/>
      <c r="DO153" s="89"/>
      <c r="DP153" s="89"/>
      <c r="DQ153" s="89"/>
      <c r="DR153" s="89"/>
      <c r="DS153" s="89"/>
      <c r="DT153" s="89"/>
      <c r="DU153" s="89"/>
      <c r="DV153" s="89"/>
      <c r="DW153" s="89"/>
      <c r="DX153" s="89"/>
      <c r="DY153" s="89"/>
      <c r="DZ153" s="89"/>
      <c r="EA153" s="89"/>
      <c r="EB153" s="89"/>
      <c r="EC153" s="89"/>
      <c r="ED153" s="89"/>
      <c r="EE153" s="89"/>
      <c r="EF153" s="89"/>
      <c r="EG153" s="89"/>
      <c r="EH153" s="89"/>
      <c r="EI153" s="89"/>
      <c r="EJ153" s="89"/>
      <c r="EK153" s="89"/>
      <c r="EL153" s="89"/>
      <c r="EM153" s="89"/>
      <c r="EN153" s="89"/>
    </row>
    <row r="154" spans="1:144" s="87" customFormat="1" ht="11.25">
      <c r="A154" s="386">
        <v>7</v>
      </c>
      <c r="B154" s="87" t="s">
        <v>83</v>
      </c>
      <c r="C154" s="157" t="s">
        <v>5</v>
      </c>
      <c r="D154" s="390">
        <f t="shared" ref="D154:O154" si="34">D121+D89+D57+D24</f>
        <v>437047.52128825703</v>
      </c>
      <c r="E154" s="390">
        <f t="shared" si="34"/>
        <v>431539.54126841034</v>
      </c>
      <c r="F154" s="390">
        <f t="shared" si="34"/>
        <v>415077.12716674811</v>
      </c>
      <c r="G154" s="390">
        <f t="shared" si="34"/>
        <v>453733.81145827461</v>
      </c>
      <c r="H154" s="390">
        <f t="shared" si="34"/>
        <v>437937.06630383659</v>
      </c>
      <c r="I154" s="390">
        <f t="shared" si="34"/>
        <v>433264.79557654983</v>
      </c>
      <c r="J154" s="390">
        <f t="shared" si="34"/>
        <v>439697.84059909568</v>
      </c>
      <c r="K154" s="390">
        <f t="shared" si="34"/>
        <v>457479.89635889517</v>
      </c>
      <c r="L154" s="390">
        <f t="shared" si="34"/>
        <v>445689.29521900578</v>
      </c>
      <c r="M154" s="390">
        <f t="shared" si="34"/>
        <v>433648.09980063007</v>
      </c>
      <c r="N154" s="390">
        <f t="shared" si="34"/>
        <v>422772.62296153087</v>
      </c>
      <c r="O154" s="390">
        <f t="shared" si="34"/>
        <v>426093.46828434762</v>
      </c>
      <c r="P154" s="158">
        <f>SUM(D154:O154)</f>
        <v>5233981.0862855818</v>
      </c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O154" s="89"/>
      <c r="AP154" s="89"/>
      <c r="AQ154" s="89"/>
      <c r="AR154" s="89"/>
      <c r="AS154" s="89"/>
      <c r="AT154" s="89"/>
      <c r="AU154" s="89"/>
      <c r="AV154" s="89"/>
      <c r="AW154" s="89"/>
      <c r="AX154" s="89"/>
      <c r="AY154" s="89"/>
      <c r="AZ154" s="89"/>
      <c r="BA154" s="89"/>
      <c r="BB154" s="89"/>
      <c r="BC154" s="89"/>
      <c r="BD154" s="89"/>
      <c r="BE154" s="89"/>
      <c r="BF154" s="89"/>
      <c r="BG154" s="89"/>
      <c r="BH154" s="89"/>
      <c r="BI154" s="89"/>
      <c r="BJ154" s="89"/>
      <c r="BK154" s="89"/>
      <c r="BL154" s="89"/>
      <c r="BM154" s="89"/>
      <c r="BN154" s="89"/>
      <c r="BO154" s="89"/>
      <c r="BP154" s="89"/>
      <c r="BQ154" s="89"/>
      <c r="BR154" s="89"/>
      <c r="BS154" s="89"/>
      <c r="BT154" s="89"/>
      <c r="BU154" s="89"/>
      <c r="BV154" s="89"/>
      <c r="BW154" s="89"/>
      <c r="BX154" s="89"/>
      <c r="BY154" s="89"/>
      <c r="BZ154" s="89"/>
      <c r="CA154" s="89"/>
      <c r="CB154" s="89"/>
      <c r="CC154" s="89"/>
      <c r="CD154" s="89"/>
      <c r="CE154" s="89"/>
      <c r="CF154" s="89"/>
      <c r="CG154" s="89"/>
      <c r="CH154" s="89"/>
      <c r="CI154" s="89"/>
      <c r="CJ154" s="89"/>
      <c r="CK154" s="89"/>
      <c r="CL154" s="89"/>
      <c r="CM154" s="89"/>
      <c r="CN154" s="89"/>
      <c r="CO154" s="89"/>
      <c r="CP154" s="89"/>
      <c r="CQ154" s="89"/>
      <c r="CR154" s="89"/>
      <c r="CS154" s="89"/>
      <c r="CT154" s="89"/>
      <c r="CU154" s="89"/>
      <c r="CV154" s="89"/>
      <c r="CW154" s="89"/>
      <c r="CX154" s="89"/>
      <c r="CY154" s="89"/>
      <c r="CZ154" s="89"/>
      <c r="DA154" s="89"/>
      <c r="DB154" s="89"/>
      <c r="DC154" s="89"/>
      <c r="DD154" s="89"/>
      <c r="DE154" s="89"/>
      <c r="DF154" s="89"/>
      <c r="DG154" s="89"/>
      <c r="DH154" s="89"/>
      <c r="DI154" s="89"/>
      <c r="DJ154" s="89"/>
      <c r="DK154" s="89"/>
      <c r="DL154" s="89"/>
      <c r="DM154" s="89"/>
      <c r="DN154" s="89"/>
      <c r="DO154" s="89"/>
      <c r="DP154" s="89"/>
      <c r="DQ154" s="89"/>
      <c r="DR154" s="89"/>
      <c r="DS154" s="89"/>
      <c r="DT154" s="89"/>
      <c r="DU154" s="89"/>
      <c r="DV154" s="89"/>
      <c r="DW154" s="89"/>
      <c r="DX154" s="89"/>
      <c r="DY154" s="89"/>
      <c r="DZ154" s="89"/>
      <c r="EA154" s="89"/>
      <c r="EB154" s="89"/>
      <c r="EC154" s="89"/>
      <c r="ED154" s="89"/>
      <c r="EE154" s="89"/>
      <c r="EF154" s="89"/>
      <c r="EG154" s="89"/>
      <c r="EH154" s="89"/>
      <c r="EI154" s="89"/>
      <c r="EJ154" s="89"/>
      <c r="EK154" s="89"/>
      <c r="EL154" s="89"/>
      <c r="EM154" s="89"/>
      <c r="EN154" s="89"/>
    </row>
    <row r="155" spans="1:144" s="87" customFormat="1" ht="11.25">
      <c r="A155" s="386">
        <v>8</v>
      </c>
      <c r="B155" s="87" t="s">
        <v>148</v>
      </c>
      <c r="C155" s="157" t="s">
        <v>5</v>
      </c>
      <c r="D155" s="390">
        <f t="shared" ref="D155:O155" si="35">D122+D90+D58+D25</f>
        <v>1391.8999999999999</v>
      </c>
      <c r="E155" s="390">
        <f t="shared" si="35"/>
        <v>1110.5999999999999</v>
      </c>
      <c r="F155" s="390">
        <f t="shared" si="35"/>
        <v>1034.8999999999999</v>
      </c>
      <c r="G155" s="390">
        <f t="shared" si="35"/>
        <v>1021.9999999999999</v>
      </c>
      <c r="H155" s="390">
        <f t="shared" si="35"/>
        <v>1033.0999999999999</v>
      </c>
      <c r="I155" s="390">
        <f t="shared" si="35"/>
        <v>1134.4000000000001</v>
      </c>
      <c r="J155" s="390">
        <f t="shared" si="35"/>
        <v>1201.9999999999998</v>
      </c>
      <c r="K155" s="390">
        <f t="shared" si="35"/>
        <v>1356.4</v>
      </c>
      <c r="L155" s="390">
        <f t="shared" si="35"/>
        <v>1314.1999999999998</v>
      </c>
      <c r="M155" s="390">
        <f t="shared" si="35"/>
        <v>1320.6</v>
      </c>
      <c r="N155" s="390">
        <f t="shared" si="35"/>
        <v>1305.3999999999999</v>
      </c>
      <c r="O155" s="390">
        <f t="shared" si="35"/>
        <v>1284.3</v>
      </c>
      <c r="P155" s="158">
        <f t="shared" ref="P155:P156" si="36">SUM(D155:O155)</f>
        <v>14509.8</v>
      </c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 s="89"/>
      <c r="BH155" s="89"/>
      <c r="BI155" s="89"/>
      <c r="BJ155" s="89"/>
      <c r="BK155" s="89"/>
      <c r="BL155" s="89"/>
      <c r="BM155" s="89"/>
      <c r="BN155" s="89"/>
      <c r="BO155" s="89"/>
      <c r="BP155" s="89"/>
      <c r="BQ155" s="89"/>
      <c r="BR155" s="89"/>
      <c r="BS155" s="89"/>
      <c r="BT155" s="89"/>
      <c r="BU155" s="89"/>
      <c r="BV155" s="89"/>
      <c r="BW155" s="89"/>
      <c r="BX155" s="89"/>
      <c r="BY155" s="89"/>
      <c r="BZ155" s="89"/>
      <c r="CA155" s="89"/>
      <c r="CB155" s="89"/>
      <c r="CC155" s="89"/>
      <c r="CD155" s="89"/>
      <c r="CE155" s="89"/>
      <c r="CF155" s="89"/>
      <c r="CG155" s="89"/>
      <c r="CH155" s="89"/>
      <c r="CI155" s="89"/>
      <c r="CJ155" s="89"/>
      <c r="CK155" s="89"/>
      <c r="CL155" s="89"/>
      <c r="CM155" s="89"/>
      <c r="CN155" s="89"/>
      <c r="CO155" s="89"/>
      <c r="CP155" s="89"/>
      <c r="CQ155" s="89"/>
      <c r="CR155" s="89"/>
      <c r="CS155" s="89"/>
      <c r="CT155" s="89"/>
      <c r="CU155" s="89"/>
      <c r="CV155" s="89"/>
      <c r="CW155" s="89"/>
      <c r="CX155" s="89"/>
      <c r="CY155" s="89"/>
      <c r="CZ155" s="89"/>
      <c r="DA155" s="89"/>
      <c r="DB155" s="89"/>
      <c r="DC155" s="89"/>
      <c r="DD155" s="89"/>
      <c r="DE155" s="89"/>
      <c r="DF155" s="89"/>
      <c r="DG155" s="89"/>
      <c r="DH155" s="89"/>
      <c r="DI155" s="89"/>
      <c r="DJ155" s="89"/>
      <c r="DK155" s="89"/>
      <c r="DL155" s="89"/>
      <c r="DM155" s="89"/>
      <c r="DN155" s="89"/>
      <c r="DO155" s="89"/>
      <c r="DP155" s="89"/>
      <c r="DQ155" s="89"/>
      <c r="DR155" s="89"/>
      <c r="DS155" s="89"/>
      <c r="DT155" s="89"/>
      <c r="DU155" s="89"/>
      <c r="DV155" s="89"/>
      <c r="DW155" s="89"/>
      <c r="DX155" s="89"/>
      <c r="DY155" s="89"/>
      <c r="DZ155" s="89"/>
      <c r="EA155" s="89"/>
      <c r="EB155" s="89"/>
      <c r="EC155" s="89"/>
      <c r="ED155" s="89"/>
      <c r="EE155" s="89"/>
      <c r="EF155" s="89"/>
      <c r="EG155" s="89"/>
      <c r="EH155" s="89"/>
      <c r="EI155" s="89"/>
      <c r="EJ155" s="89"/>
      <c r="EK155" s="89"/>
      <c r="EL155" s="89"/>
      <c r="EM155" s="89"/>
      <c r="EN155" s="89"/>
    </row>
    <row r="156" spans="1:144" s="87" customFormat="1" ht="11.25">
      <c r="A156" s="386">
        <v>9</v>
      </c>
      <c r="B156" s="87" t="s">
        <v>149</v>
      </c>
      <c r="C156" s="157" t="s">
        <v>5</v>
      </c>
      <c r="D156" s="390">
        <f t="shared" ref="D156:O156" si="37">D123+D91+D59+D26</f>
        <v>106232.09999999999</v>
      </c>
      <c r="E156" s="390">
        <f t="shared" si="37"/>
        <v>106137.1</v>
      </c>
      <c r="F156" s="390">
        <f t="shared" si="37"/>
        <v>105862.49999999999</v>
      </c>
      <c r="G156" s="390">
        <f t="shared" si="37"/>
        <v>111247.49999999997</v>
      </c>
      <c r="H156" s="390">
        <f t="shared" si="37"/>
        <v>112591.19999999997</v>
      </c>
      <c r="I156" s="390">
        <f t="shared" si="37"/>
        <v>110842.29999999997</v>
      </c>
      <c r="J156" s="390">
        <f t="shared" si="37"/>
        <v>110915.79999999997</v>
      </c>
      <c r="K156" s="390">
        <f t="shared" si="37"/>
        <v>108569.19999999998</v>
      </c>
      <c r="L156" s="390">
        <f t="shared" si="37"/>
        <v>106830.99999999999</v>
      </c>
      <c r="M156" s="390">
        <f t="shared" si="37"/>
        <v>105949.29999999997</v>
      </c>
      <c r="N156" s="390">
        <f t="shared" si="37"/>
        <v>105949.29999999997</v>
      </c>
      <c r="O156" s="390">
        <f t="shared" si="37"/>
        <v>105910.99999999999</v>
      </c>
      <c r="P156" s="158">
        <f t="shared" si="36"/>
        <v>1297038.2999999998</v>
      </c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89"/>
      <c r="AO156" s="89"/>
      <c r="AP156" s="89"/>
      <c r="AQ156" s="89"/>
      <c r="AR156" s="89"/>
      <c r="AS156" s="89"/>
      <c r="AT156" s="89"/>
      <c r="AU156" s="89"/>
      <c r="AV156" s="89"/>
      <c r="AW156" s="89"/>
      <c r="AX156" s="89"/>
      <c r="AY156" s="89"/>
      <c r="AZ156" s="89"/>
      <c r="BA156" s="89"/>
      <c r="BB156" s="89"/>
      <c r="BC156" s="89"/>
      <c r="BD156" s="89"/>
      <c r="BE156" s="89"/>
      <c r="BF156" s="89"/>
      <c r="BG156" s="89"/>
      <c r="BH156" s="89"/>
      <c r="BI156" s="89"/>
      <c r="BJ156" s="89"/>
      <c r="BK156" s="89"/>
      <c r="BL156" s="89"/>
      <c r="BM156" s="89"/>
      <c r="BN156" s="89"/>
      <c r="BO156" s="89"/>
      <c r="BP156" s="89"/>
      <c r="BQ156" s="89"/>
      <c r="BR156" s="89"/>
      <c r="BS156" s="89"/>
      <c r="BT156" s="89"/>
      <c r="BU156" s="89"/>
      <c r="BV156" s="89"/>
      <c r="BW156" s="89"/>
      <c r="BX156" s="89"/>
      <c r="BY156" s="89"/>
      <c r="BZ156" s="89"/>
      <c r="CA156" s="89"/>
      <c r="CB156" s="89"/>
      <c r="CC156" s="89"/>
      <c r="CD156" s="89"/>
      <c r="CE156" s="89"/>
      <c r="CF156" s="89"/>
      <c r="CG156" s="89"/>
      <c r="CH156" s="89"/>
      <c r="CI156" s="89"/>
      <c r="CJ156" s="89"/>
      <c r="CK156" s="89"/>
      <c r="CL156" s="89"/>
      <c r="CM156" s="89"/>
      <c r="CN156" s="89"/>
      <c r="CO156" s="89"/>
      <c r="CP156" s="89"/>
      <c r="CQ156" s="89"/>
      <c r="CR156" s="89"/>
      <c r="CS156" s="89"/>
      <c r="CT156" s="89"/>
      <c r="CU156" s="89"/>
      <c r="CV156" s="89"/>
      <c r="CW156" s="89"/>
      <c r="CX156" s="89"/>
      <c r="CY156" s="89"/>
      <c r="CZ156" s="89"/>
      <c r="DA156" s="89"/>
      <c r="DB156" s="89"/>
      <c r="DC156" s="89"/>
      <c r="DD156" s="89"/>
      <c r="DE156" s="89"/>
      <c r="DF156" s="89"/>
      <c r="DG156" s="89"/>
      <c r="DH156" s="89"/>
      <c r="DI156" s="89"/>
      <c r="DJ156" s="89"/>
      <c r="DK156" s="89"/>
      <c r="DL156" s="89"/>
      <c r="DM156" s="89"/>
      <c r="DN156" s="89"/>
      <c r="DO156" s="89"/>
      <c r="DP156" s="89"/>
      <c r="DQ156" s="89"/>
      <c r="DR156" s="89"/>
      <c r="DS156" s="89"/>
      <c r="DT156" s="89"/>
      <c r="DU156" s="89"/>
      <c r="DV156" s="89"/>
      <c r="DW156" s="89"/>
      <c r="DX156" s="89"/>
      <c r="DY156" s="89"/>
      <c r="DZ156" s="89"/>
      <c r="EA156" s="89"/>
      <c r="EB156" s="89"/>
      <c r="EC156" s="89"/>
      <c r="ED156" s="89"/>
      <c r="EE156" s="89"/>
      <c r="EF156" s="89"/>
      <c r="EG156" s="89"/>
      <c r="EH156" s="89"/>
      <c r="EI156" s="89"/>
      <c r="EJ156" s="89"/>
      <c r="EK156" s="89"/>
      <c r="EL156" s="89"/>
      <c r="EM156" s="89"/>
      <c r="EN156" s="89"/>
    </row>
    <row r="157" spans="1:144" s="87" customFormat="1" ht="11.25">
      <c r="A157" s="386">
        <v>10</v>
      </c>
      <c r="B157" s="87" t="s">
        <v>19</v>
      </c>
      <c r="C157" s="157"/>
      <c r="D157" s="391">
        <f>SUM(D153:D156)</f>
        <v>595646.31386852113</v>
      </c>
      <c r="E157" s="391">
        <f t="shared" ref="E157:P157" si="38">SUM(E153:E156)</f>
        <v>591009.41414908017</v>
      </c>
      <c r="F157" s="391">
        <f t="shared" si="38"/>
        <v>575524.79966156057</v>
      </c>
      <c r="G157" s="391">
        <f t="shared" si="38"/>
        <v>617775.92024891218</v>
      </c>
      <c r="H157" s="391">
        <f t="shared" si="38"/>
        <v>603686.30638068798</v>
      </c>
      <c r="I157" s="391">
        <f t="shared" si="38"/>
        <v>599621.3760778812</v>
      </c>
      <c r="J157" s="391">
        <f t="shared" si="38"/>
        <v>609579.66297592502</v>
      </c>
      <c r="K157" s="391">
        <f t="shared" si="38"/>
        <v>625202.74605463922</v>
      </c>
      <c r="L157" s="391">
        <f t="shared" si="38"/>
        <v>609156.3733066608</v>
      </c>
      <c r="M157" s="391">
        <f t="shared" si="38"/>
        <v>601599.13545993401</v>
      </c>
      <c r="N157" s="391">
        <f t="shared" si="38"/>
        <v>585825.53115266166</v>
      </c>
      <c r="O157" s="391">
        <f t="shared" si="38"/>
        <v>590406.44937182253</v>
      </c>
      <c r="P157" s="391">
        <f t="shared" si="38"/>
        <v>7205034.0287082866</v>
      </c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  <c r="AN157" s="89"/>
      <c r="AO157" s="89"/>
      <c r="AP157" s="89"/>
      <c r="AQ157" s="89"/>
      <c r="AR157" s="89"/>
      <c r="AS157" s="89"/>
      <c r="AT157" s="89"/>
      <c r="AU157" s="89"/>
      <c r="AV157" s="89"/>
      <c r="AW157" s="89"/>
      <c r="AX157" s="89"/>
      <c r="AY157" s="89"/>
      <c r="AZ157" s="89"/>
      <c r="BA157" s="89"/>
      <c r="BB157" s="89"/>
      <c r="BC157" s="89"/>
      <c r="BD157" s="89"/>
      <c r="BE157" s="89"/>
      <c r="BF157" s="89"/>
      <c r="BG157" s="89"/>
      <c r="BH157" s="89"/>
      <c r="BI157" s="89"/>
      <c r="BJ157" s="89"/>
      <c r="BK157" s="89"/>
      <c r="BL157" s="89"/>
      <c r="BM157" s="89"/>
      <c r="BN157" s="89"/>
      <c r="BO157" s="89"/>
      <c r="BP157" s="89"/>
      <c r="BQ157" s="89"/>
      <c r="BR157" s="89"/>
      <c r="BS157" s="89"/>
      <c r="BT157" s="89"/>
      <c r="BU157" s="89"/>
      <c r="BV157" s="89"/>
      <c r="BW157" s="89"/>
      <c r="BX157" s="89"/>
      <c r="BY157" s="89"/>
      <c r="BZ157" s="89"/>
      <c r="CA157" s="89"/>
      <c r="CB157" s="89"/>
      <c r="CC157" s="89"/>
      <c r="CD157" s="89"/>
      <c r="CE157" s="89"/>
      <c r="CF157" s="89"/>
      <c r="CG157" s="89"/>
      <c r="CH157" s="89"/>
      <c r="CI157" s="89"/>
      <c r="CJ157" s="89"/>
      <c r="CK157" s="89"/>
      <c r="CL157" s="89"/>
      <c r="CM157" s="89"/>
      <c r="CN157" s="89"/>
      <c r="CO157" s="89"/>
      <c r="CP157" s="89"/>
      <c r="CQ157" s="89"/>
      <c r="CR157" s="89"/>
      <c r="CS157" s="89"/>
      <c r="CT157" s="89"/>
      <c r="CU157" s="89"/>
      <c r="CV157" s="89"/>
      <c r="CW157" s="89"/>
      <c r="CX157" s="89"/>
      <c r="CY157" s="89"/>
      <c r="CZ157" s="89"/>
      <c r="DA157" s="89"/>
      <c r="DB157" s="89"/>
      <c r="DC157" s="89"/>
      <c r="DD157" s="89"/>
      <c r="DE157" s="89"/>
      <c r="DF157" s="89"/>
      <c r="DG157" s="89"/>
      <c r="DH157" s="89"/>
      <c r="DI157" s="89"/>
      <c r="DJ157" s="89"/>
      <c r="DK157" s="89"/>
      <c r="DL157" s="89"/>
      <c r="DM157" s="89"/>
      <c r="DN157" s="89"/>
      <c r="DO157" s="89"/>
      <c r="DP157" s="89"/>
      <c r="DQ157" s="89"/>
      <c r="DR157" s="89"/>
      <c r="DS157" s="89"/>
      <c r="DT157" s="89"/>
      <c r="DU157" s="89"/>
      <c r="DV157" s="89"/>
      <c r="DW157" s="89"/>
      <c r="DX157" s="89"/>
      <c r="DY157" s="89"/>
      <c r="DZ157" s="89"/>
      <c r="EA157" s="89"/>
      <c r="EB157" s="89"/>
      <c r="EC157" s="89"/>
      <c r="ED157" s="89"/>
      <c r="EE157" s="89"/>
      <c r="EF157" s="89"/>
      <c r="EG157" s="89"/>
      <c r="EH157" s="89"/>
      <c r="EI157" s="89"/>
      <c r="EJ157" s="89"/>
      <c r="EK157" s="89"/>
      <c r="EL157" s="89"/>
      <c r="EM157" s="89"/>
      <c r="EN157" s="89"/>
    </row>
    <row r="158" spans="1:144" s="87" customFormat="1" ht="11.25">
      <c r="A158" s="386"/>
      <c r="C158" s="157"/>
      <c r="D158" s="177"/>
      <c r="E158" s="177"/>
      <c r="F158" s="177"/>
      <c r="G158" s="177"/>
      <c r="H158" s="177"/>
      <c r="I158" s="177"/>
      <c r="J158" s="177"/>
      <c r="K158" s="177"/>
      <c r="L158" s="177"/>
      <c r="M158" s="177"/>
      <c r="N158" s="177"/>
      <c r="O158" s="177"/>
      <c r="P158" s="158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89"/>
      <c r="AO158" s="89"/>
      <c r="AP158" s="89"/>
      <c r="AQ158" s="89"/>
      <c r="AR158" s="89"/>
      <c r="AS158" s="89"/>
      <c r="AT158" s="89"/>
      <c r="AU158" s="89"/>
      <c r="AV158" s="89"/>
      <c r="AW158" s="89"/>
      <c r="AX158" s="89"/>
      <c r="AY158" s="89"/>
      <c r="AZ158" s="89"/>
      <c r="BA158" s="89"/>
      <c r="BB158" s="89"/>
      <c r="BC158" s="89"/>
      <c r="BD158" s="89"/>
      <c r="BE158" s="89"/>
      <c r="BF158" s="89"/>
      <c r="BG158" s="89"/>
      <c r="BH158" s="89"/>
      <c r="BI158" s="89"/>
      <c r="BJ158" s="89"/>
      <c r="BK158" s="89"/>
      <c r="BL158" s="89"/>
      <c r="BM158" s="89"/>
      <c r="BN158" s="89"/>
      <c r="BO158" s="89"/>
      <c r="BP158" s="89"/>
      <c r="BQ158" s="89"/>
      <c r="BR158" s="89"/>
      <c r="BS158" s="89"/>
      <c r="BT158" s="89"/>
      <c r="BU158" s="89"/>
      <c r="BV158" s="89"/>
      <c r="BW158" s="89"/>
      <c r="BX158" s="89"/>
      <c r="BY158" s="89"/>
      <c r="BZ158" s="89"/>
      <c r="CA158" s="89"/>
      <c r="CB158" s="89"/>
      <c r="CC158" s="89"/>
      <c r="CD158" s="89"/>
      <c r="CE158" s="89"/>
      <c r="CF158" s="89"/>
      <c r="CG158" s="89"/>
      <c r="CH158" s="89"/>
      <c r="CI158" s="89"/>
      <c r="CJ158" s="89"/>
      <c r="CK158" s="89"/>
      <c r="CL158" s="89"/>
      <c r="CM158" s="89"/>
      <c r="CN158" s="89"/>
      <c r="CO158" s="89"/>
      <c r="CP158" s="89"/>
      <c r="CQ158" s="89"/>
      <c r="CR158" s="89"/>
      <c r="CS158" s="89"/>
      <c r="CT158" s="89"/>
      <c r="CU158" s="89"/>
      <c r="CV158" s="89"/>
      <c r="CW158" s="89"/>
      <c r="CX158" s="89"/>
      <c r="CY158" s="89"/>
      <c r="CZ158" s="89"/>
      <c r="DA158" s="89"/>
      <c r="DB158" s="89"/>
      <c r="DC158" s="89"/>
      <c r="DD158" s="89"/>
      <c r="DE158" s="89"/>
      <c r="DF158" s="89"/>
      <c r="DG158" s="89"/>
      <c r="DH158" s="89"/>
      <c r="DI158" s="89"/>
      <c r="DJ158" s="89"/>
      <c r="DK158" s="89"/>
      <c r="DL158" s="89"/>
      <c r="DM158" s="89"/>
      <c r="DN158" s="89"/>
      <c r="DO158" s="89"/>
      <c r="DP158" s="89"/>
      <c r="DQ158" s="89"/>
      <c r="DR158" s="89"/>
      <c r="DS158" s="89"/>
      <c r="DT158" s="89"/>
      <c r="DU158" s="89"/>
      <c r="DV158" s="89"/>
      <c r="DW158" s="89"/>
      <c r="DX158" s="89"/>
      <c r="DY158" s="89"/>
      <c r="DZ158" s="89"/>
      <c r="EA158" s="89"/>
      <c r="EB158" s="89"/>
      <c r="EC158" s="89"/>
      <c r="ED158" s="89"/>
      <c r="EE158" s="89"/>
      <c r="EF158" s="89"/>
      <c r="EG158" s="89"/>
      <c r="EH158" s="89"/>
      <c r="EI158" s="89"/>
      <c r="EJ158" s="89"/>
      <c r="EK158" s="89"/>
      <c r="EL158" s="89"/>
      <c r="EM158" s="89"/>
      <c r="EN158" s="89"/>
    </row>
    <row r="159" spans="1:144" s="87" customFormat="1" ht="11.25">
      <c r="A159" s="386">
        <v>11</v>
      </c>
      <c r="B159" s="131" t="s">
        <v>86</v>
      </c>
      <c r="C159" s="157" t="s">
        <v>6</v>
      </c>
      <c r="D159" s="177">
        <f t="shared" ref="D159:O159" si="39">D126+D94+D62+D29</f>
        <v>677553.84071489831</v>
      </c>
      <c r="E159" s="177">
        <f t="shared" si="39"/>
        <v>686530.02695595426</v>
      </c>
      <c r="F159" s="177">
        <f t="shared" si="39"/>
        <v>900189.92191441916</v>
      </c>
      <c r="G159" s="177">
        <f t="shared" si="39"/>
        <v>791615.13624766818</v>
      </c>
      <c r="H159" s="177">
        <f t="shared" si="39"/>
        <v>834670.49888535193</v>
      </c>
      <c r="I159" s="177">
        <f t="shared" si="39"/>
        <v>1016019.6995144837</v>
      </c>
      <c r="J159" s="177">
        <f t="shared" si="39"/>
        <v>921819.62573949713</v>
      </c>
      <c r="K159" s="177">
        <f t="shared" si="39"/>
        <v>993274.61735965032</v>
      </c>
      <c r="L159" s="177">
        <f t="shared" si="39"/>
        <v>890475.49205001676</v>
      </c>
      <c r="M159" s="177">
        <f t="shared" si="39"/>
        <v>1008637.8520076157</v>
      </c>
      <c r="N159" s="177">
        <f t="shared" si="39"/>
        <v>819214.05148983828</v>
      </c>
      <c r="O159" s="177">
        <f t="shared" si="39"/>
        <v>758848.09977653786</v>
      </c>
      <c r="P159" s="158">
        <f>SUM(D159:O159)</f>
        <v>10298848.862655932</v>
      </c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89"/>
      <c r="AO159" s="89"/>
      <c r="AP159" s="89"/>
      <c r="AQ159" s="89"/>
      <c r="AR159" s="89"/>
      <c r="AS159" s="89"/>
      <c r="AT159" s="89"/>
      <c r="AU159" s="89"/>
      <c r="AV159" s="89"/>
      <c r="AW159" s="89"/>
      <c r="AX159" s="89"/>
      <c r="AY159" s="89"/>
      <c r="AZ159" s="89"/>
      <c r="BA159" s="89"/>
      <c r="BB159" s="89"/>
      <c r="BC159" s="89"/>
      <c r="BD159" s="89"/>
      <c r="BE159" s="89"/>
      <c r="BF159" s="89"/>
      <c r="BG159" s="89"/>
      <c r="BH159" s="89"/>
      <c r="BI159" s="89"/>
      <c r="BJ159" s="89"/>
      <c r="BK159" s="89"/>
      <c r="BL159" s="89"/>
      <c r="BM159" s="89"/>
      <c r="BN159" s="89"/>
      <c r="BO159" s="89"/>
      <c r="BP159" s="89"/>
      <c r="BQ159" s="89"/>
      <c r="BR159" s="89"/>
      <c r="BS159" s="89"/>
      <c r="BT159" s="89"/>
      <c r="BU159" s="89"/>
      <c r="BV159" s="89"/>
      <c r="BW159" s="89"/>
      <c r="BX159" s="89"/>
      <c r="BY159" s="89"/>
      <c r="BZ159" s="89"/>
      <c r="CA159" s="89"/>
      <c r="CB159" s="89"/>
      <c r="CC159" s="89"/>
      <c r="CD159" s="89"/>
      <c r="CE159" s="89"/>
      <c r="CF159" s="89"/>
      <c r="CG159" s="89"/>
      <c r="CH159" s="89"/>
      <c r="CI159" s="89"/>
      <c r="CJ159" s="89"/>
      <c r="CK159" s="89"/>
      <c r="CL159" s="89"/>
      <c r="CM159" s="89"/>
      <c r="CN159" s="89"/>
      <c r="CO159" s="89"/>
      <c r="CP159" s="89"/>
      <c r="CQ159" s="89"/>
      <c r="CR159" s="89"/>
      <c r="CS159" s="89"/>
      <c r="CT159" s="89"/>
      <c r="CU159" s="89"/>
      <c r="CV159" s="89"/>
      <c r="CW159" s="89"/>
      <c r="CX159" s="89"/>
      <c r="CY159" s="89"/>
      <c r="CZ159" s="89"/>
      <c r="DA159" s="89"/>
      <c r="DB159" s="89"/>
      <c r="DC159" s="89"/>
      <c r="DD159" s="89"/>
      <c r="DE159" s="89"/>
      <c r="DF159" s="89"/>
      <c r="DG159" s="89"/>
      <c r="DH159" s="89"/>
      <c r="DI159" s="89"/>
      <c r="DJ159" s="89"/>
      <c r="DK159" s="89"/>
      <c r="DL159" s="89"/>
      <c r="DM159" s="89"/>
      <c r="DN159" s="89"/>
      <c r="DO159" s="89"/>
      <c r="DP159" s="89"/>
      <c r="DQ159" s="89"/>
      <c r="DR159" s="89"/>
      <c r="DS159" s="89"/>
      <c r="DT159" s="89"/>
      <c r="DU159" s="89"/>
      <c r="DV159" s="89"/>
      <c r="DW159" s="89"/>
      <c r="DX159" s="89"/>
      <c r="DY159" s="89"/>
      <c r="DZ159" s="89"/>
      <c r="EA159" s="89"/>
      <c r="EB159" s="89"/>
      <c r="EC159" s="89"/>
      <c r="ED159" s="89"/>
      <c r="EE159" s="89"/>
      <c r="EF159" s="89"/>
      <c r="EG159" s="89"/>
      <c r="EH159" s="89"/>
      <c r="EI159" s="89"/>
      <c r="EJ159" s="89"/>
      <c r="EK159" s="89"/>
      <c r="EL159" s="89"/>
      <c r="EM159" s="89"/>
      <c r="EN159" s="89"/>
    </row>
    <row r="160" spans="1:144" s="87" customFormat="1" ht="11.25">
      <c r="A160" s="4"/>
      <c r="C160" s="99"/>
      <c r="D160" s="177"/>
      <c r="E160" s="177"/>
      <c r="F160" s="177"/>
      <c r="G160" s="177"/>
      <c r="H160" s="177"/>
      <c r="I160" s="177"/>
      <c r="J160" s="177"/>
      <c r="K160" s="177"/>
      <c r="L160" s="177"/>
      <c r="M160" s="177"/>
      <c r="N160" s="177"/>
      <c r="O160" s="177"/>
      <c r="P160" s="158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89"/>
      <c r="AO160" s="89"/>
      <c r="AP160" s="89"/>
      <c r="AQ160" s="89"/>
      <c r="AR160" s="89"/>
      <c r="AS160" s="89"/>
      <c r="AT160" s="89"/>
      <c r="AU160" s="89"/>
      <c r="AV160" s="89"/>
      <c r="AW160" s="89"/>
      <c r="AX160" s="89"/>
      <c r="AY160" s="89"/>
      <c r="AZ160" s="89"/>
      <c r="BA160" s="89"/>
      <c r="BB160" s="89"/>
      <c r="BC160" s="89"/>
      <c r="BD160" s="89"/>
      <c r="BE160" s="89"/>
      <c r="BF160" s="89"/>
      <c r="BG160" s="89"/>
      <c r="BH160" s="89"/>
      <c r="BI160" s="89"/>
      <c r="BJ160" s="89"/>
      <c r="BK160" s="89"/>
      <c r="BL160" s="89"/>
      <c r="BM160" s="89"/>
      <c r="BN160" s="89"/>
      <c r="BO160" s="89"/>
      <c r="BP160" s="89"/>
      <c r="BQ160" s="89"/>
      <c r="BR160" s="89"/>
      <c r="BS160" s="89"/>
      <c r="BT160" s="89"/>
      <c r="BU160" s="89"/>
      <c r="BV160" s="89"/>
      <c r="BW160" s="89"/>
      <c r="BX160" s="89"/>
      <c r="BY160" s="89"/>
      <c r="BZ160" s="89"/>
      <c r="CA160" s="89"/>
      <c r="CB160" s="89"/>
      <c r="CC160" s="89"/>
      <c r="CD160" s="89"/>
      <c r="CE160" s="89"/>
      <c r="CF160" s="89"/>
      <c r="CG160" s="89"/>
      <c r="CH160" s="89"/>
      <c r="CI160" s="89"/>
      <c r="CJ160" s="89"/>
      <c r="CK160" s="89"/>
      <c r="CL160" s="89"/>
      <c r="CM160" s="89"/>
      <c r="CN160" s="89"/>
      <c r="CO160" s="89"/>
      <c r="CP160" s="89"/>
      <c r="CQ160" s="89"/>
      <c r="CR160" s="89"/>
      <c r="CS160" s="89"/>
      <c r="CT160" s="89"/>
      <c r="CU160" s="89"/>
      <c r="CV160" s="89"/>
      <c r="CW160" s="89"/>
      <c r="CX160" s="89"/>
      <c r="CY160" s="89"/>
      <c r="CZ160" s="89"/>
      <c r="DA160" s="89"/>
      <c r="DB160" s="89"/>
      <c r="DC160" s="89"/>
      <c r="DD160" s="89"/>
      <c r="DE160" s="89"/>
      <c r="DF160" s="89"/>
      <c r="DG160" s="89"/>
      <c r="DH160" s="89"/>
      <c r="DI160" s="89"/>
      <c r="DJ160" s="89"/>
      <c r="DK160" s="89"/>
      <c r="DL160" s="89"/>
      <c r="DM160" s="89"/>
      <c r="DN160" s="89"/>
      <c r="DO160" s="89"/>
      <c r="DP160" s="89"/>
      <c r="DQ160" s="89"/>
      <c r="DR160" s="89"/>
      <c r="DS160" s="89"/>
      <c r="DT160" s="89"/>
      <c r="DU160" s="89"/>
      <c r="DV160" s="89"/>
      <c r="DW160" s="89"/>
      <c r="DX160" s="89"/>
      <c r="DY160" s="89"/>
      <c r="DZ160" s="89"/>
      <c r="EA160" s="89"/>
      <c r="EB160" s="89"/>
      <c r="EC160" s="89"/>
      <c r="ED160" s="89"/>
      <c r="EE160" s="89"/>
      <c r="EF160" s="89"/>
      <c r="EG160" s="89"/>
      <c r="EH160" s="89"/>
      <c r="EI160" s="89"/>
      <c r="EJ160" s="89"/>
      <c r="EK160" s="89"/>
      <c r="EL160" s="89"/>
      <c r="EM160" s="89"/>
      <c r="EN160" s="89"/>
    </row>
    <row r="161" spans="1:144" s="87" customFormat="1" ht="11.25">
      <c r="A161" s="386">
        <v>12</v>
      </c>
      <c r="B161" s="89" t="s">
        <v>21</v>
      </c>
      <c r="C161" s="157" t="s">
        <v>4</v>
      </c>
      <c r="D161" s="177">
        <f t="shared" ref="D161:O161" si="40">D128+D96+D64+D31</f>
        <v>0</v>
      </c>
      <c r="E161" s="177">
        <f t="shared" si="40"/>
        <v>0</v>
      </c>
      <c r="F161" s="177">
        <f t="shared" si="40"/>
        <v>0</v>
      </c>
      <c r="G161" s="177">
        <f t="shared" si="40"/>
        <v>0</v>
      </c>
      <c r="H161" s="177">
        <f t="shared" si="40"/>
        <v>0</v>
      </c>
      <c r="I161" s="177">
        <f t="shared" si="40"/>
        <v>0</v>
      </c>
      <c r="J161" s="177">
        <f t="shared" si="40"/>
        <v>0</v>
      </c>
      <c r="K161" s="177">
        <f t="shared" si="40"/>
        <v>0</v>
      </c>
      <c r="L161" s="177">
        <f t="shared" si="40"/>
        <v>0</v>
      </c>
      <c r="M161" s="177">
        <f t="shared" si="40"/>
        <v>0</v>
      </c>
      <c r="N161" s="177">
        <f t="shared" si="40"/>
        <v>0</v>
      </c>
      <c r="O161" s="177">
        <f t="shared" si="40"/>
        <v>0</v>
      </c>
      <c r="P161" s="158">
        <f>SUM(D161:O161)</f>
        <v>0</v>
      </c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89"/>
      <c r="AR161" s="89"/>
      <c r="AS161" s="89"/>
      <c r="AT161" s="89"/>
      <c r="AU161" s="89"/>
      <c r="AV161" s="89"/>
      <c r="AW161" s="89"/>
      <c r="AX161" s="89"/>
      <c r="AY161" s="89"/>
      <c r="AZ161" s="89"/>
      <c r="BA161" s="89"/>
      <c r="BB161" s="89"/>
      <c r="BC161" s="89"/>
      <c r="BD161" s="89"/>
      <c r="BE161" s="89"/>
      <c r="BF161" s="89"/>
      <c r="BG161" s="89"/>
      <c r="BH161" s="89"/>
      <c r="BI161" s="89"/>
      <c r="BJ161" s="89"/>
      <c r="BK161" s="89"/>
      <c r="BL161" s="89"/>
      <c r="BM161" s="89"/>
      <c r="BN161" s="89"/>
      <c r="BO161" s="89"/>
      <c r="BP161" s="89"/>
      <c r="BQ161" s="89"/>
      <c r="BR161" s="89"/>
      <c r="BS161" s="89"/>
      <c r="BT161" s="89"/>
      <c r="BU161" s="89"/>
      <c r="BV161" s="89"/>
      <c r="BW161" s="89"/>
      <c r="BX161" s="89"/>
      <c r="BY161" s="89"/>
      <c r="BZ161" s="89"/>
      <c r="CA161" s="89"/>
      <c r="CB161" s="89"/>
      <c r="CC161" s="89"/>
      <c r="CD161" s="89"/>
      <c r="CE161" s="89"/>
      <c r="CF161" s="89"/>
      <c r="CG161" s="89"/>
      <c r="CH161" s="89"/>
      <c r="CI161" s="89"/>
      <c r="CJ161" s="89"/>
      <c r="CK161" s="89"/>
      <c r="CL161" s="89"/>
      <c r="CM161" s="89"/>
      <c r="CN161" s="89"/>
      <c r="CO161" s="89"/>
      <c r="CP161" s="89"/>
      <c r="CQ161" s="89"/>
      <c r="CR161" s="89"/>
      <c r="CS161" s="89"/>
      <c r="CT161" s="89"/>
      <c r="CU161" s="89"/>
      <c r="CV161" s="89"/>
      <c r="CW161" s="89"/>
      <c r="CX161" s="89"/>
      <c r="CY161" s="89"/>
      <c r="CZ161" s="89"/>
      <c r="DA161" s="89"/>
      <c r="DB161" s="89"/>
      <c r="DC161" s="89"/>
      <c r="DD161" s="89"/>
      <c r="DE161" s="89"/>
      <c r="DF161" s="89"/>
      <c r="DG161" s="89"/>
      <c r="DH161" s="89"/>
      <c r="DI161" s="89"/>
      <c r="DJ161" s="89"/>
      <c r="DK161" s="89"/>
      <c r="DL161" s="89"/>
      <c r="DM161" s="89"/>
      <c r="DN161" s="89"/>
      <c r="DO161" s="89"/>
      <c r="DP161" s="89"/>
      <c r="DQ161" s="89"/>
      <c r="DR161" s="89"/>
      <c r="DS161" s="89"/>
      <c r="DT161" s="89"/>
      <c r="DU161" s="89"/>
      <c r="DV161" s="89"/>
      <c r="DW161" s="89"/>
      <c r="DX161" s="89"/>
      <c r="DY161" s="89"/>
      <c r="DZ161" s="89"/>
      <c r="EA161" s="89"/>
      <c r="EB161" s="89"/>
      <c r="EC161" s="89"/>
      <c r="ED161" s="89"/>
      <c r="EE161" s="89"/>
      <c r="EF161" s="89"/>
      <c r="EG161" s="89"/>
      <c r="EH161" s="89"/>
      <c r="EI161" s="89"/>
      <c r="EJ161" s="89"/>
      <c r="EK161" s="89"/>
      <c r="EL161" s="89"/>
      <c r="EM161" s="89"/>
      <c r="EN161" s="89"/>
    </row>
    <row r="162" spans="1:144" s="87" customFormat="1" ht="11.25">
      <c r="A162" s="386"/>
      <c r="C162" s="99"/>
      <c r="D162" s="177"/>
      <c r="E162" s="177"/>
      <c r="F162" s="177"/>
      <c r="G162" s="177"/>
      <c r="H162" s="177"/>
      <c r="I162" s="177"/>
      <c r="J162" s="177"/>
      <c r="K162" s="177"/>
      <c r="L162" s="177"/>
      <c r="M162" s="177"/>
      <c r="N162" s="177"/>
      <c r="O162" s="177"/>
      <c r="P162" s="158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  <c r="AN162" s="89"/>
      <c r="AO162" s="89"/>
      <c r="AP162" s="89"/>
      <c r="AQ162" s="89"/>
      <c r="AR162" s="89"/>
      <c r="AS162" s="89"/>
      <c r="AT162" s="89"/>
      <c r="AU162" s="89"/>
      <c r="AV162" s="89"/>
      <c r="AW162" s="89"/>
      <c r="AX162" s="89"/>
      <c r="AY162" s="89"/>
      <c r="AZ162" s="89"/>
      <c r="BA162" s="89"/>
      <c r="BB162" s="89"/>
      <c r="BC162" s="89"/>
      <c r="BD162" s="89"/>
      <c r="BE162" s="89"/>
      <c r="BF162" s="89"/>
      <c r="BG162" s="89"/>
      <c r="BH162" s="89"/>
      <c r="BI162" s="89"/>
      <c r="BJ162" s="89"/>
      <c r="BK162" s="89"/>
      <c r="BL162" s="89"/>
      <c r="BM162" s="89"/>
      <c r="BN162" s="89"/>
      <c r="BO162" s="89"/>
      <c r="BP162" s="89"/>
      <c r="BQ162" s="89"/>
      <c r="BR162" s="89"/>
      <c r="BS162" s="89"/>
      <c r="BT162" s="89"/>
      <c r="BU162" s="89"/>
      <c r="BV162" s="89"/>
      <c r="BW162" s="89"/>
      <c r="BX162" s="89"/>
      <c r="BY162" s="89"/>
      <c r="BZ162" s="89"/>
      <c r="CA162" s="89"/>
      <c r="CB162" s="89"/>
      <c r="CC162" s="89"/>
      <c r="CD162" s="89"/>
      <c r="CE162" s="89"/>
      <c r="CF162" s="89"/>
      <c r="CG162" s="89"/>
      <c r="CH162" s="89"/>
      <c r="CI162" s="89"/>
      <c r="CJ162" s="89"/>
      <c r="CK162" s="89"/>
      <c r="CL162" s="89"/>
      <c r="CM162" s="89"/>
      <c r="CN162" s="89"/>
      <c r="CO162" s="89"/>
      <c r="CP162" s="89"/>
      <c r="CQ162" s="89"/>
      <c r="CR162" s="89"/>
      <c r="CS162" s="89"/>
      <c r="CT162" s="89"/>
      <c r="CU162" s="89"/>
      <c r="CV162" s="89"/>
      <c r="CW162" s="89"/>
      <c r="CX162" s="89"/>
      <c r="CY162" s="89"/>
      <c r="CZ162" s="89"/>
      <c r="DA162" s="89"/>
      <c r="DB162" s="89"/>
      <c r="DC162" s="89"/>
      <c r="DD162" s="89"/>
      <c r="DE162" s="89"/>
      <c r="DF162" s="89"/>
      <c r="DG162" s="89"/>
      <c r="DH162" s="89"/>
      <c r="DI162" s="89"/>
      <c r="DJ162" s="89"/>
      <c r="DK162" s="89"/>
      <c r="DL162" s="89"/>
      <c r="DM162" s="89"/>
      <c r="DN162" s="89"/>
      <c r="DO162" s="89"/>
      <c r="DP162" s="89"/>
      <c r="DQ162" s="89"/>
      <c r="DR162" s="89"/>
      <c r="DS162" s="89"/>
      <c r="DT162" s="89"/>
      <c r="DU162" s="89"/>
      <c r="DV162" s="89"/>
      <c r="DW162" s="89"/>
      <c r="DX162" s="89"/>
      <c r="DY162" s="89"/>
      <c r="DZ162" s="89"/>
      <c r="EA162" s="89"/>
      <c r="EB162" s="89"/>
      <c r="EC162" s="89"/>
      <c r="ED162" s="89"/>
      <c r="EE162" s="89"/>
      <c r="EF162" s="89"/>
      <c r="EG162" s="89"/>
      <c r="EH162" s="89"/>
      <c r="EI162" s="89"/>
      <c r="EJ162" s="89"/>
      <c r="EK162" s="89"/>
      <c r="EL162" s="89"/>
      <c r="EM162" s="89"/>
      <c r="EN162" s="89"/>
    </row>
    <row r="163" spans="1:144" s="87" customFormat="1" ht="11.25">
      <c r="A163" s="386">
        <v>13</v>
      </c>
      <c r="B163" s="393" t="s">
        <v>22</v>
      </c>
      <c r="C163" s="362"/>
      <c r="D163" s="394">
        <f t="shared" ref="D163:P163" si="41">D161+D159+D157+D151+D147+D145</f>
        <v>3819374.8264338318</v>
      </c>
      <c r="E163" s="394">
        <f t="shared" si="41"/>
        <v>3792365.1111912401</v>
      </c>
      <c r="F163" s="394">
        <f t="shared" si="41"/>
        <v>4021388.4829791789</v>
      </c>
      <c r="G163" s="394">
        <f t="shared" si="41"/>
        <v>3953963.3283382012</v>
      </c>
      <c r="H163" s="394">
        <f t="shared" si="41"/>
        <v>3982458.1092975233</v>
      </c>
      <c r="I163" s="394">
        <f t="shared" si="41"/>
        <v>4027375.3818041366</v>
      </c>
      <c r="J163" s="394">
        <f t="shared" si="41"/>
        <v>3955095.259602997</v>
      </c>
      <c r="K163" s="394">
        <f t="shared" si="41"/>
        <v>4092067.8852255773</v>
      </c>
      <c r="L163" s="394">
        <f t="shared" si="41"/>
        <v>4061415.6899072304</v>
      </c>
      <c r="M163" s="394">
        <f t="shared" si="41"/>
        <v>4144001.465706971</v>
      </c>
      <c r="N163" s="394">
        <f t="shared" si="41"/>
        <v>3971969.2905539279</v>
      </c>
      <c r="O163" s="394">
        <f t="shared" si="41"/>
        <v>3933288.1859539961</v>
      </c>
      <c r="P163" s="394">
        <f t="shared" si="41"/>
        <v>47754763.016994812</v>
      </c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9"/>
      <c r="AO163" s="89"/>
      <c r="AP163" s="89"/>
      <c r="AQ163" s="89"/>
      <c r="AR163" s="89"/>
      <c r="AS163" s="89"/>
      <c r="AT163" s="89"/>
      <c r="AU163" s="89"/>
      <c r="AV163" s="89"/>
      <c r="AW163" s="89"/>
      <c r="AX163" s="89"/>
      <c r="AY163" s="89"/>
      <c r="AZ163" s="89"/>
      <c r="BA163" s="89"/>
      <c r="BB163" s="89"/>
      <c r="BC163" s="89"/>
      <c r="BD163" s="89"/>
      <c r="BE163" s="89"/>
      <c r="BF163" s="89"/>
      <c r="BG163" s="89"/>
      <c r="BH163" s="89"/>
      <c r="BI163" s="89"/>
      <c r="BJ163" s="89"/>
      <c r="BK163" s="89"/>
      <c r="BL163" s="89"/>
      <c r="BM163" s="89"/>
      <c r="BN163" s="89"/>
      <c r="BO163" s="89"/>
      <c r="BP163" s="89"/>
      <c r="BQ163" s="89"/>
      <c r="BR163" s="89"/>
      <c r="BS163" s="89"/>
      <c r="BT163" s="89"/>
      <c r="BU163" s="89"/>
      <c r="BV163" s="89"/>
      <c r="BW163" s="89"/>
      <c r="BX163" s="89"/>
      <c r="BY163" s="89"/>
      <c r="BZ163" s="89"/>
      <c r="CA163" s="89"/>
      <c r="CB163" s="89"/>
      <c r="CC163" s="89"/>
      <c r="CD163" s="89"/>
      <c r="CE163" s="89"/>
      <c r="CF163" s="89"/>
      <c r="CG163" s="89"/>
      <c r="CH163" s="89"/>
      <c r="CI163" s="89"/>
      <c r="CJ163" s="89"/>
      <c r="CK163" s="89"/>
      <c r="CL163" s="89"/>
      <c r="CM163" s="89"/>
      <c r="CN163" s="89"/>
      <c r="CO163" s="89"/>
      <c r="CP163" s="89"/>
      <c r="CQ163" s="89"/>
      <c r="CR163" s="89"/>
      <c r="CS163" s="89"/>
      <c r="CT163" s="89"/>
      <c r="CU163" s="89"/>
      <c r="CV163" s="89"/>
      <c r="CW163" s="89"/>
      <c r="CX163" s="89"/>
      <c r="CY163" s="89"/>
      <c r="CZ163" s="89"/>
      <c r="DA163" s="89"/>
      <c r="DB163" s="89"/>
      <c r="DC163" s="89"/>
      <c r="DD163" s="89"/>
      <c r="DE163" s="89"/>
      <c r="DF163" s="89"/>
      <c r="DG163" s="89"/>
      <c r="DH163" s="89"/>
      <c r="DI163" s="89"/>
      <c r="DJ163" s="89"/>
      <c r="DK163" s="89"/>
      <c r="DL163" s="89"/>
      <c r="DM163" s="89"/>
      <c r="DN163" s="89"/>
      <c r="DO163" s="89"/>
      <c r="DP163" s="89"/>
      <c r="DQ163" s="89"/>
      <c r="DR163" s="89"/>
      <c r="DS163" s="89"/>
      <c r="DT163" s="89"/>
      <c r="DU163" s="89"/>
      <c r="DV163" s="89"/>
      <c r="DW163" s="89"/>
      <c r="DX163" s="89"/>
      <c r="DY163" s="89"/>
      <c r="DZ163" s="89"/>
      <c r="EA163" s="89"/>
      <c r="EB163" s="89"/>
      <c r="EC163" s="89"/>
      <c r="ED163" s="89"/>
      <c r="EE163" s="89"/>
      <c r="EF163" s="89"/>
      <c r="EG163" s="89"/>
      <c r="EH163" s="89"/>
      <c r="EI163" s="89"/>
      <c r="EJ163" s="89"/>
      <c r="EK163" s="89"/>
      <c r="EL163" s="89"/>
      <c r="EM163" s="89"/>
      <c r="EN163" s="89"/>
    </row>
    <row r="164" spans="1:144" s="87" customFormat="1" ht="11.25">
      <c r="A164" s="4"/>
      <c r="B164" s="362"/>
      <c r="C164" s="362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58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  <c r="AP164" s="89"/>
      <c r="AQ164" s="89"/>
      <c r="AR164" s="89"/>
      <c r="AS164" s="89"/>
      <c r="AT164" s="89"/>
      <c r="AU164" s="89"/>
      <c r="AV164" s="89"/>
      <c r="AW164" s="89"/>
      <c r="AX164" s="89"/>
      <c r="AY164" s="89"/>
      <c r="AZ164" s="89"/>
      <c r="BA164" s="89"/>
      <c r="BB164" s="89"/>
      <c r="BC164" s="89"/>
      <c r="BD164" s="89"/>
      <c r="BE164" s="89"/>
      <c r="BF164" s="89"/>
      <c r="BG164" s="89"/>
      <c r="BH164" s="89"/>
      <c r="BI164" s="89"/>
      <c r="BJ164" s="89"/>
      <c r="BK164" s="89"/>
      <c r="BL164" s="89"/>
      <c r="BM164" s="89"/>
      <c r="BN164" s="89"/>
      <c r="BO164" s="89"/>
      <c r="BP164" s="89"/>
      <c r="BQ164" s="89"/>
      <c r="BR164" s="89"/>
      <c r="BS164" s="89"/>
      <c r="BT164" s="89"/>
      <c r="BU164" s="89"/>
      <c r="BV164" s="89"/>
      <c r="BW164" s="89"/>
      <c r="BX164" s="89"/>
      <c r="BY164" s="89"/>
      <c r="BZ164" s="89"/>
      <c r="CA164" s="89"/>
      <c r="CB164" s="89"/>
      <c r="CC164" s="89"/>
      <c r="CD164" s="89"/>
      <c r="CE164" s="89"/>
      <c r="CF164" s="89"/>
      <c r="CG164" s="89"/>
      <c r="CH164" s="89"/>
      <c r="CI164" s="89"/>
      <c r="CJ164" s="89"/>
      <c r="CK164" s="89"/>
      <c r="CL164" s="89"/>
      <c r="CM164" s="89"/>
      <c r="CN164" s="89"/>
      <c r="CO164" s="89"/>
      <c r="CP164" s="89"/>
      <c r="CQ164" s="89"/>
      <c r="CR164" s="89"/>
      <c r="CS164" s="89"/>
      <c r="CT164" s="89"/>
      <c r="CU164" s="89"/>
      <c r="CV164" s="89"/>
      <c r="CW164" s="89"/>
      <c r="CX164" s="89"/>
      <c r="CY164" s="89"/>
      <c r="CZ164" s="89"/>
      <c r="DA164" s="89"/>
      <c r="DB164" s="89"/>
      <c r="DC164" s="89"/>
      <c r="DD164" s="89"/>
      <c r="DE164" s="89"/>
      <c r="DF164" s="89"/>
      <c r="DG164" s="89"/>
      <c r="DH164" s="89"/>
      <c r="DI164" s="89"/>
      <c r="DJ164" s="89"/>
      <c r="DK164" s="89"/>
      <c r="DL164" s="89"/>
      <c r="DM164" s="89"/>
      <c r="DN164" s="89"/>
      <c r="DO164" s="89"/>
      <c r="DP164" s="89"/>
      <c r="DQ164" s="89"/>
      <c r="DR164" s="89"/>
      <c r="DS164" s="89"/>
      <c r="DT164" s="89"/>
      <c r="DU164" s="89"/>
      <c r="DV164" s="89"/>
      <c r="DW164" s="89"/>
      <c r="DX164" s="89"/>
      <c r="DY164" s="89"/>
      <c r="DZ164" s="89"/>
      <c r="EA164" s="89"/>
      <c r="EB164" s="89"/>
      <c r="EC164" s="89"/>
      <c r="ED164" s="89"/>
      <c r="EE164" s="89"/>
      <c r="EF164" s="89"/>
      <c r="EG164" s="89"/>
      <c r="EH164" s="89"/>
      <c r="EI164" s="89"/>
      <c r="EJ164" s="89"/>
      <c r="EK164" s="89"/>
      <c r="EL164" s="89"/>
      <c r="EM164" s="89"/>
      <c r="EN164" s="89"/>
    </row>
    <row r="165" spans="1:144" s="87" customFormat="1" ht="11.25">
      <c r="A165" s="386">
        <v>14</v>
      </c>
      <c r="B165" s="89" t="s">
        <v>69</v>
      </c>
      <c r="C165" s="157" t="s">
        <v>5</v>
      </c>
      <c r="D165" s="177">
        <f t="shared" ref="D165:O165" si="42">D132+D100+D68+D35</f>
        <v>0</v>
      </c>
      <c r="E165" s="177">
        <f t="shared" si="42"/>
        <v>0</v>
      </c>
      <c r="F165" s="177">
        <f t="shared" si="42"/>
        <v>0</v>
      </c>
      <c r="G165" s="177">
        <f t="shared" si="42"/>
        <v>0</v>
      </c>
      <c r="H165" s="177">
        <f t="shared" si="42"/>
        <v>0</v>
      </c>
      <c r="I165" s="177">
        <f t="shared" si="42"/>
        <v>0</v>
      </c>
      <c r="J165" s="177">
        <f t="shared" si="42"/>
        <v>0</v>
      </c>
      <c r="K165" s="177">
        <f t="shared" si="42"/>
        <v>0</v>
      </c>
      <c r="L165" s="177">
        <f t="shared" si="42"/>
        <v>0</v>
      </c>
      <c r="M165" s="177">
        <f t="shared" si="42"/>
        <v>0</v>
      </c>
      <c r="N165" s="177">
        <f t="shared" si="42"/>
        <v>0</v>
      </c>
      <c r="O165" s="177">
        <f t="shared" si="42"/>
        <v>0</v>
      </c>
      <c r="P165" s="158">
        <f>SUM(D165:O165)</f>
        <v>0</v>
      </c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  <c r="AN165" s="89"/>
      <c r="AO165" s="89"/>
      <c r="AP165" s="89"/>
      <c r="AQ165" s="89"/>
      <c r="AR165" s="89"/>
      <c r="AS165" s="89"/>
      <c r="AT165" s="89"/>
      <c r="AU165" s="89"/>
      <c r="AV165" s="89"/>
      <c r="AW165" s="89"/>
      <c r="AX165" s="89"/>
      <c r="AY165" s="89"/>
      <c r="AZ165" s="89"/>
      <c r="BA165" s="89"/>
      <c r="BB165" s="89"/>
      <c r="BC165" s="89"/>
      <c r="BD165" s="89"/>
      <c r="BE165" s="89"/>
      <c r="BF165" s="89"/>
      <c r="BG165" s="89"/>
      <c r="BH165" s="89"/>
      <c r="BI165" s="89"/>
      <c r="BJ165" s="89"/>
      <c r="BK165" s="89"/>
      <c r="BL165" s="89"/>
      <c r="BM165" s="89"/>
      <c r="BN165" s="89"/>
      <c r="BO165" s="89"/>
      <c r="BP165" s="89"/>
      <c r="BQ165" s="89"/>
      <c r="BR165" s="89"/>
      <c r="BS165" s="89"/>
      <c r="BT165" s="89"/>
      <c r="BU165" s="89"/>
      <c r="BV165" s="89"/>
      <c r="BW165" s="89"/>
      <c r="BX165" s="89"/>
      <c r="BY165" s="89"/>
      <c r="BZ165" s="89"/>
      <c r="CA165" s="89"/>
      <c r="CB165" s="89"/>
      <c r="CC165" s="89"/>
      <c r="CD165" s="89"/>
      <c r="CE165" s="89"/>
      <c r="CF165" s="89"/>
      <c r="CG165" s="89"/>
      <c r="CH165" s="89"/>
      <c r="CI165" s="89"/>
      <c r="CJ165" s="89"/>
      <c r="CK165" s="89"/>
      <c r="CL165" s="89"/>
      <c r="CM165" s="89"/>
      <c r="CN165" s="89"/>
      <c r="CO165" s="89"/>
      <c r="CP165" s="89"/>
      <c r="CQ165" s="89"/>
      <c r="CR165" s="89"/>
      <c r="CS165" s="89"/>
      <c r="CT165" s="89"/>
      <c r="CU165" s="89"/>
      <c r="CV165" s="89"/>
      <c r="CW165" s="89"/>
      <c r="CX165" s="89"/>
      <c r="CY165" s="89"/>
      <c r="CZ165" s="89"/>
      <c r="DA165" s="89"/>
      <c r="DB165" s="89"/>
      <c r="DC165" s="89"/>
      <c r="DD165" s="89"/>
      <c r="DE165" s="89"/>
      <c r="DF165" s="89"/>
      <c r="DG165" s="89"/>
      <c r="DH165" s="89"/>
      <c r="DI165" s="89"/>
      <c r="DJ165" s="89"/>
      <c r="DK165" s="89"/>
      <c r="DL165" s="89"/>
      <c r="DM165" s="89"/>
      <c r="DN165" s="89"/>
      <c r="DO165" s="89"/>
      <c r="DP165" s="89"/>
      <c r="DQ165" s="89"/>
      <c r="DR165" s="89"/>
      <c r="DS165" s="89"/>
      <c r="DT165" s="89"/>
      <c r="DU165" s="89"/>
      <c r="DV165" s="89"/>
      <c r="DW165" s="89"/>
      <c r="DX165" s="89"/>
      <c r="DY165" s="89"/>
      <c r="DZ165" s="89"/>
      <c r="EA165" s="89"/>
      <c r="EB165" s="89"/>
      <c r="EC165" s="89"/>
      <c r="ED165" s="89"/>
      <c r="EE165" s="89"/>
      <c r="EF165" s="89"/>
      <c r="EG165" s="89"/>
      <c r="EH165" s="89"/>
      <c r="EI165" s="89"/>
      <c r="EJ165" s="89"/>
      <c r="EK165" s="89"/>
      <c r="EL165" s="89"/>
      <c r="EM165" s="89"/>
      <c r="EN165" s="89"/>
    </row>
    <row r="166" spans="1:144" s="87" customFormat="1" ht="11.25">
      <c r="A166" s="386">
        <v>15</v>
      </c>
      <c r="B166" s="89" t="s">
        <v>70</v>
      </c>
      <c r="C166" s="157" t="s">
        <v>6</v>
      </c>
      <c r="D166" s="388"/>
      <c r="E166" s="388"/>
      <c r="F166" s="388"/>
      <c r="G166" s="388"/>
      <c r="H166" s="388"/>
      <c r="I166" s="388"/>
      <c r="J166" s="388"/>
      <c r="K166" s="388"/>
      <c r="L166" s="388"/>
      <c r="M166" s="388"/>
      <c r="N166" s="388"/>
      <c r="O166" s="388"/>
      <c r="P166" s="425">
        <f>SUM(D166:O166)</f>
        <v>0</v>
      </c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89"/>
      <c r="AO166" s="89"/>
      <c r="AP166" s="89"/>
      <c r="AQ166" s="89"/>
      <c r="AR166" s="89"/>
      <c r="AS166" s="89"/>
      <c r="AT166" s="89"/>
      <c r="AU166" s="89"/>
      <c r="AV166" s="89"/>
      <c r="AW166" s="89"/>
      <c r="AX166" s="89"/>
      <c r="AY166" s="89"/>
      <c r="AZ166" s="89"/>
      <c r="BA166" s="89"/>
      <c r="BB166" s="89"/>
      <c r="BC166" s="89"/>
      <c r="BD166" s="89"/>
      <c r="BE166" s="89"/>
      <c r="BF166" s="89"/>
      <c r="BG166" s="89"/>
      <c r="BH166" s="89"/>
      <c r="BI166" s="89"/>
      <c r="BJ166" s="89"/>
      <c r="BK166" s="89"/>
      <c r="BL166" s="89"/>
      <c r="BM166" s="89"/>
      <c r="BN166" s="89"/>
      <c r="BO166" s="89"/>
      <c r="BP166" s="89"/>
      <c r="BQ166" s="89"/>
      <c r="BR166" s="89"/>
      <c r="BS166" s="89"/>
      <c r="BT166" s="89"/>
      <c r="BU166" s="89"/>
      <c r="BV166" s="89"/>
      <c r="BW166" s="89"/>
      <c r="BX166" s="89"/>
      <c r="BY166" s="89"/>
      <c r="BZ166" s="89"/>
      <c r="CA166" s="89"/>
      <c r="CB166" s="89"/>
      <c r="CC166" s="89"/>
      <c r="CD166" s="89"/>
      <c r="CE166" s="89"/>
      <c r="CF166" s="89"/>
      <c r="CG166" s="89"/>
      <c r="CH166" s="89"/>
      <c r="CI166" s="89"/>
      <c r="CJ166" s="89"/>
      <c r="CK166" s="89"/>
      <c r="CL166" s="89"/>
      <c r="CM166" s="89"/>
      <c r="CN166" s="89"/>
      <c r="CO166" s="89"/>
      <c r="CP166" s="89"/>
      <c r="CQ166" s="89"/>
      <c r="CR166" s="89"/>
      <c r="CS166" s="89"/>
      <c r="CT166" s="89"/>
      <c r="CU166" s="89"/>
      <c r="CV166" s="89"/>
      <c r="CW166" s="89"/>
      <c r="CX166" s="89"/>
      <c r="CY166" s="89"/>
      <c r="CZ166" s="89"/>
      <c r="DA166" s="89"/>
      <c r="DB166" s="89"/>
      <c r="DC166" s="89"/>
      <c r="DD166" s="89"/>
      <c r="DE166" s="89"/>
      <c r="DF166" s="89"/>
      <c r="DG166" s="89"/>
      <c r="DH166" s="89"/>
      <c r="DI166" s="89"/>
      <c r="DJ166" s="89"/>
      <c r="DK166" s="89"/>
      <c r="DL166" s="89"/>
      <c r="DM166" s="89"/>
      <c r="DN166" s="89"/>
      <c r="DO166" s="89"/>
      <c r="DP166" s="89"/>
      <c r="DQ166" s="89"/>
      <c r="DR166" s="89"/>
      <c r="DS166" s="89"/>
      <c r="DT166" s="89"/>
      <c r="DU166" s="89"/>
      <c r="DV166" s="89"/>
      <c r="DW166" s="89"/>
      <c r="DX166" s="89"/>
      <c r="DY166" s="89"/>
      <c r="DZ166" s="89"/>
      <c r="EA166" s="89"/>
      <c r="EB166" s="89"/>
      <c r="EC166" s="89"/>
      <c r="ED166" s="89"/>
      <c r="EE166" s="89"/>
      <c r="EF166" s="89"/>
      <c r="EG166" s="89"/>
      <c r="EH166" s="89"/>
      <c r="EI166" s="89"/>
      <c r="EJ166" s="89"/>
      <c r="EK166" s="89"/>
      <c r="EL166" s="89"/>
      <c r="EM166" s="89"/>
      <c r="EN166" s="89"/>
    </row>
    <row r="167" spans="1:144" s="87" customFormat="1" ht="11.25">
      <c r="A167" s="386">
        <v>16</v>
      </c>
      <c r="B167" s="393" t="s">
        <v>23</v>
      </c>
      <c r="C167" s="361"/>
      <c r="D167" s="101">
        <f t="shared" ref="D167:P167" si="43">SUM(D165:D166)</f>
        <v>0</v>
      </c>
      <c r="E167" s="101">
        <f t="shared" si="43"/>
        <v>0</v>
      </c>
      <c r="F167" s="101">
        <f t="shared" si="43"/>
        <v>0</v>
      </c>
      <c r="G167" s="101">
        <f t="shared" si="43"/>
        <v>0</v>
      </c>
      <c r="H167" s="101">
        <f t="shared" si="43"/>
        <v>0</v>
      </c>
      <c r="I167" s="101">
        <f t="shared" si="43"/>
        <v>0</v>
      </c>
      <c r="J167" s="101">
        <f t="shared" si="43"/>
        <v>0</v>
      </c>
      <c r="K167" s="101">
        <f t="shared" si="43"/>
        <v>0</v>
      </c>
      <c r="L167" s="101">
        <f t="shared" si="43"/>
        <v>0</v>
      </c>
      <c r="M167" s="101">
        <f t="shared" si="43"/>
        <v>0</v>
      </c>
      <c r="N167" s="101">
        <f t="shared" si="43"/>
        <v>0</v>
      </c>
      <c r="O167" s="101">
        <f t="shared" si="43"/>
        <v>0</v>
      </c>
      <c r="P167" s="101">
        <f t="shared" si="43"/>
        <v>0</v>
      </c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89"/>
      <c r="AO167" s="89"/>
      <c r="AP167" s="89"/>
      <c r="AQ167" s="89"/>
      <c r="AR167" s="89"/>
      <c r="AS167" s="89"/>
      <c r="AT167" s="89"/>
      <c r="AU167" s="89"/>
      <c r="AV167" s="89"/>
      <c r="AW167" s="89"/>
      <c r="AX167" s="89"/>
      <c r="AY167" s="89"/>
      <c r="AZ167" s="89"/>
      <c r="BA167" s="89"/>
      <c r="BB167" s="89"/>
      <c r="BC167" s="89"/>
      <c r="BD167" s="89"/>
      <c r="BE167" s="89"/>
      <c r="BF167" s="89"/>
      <c r="BG167" s="89"/>
      <c r="BH167" s="89"/>
      <c r="BI167" s="89"/>
      <c r="BJ167" s="89"/>
      <c r="BK167" s="89"/>
      <c r="BL167" s="89"/>
      <c r="BM167" s="89"/>
      <c r="BN167" s="89"/>
      <c r="BO167" s="89"/>
      <c r="BP167" s="89"/>
      <c r="BQ167" s="89"/>
      <c r="BR167" s="89"/>
      <c r="BS167" s="89"/>
      <c r="BT167" s="89"/>
      <c r="BU167" s="89"/>
      <c r="BV167" s="89"/>
      <c r="BW167" s="89"/>
      <c r="BX167" s="89"/>
      <c r="BY167" s="89"/>
      <c r="BZ167" s="89"/>
      <c r="CA167" s="89"/>
      <c r="CB167" s="89"/>
      <c r="CC167" s="89"/>
      <c r="CD167" s="89"/>
      <c r="CE167" s="89"/>
      <c r="CF167" s="89"/>
      <c r="CG167" s="89"/>
      <c r="CH167" s="89"/>
      <c r="CI167" s="89"/>
      <c r="CJ167" s="89"/>
      <c r="CK167" s="89"/>
      <c r="CL167" s="89"/>
      <c r="CM167" s="89"/>
      <c r="CN167" s="89"/>
      <c r="CO167" s="89"/>
      <c r="CP167" s="89"/>
      <c r="CQ167" s="89"/>
      <c r="CR167" s="89"/>
      <c r="CS167" s="89"/>
      <c r="CT167" s="89"/>
      <c r="CU167" s="89"/>
      <c r="CV167" s="89"/>
      <c r="CW167" s="89"/>
      <c r="CX167" s="89"/>
      <c r="CY167" s="89"/>
      <c r="CZ167" s="89"/>
      <c r="DA167" s="89"/>
      <c r="DB167" s="89"/>
      <c r="DC167" s="89"/>
      <c r="DD167" s="89"/>
      <c r="DE167" s="89"/>
      <c r="DF167" s="89"/>
      <c r="DG167" s="89"/>
      <c r="DH167" s="89"/>
      <c r="DI167" s="89"/>
      <c r="DJ167" s="89"/>
      <c r="DK167" s="89"/>
      <c r="DL167" s="89"/>
      <c r="DM167" s="89"/>
      <c r="DN167" s="89"/>
      <c r="DO167" s="89"/>
      <c r="DP167" s="89"/>
      <c r="DQ167" s="89"/>
      <c r="DR167" s="89"/>
      <c r="DS167" s="89"/>
      <c r="DT167" s="89"/>
      <c r="DU167" s="89"/>
      <c r="DV167" s="89"/>
      <c r="DW167" s="89"/>
      <c r="DX167" s="89"/>
      <c r="DY167" s="89"/>
      <c r="DZ167" s="89"/>
      <c r="EA167" s="89"/>
      <c r="EB167" s="89"/>
      <c r="EC167" s="89"/>
      <c r="ED167" s="89"/>
      <c r="EE167" s="89"/>
      <c r="EF167" s="89"/>
      <c r="EG167" s="89"/>
      <c r="EH167" s="89"/>
      <c r="EI167" s="89"/>
      <c r="EJ167" s="89"/>
      <c r="EK167" s="89"/>
      <c r="EL167" s="89"/>
      <c r="EM167" s="89"/>
      <c r="EN167" s="89"/>
    </row>
    <row r="168" spans="1:144" s="87" customFormat="1" ht="11.25">
      <c r="A168" s="386"/>
      <c r="C168" s="396"/>
      <c r="D168" s="177"/>
      <c r="E168" s="177"/>
      <c r="F168" s="177"/>
      <c r="G168" s="177"/>
      <c r="H168" s="177"/>
      <c r="I168" s="177"/>
      <c r="J168" s="177"/>
      <c r="K168" s="177"/>
      <c r="L168" s="177"/>
      <c r="M168" s="177"/>
      <c r="N168" s="177"/>
      <c r="O168" s="177"/>
      <c r="P168" s="158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89"/>
      <c r="AO168" s="89"/>
      <c r="AP168" s="89"/>
      <c r="AQ168" s="89"/>
      <c r="AR168" s="89"/>
      <c r="AS168" s="89"/>
      <c r="AT168" s="89"/>
      <c r="AU168" s="89"/>
      <c r="AV168" s="89"/>
      <c r="AW168" s="89"/>
      <c r="AX168" s="89"/>
      <c r="AY168" s="89"/>
      <c r="AZ168" s="89"/>
      <c r="BA168" s="89"/>
      <c r="BB168" s="89"/>
      <c r="BC168" s="89"/>
      <c r="BD168" s="89"/>
      <c r="BE168" s="89"/>
      <c r="BF168" s="89"/>
      <c r="BG168" s="89"/>
      <c r="BH168" s="89"/>
      <c r="BI168" s="89"/>
      <c r="BJ168" s="89"/>
      <c r="BK168" s="89"/>
      <c r="BL168" s="89"/>
      <c r="BM168" s="89"/>
      <c r="BN168" s="89"/>
      <c r="BO168" s="89"/>
      <c r="BP168" s="89"/>
      <c r="BQ168" s="89"/>
      <c r="BR168" s="89"/>
      <c r="BS168" s="89"/>
      <c r="BT168" s="89"/>
      <c r="BU168" s="89"/>
      <c r="BV168" s="89"/>
      <c r="BW168" s="89"/>
      <c r="BX168" s="89"/>
      <c r="BY168" s="89"/>
      <c r="BZ168" s="89"/>
      <c r="CA168" s="89"/>
      <c r="CB168" s="89"/>
      <c r="CC168" s="89"/>
      <c r="CD168" s="89"/>
      <c r="CE168" s="89"/>
      <c r="CF168" s="89"/>
      <c r="CG168" s="89"/>
      <c r="CH168" s="89"/>
      <c r="CI168" s="89"/>
      <c r="CJ168" s="89"/>
      <c r="CK168" s="89"/>
      <c r="CL168" s="89"/>
      <c r="CM168" s="89"/>
      <c r="CN168" s="89"/>
      <c r="CO168" s="89"/>
      <c r="CP168" s="89"/>
      <c r="CQ168" s="89"/>
      <c r="CR168" s="89"/>
      <c r="CS168" s="89"/>
      <c r="CT168" s="89"/>
      <c r="CU168" s="89"/>
      <c r="CV168" s="89"/>
      <c r="CW168" s="89"/>
      <c r="CX168" s="89"/>
      <c r="CY168" s="89"/>
      <c r="CZ168" s="89"/>
      <c r="DA168" s="89"/>
      <c r="DB168" s="89"/>
      <c r="DC168" s="89"/>
      <c r="DD168" s="89"/>
      <c r="DE168" s="89"/>
      <c r="DF168" s="89"/>
      <c r="DG168" s="89"/>
      <c r="DH168" s="89"/>
      <c r="DI168" s="89"/>
      <c r="DJ168" s="89"/>
      <c r="DK168" s="89"/>
      <c r="DL168" s="89"/>
      <c r="DM168" s="89"/>
      <c r="DN168" s="89"/>
      <c r="DO168" s="89"/>
      <c r="DP168" s="89"/>
      <c r="DQ168" s="89"/>
      <c r="DR168" s="89"/>
      <c r="DS168" s="89"/>
      <c r="DT168" s="89"/>
      <c r="DU168" s="89"/>
      <c r="DV168" s="89"/>
      <c r="DW168" s="89"/>
      <c r="DX168" s="89"/>
      <c r="DY168" s="89"/>
      <c r="DZ168" s="89"/>
      <c r="EA168" s="89"/>
      <c r="EB168" s="89"/>
      <c r="EC168" s="89"/>
      <c r="ED168" s="89"/>
      <c r="EE168" s="89"/>
      <c r="EF168" s="89"/>
      <c r="EG168" s="89"/>
      <c r="EH168" s="89"/>
      <c r="EI168" s="89"/>
      <c r="EJ168" s="89"/>
      <c r="EK168" s="89"/>
      <c r="EL168" s="89"/>
      <c r="EM168" s="89"/>
      <c r="EN168" s="89"/>
    </row>
    <row r="169" spans="1:144" s="87" customFormat="1" ht="12" thickBot="1">
      <c r="A169" s="386">
        <v>17</v>
      </c>
      <c r="B169" s="147" t="s">
        <v>92</v>
      </c>
      <c r="C169" s="361"/>
      <c r="D169" s="397">
        <f t="shared" ref="D169:O169" si="44">+D167+D163</f>
        <v>3819374.8264338318</v>
      </c>
      <c r="E169" s="397">
        <f t="shared" si="44"/>
        <v>3792365.1111912401</v>
      </c>
      <c r="F169" s="397">
        <f t="shared" si="44"/>
        <v>4021388.4829791789</v>
      </c>
      <c r="G169" s="397">
        <f t="shared" si="44"/>
        <v>3953963.3283382012</v>
      </c>
      <c r="H169" s="397">
        <f t="shared" si="44"/>
        <v>3982458.1092975233</v>
      </c>
      <c r="I169" s="397">
        <f t="shared" si="44"/>
        <v>4027375.3818041366</v>
      </c>
      <c r="J169" s="397">
        <f t="shared" si="44"/>
        <v>3955095.259602997</v>
      </c>
      <c r="K169" s="397">
        <f t="shared" si="44"/>
        <v>4092067.8852255773</v>
      </c>
      <c r="L169" s="397">
        <f t="shared" si="44"/>
        <v>4061415.6899072304</v>
      </c>
      <c r="M169" s="397">
        <f t="shared" si="44"/>
        <v>4144001.465706971</v>
      </c>
      <c r="N169" s="397">
        <f t="shared" si="44"/>
        <v>3971969.2905539279</v>
      </c>
      <c r="O169" s="397">
        <f t="shared" si="44"/>
        <v>3933288.1859539961</v>
      </c>
      <c r="P169" s="397">
        <f>P167+P163</f>
        <v>47754763.016994812</v>
      </c>
      <c r="Q169" s="39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89"/>
      <c r="AO169" s="89"/>
      <c r="AP169" s="89"/>
      <c r="AQ169" s="89"/>
      <c r="AR169" s="89"/>
      <c r="AS169" s="89"/>
      <c r="AT169" s="89"/>
      <c r="AU169" s="89"/>
      <c r="AV169" s="89"/>
      <c r="AW169" s="89"/>
      <c r="AX169" s="89"/>
      <c r="AY169" s="89"/>
      <c r="AZ169" s="89"/>
      <c r="BA169" s="89"/>
      <c r="BB169" s="89"/>
      <c r="BC169" s="89"/>
      <c r="BD169" s="89"/>
      <c r="BE169" s="89"/>
      <c r="BF169" s="89"/>
      <c r="BG169" s="89"/>
      <c r="BH169" s="89"/>
      <c r="BI169" s="89"/>
      <c r="BJ169" s="89"/>
      <c r="BK169" s="89"/>
      <c r="BL169" s="89"/>
      <c r="BM169" s="89"/>
      <c r="BN169" s="89"/>
      <c r="BO169" s="89"/>
      <c r="BP169" s="89"/>
      <c r="BQ169" s="89"/>
      <c r="BR169" s="89"/>
      <c r="BS169" s="89"/>
      <c r="BT169" s="89"/>
      <c r="BU169" s="89"/>
      <c r="BV169" s="89"/>
      <c r="BW169" s="89"/>
      <c r="BX169" s="89"/>
      <c r="BY169" s="89"/>
      <c r="BZ169" s="89"/>
      <c r="CA169" s="89"/>
      <c r="CB169" s="89"/>
      <c r="CC169" s="89"/>
      <c r="CD169" s="89"/>
      <c r="CE169" s="89"/>
      <c r="CF169" s="89"/>
      <c r="CG169" s="89"/>
      <c r="CH169" s="89"/>
      <c r="CI169" s="89"/>
      <c r="CJ169" s="89"/>
      <c r="CK169" s="89"/>
      <c r="CL169" s="89"/>
      <c r="CM169" s="89"/>
      <c r="CN169" s="89"/>
      <c r="CO169" s="89"/>
      <c r="CP169" s="89"/>
      <c r="CQ169" s="89"/>
      <c r="CR169" s="89"/>
      <c r="CS169" s="89"/>
      <c r="CT169" s="89"/>
      <c r="CU169" s="89"/>
      <c r="CV169" s="89"/>
      <c r="CW169" s="89"/>
      <c r="CX169" s="89"/>
      <c r="CY169" s="89"/>
      <c r="CZ169" s="89"/>
      <c r="DA169" s="89"/>
      <c r="DB169" s="89"/>
      <c r="DC169" s="89"/>
      <c r="DD169" s="89"/>
      <c r="DE169" s="89"/>
      <c r="DF169" s="89"/>
      <c r="DG169" s="89"/>
      <c r="DH169" s="89"/>
      <c r="DI169" s="89"/>
      <c r="DJ169" s="89"/>
      <c r="DK169" s="89"/>
      <c r="DL169" s="89"/>
      <c r="DM169" s="89"/>
      <c r="DN169" s="89"/>
      <c r="DO169" s="89"/>
      <c r="DP169" s="89"/>
      <c r="DQ169" s="89"/>
      <c r="DR169" s="89"/>
      <c r="DS169" s="89"/>
      <c r="DT169" s="89"/>
      <c r="DU169" s="89"/>
      <c r="DV169" s="89"/>
      <c r="DW169" s="89"/>
      <c r="DX169" s="89"/>
      <c r="DY169" s="89"/>
      <c r="DZ169" s="89"/>
      <c r="EA169" s="89"/>
      <c r="EB169" s="89"/>
      <c r="EC169" s="89"/>
      <c r="ED169" s="89"/>
      <c r="EE169" s="89"/>
      <c r="EF169" s="89"/>
      <c r="EG169" s="89"/>
      <c r="EH169" s="89"/>
      <c r="EI169" s="89"/>
      <c r="EJ169" s="89"/>
      <c r="EK169" s="89"/>
      <c r="EL169" s="89"/>
      <c r="EM169" s="89"/>
      <c r="EN169" s="89"/>
    </row>
    <row r="170" spans="1:144" ht="13.5" thickTop="1"/>
  </sheetData>
  <mergeCells count="12">
    <mergeCell ref="B75:O75"/>
    <mergeCell ref="B9:O9"/>
    <mergeCell ref="B10:O10"/>
    <mergeCell ref="B43:O43"/>
    <mergeCell ref="B138:P138"/>
    <mergeCell ref="B139:P139"/>
    <mergeCell ref="B140:P140"/>
    <mergeCell ref="B141:P141"/>
    <mergeCell ref="B105:P105"/>
    <mergeCell ref="B106:P106"/>
    <mergeCell ref="B107:P107"/>
    <mergeCell ref="B108:P108"/>
  </mergeCells>
  <phoneticPr fontId="4" type="noConversion"/>
  <pageMargins left="0.7" right="0.7" top="1.07" bottom="0.75" header="0.3" footer="0.3"/>
  <pageSetup scale="64" fitToHeight="0" orientation="landscape" r:id="rId1"/>
  <headerFooter>
    <oddHeader>&amp;RDocket No 56165
Schedule &amp;A
Page &amp;P of &amp;N</oddHeader>
    <oddFooter>&amp;LSponsored by: Earlyne Reynolds</oddFooter>
  </headerFooter>
  <rowBreaks count="4" manualBreakCount="4">
    <brk id="40" max="16383" man="1"/>
    <brk id="72" max="16383" man="1"/>
    <brk id="104" max="16383" man="1"/>
    <brk id="137" max="16383" man="1"/>
  </rowBreaks>
  <colBreaks count="1" manualBreakCount="1">
    <brk id="1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N256"/>
  <sheetViews>
    <sheetView zoomScaleNormal="100" workbookViewId="0">
      <selection sqref="A1:XFD1048576"/>
    </sheetView>
  </sheetViews>
  <sheetFormatPr defaultRowHeight="12.75"/>
  <cols>
    <col min="1" max="1" width="4.28515625" style="373" bestFit="1" customWidth="1"/>
    <col min="2" max="2" width="32.28515625" style="373" customWidth="1"/>
    <col min="3" max="3" width="7.42578125" style="373" bestFit="1" customWidth="1"/>
    <col min="4" max="4" width="11.42578125" style="472" bestFit="1" customWidth="1"/>
    <col min="5" max="8" width="11.7109375" style="472" customWidth="1"/>
    <col min="9" max="14" width="11.7109375" style="473" customWidth="1"/>
    <col min="15" max="15" width="10.42578125" style="373" customWidth="1"/>
    <col min="16" max="16" width="12.28515625" style="474" bestFit="1" customWidth="1"/>
    <col min="17" max="17" width="8" style="373" customWidth="1"/>
    <col min="18" max="18" width="25.42578125" style="373" customWidth="1"/>
    <col min="19" max="19" width="6.85546875" style="373" customWidth="1"/>
    <col min="20" max="20" width="8.28515625" style="373" customWidth="1"/>
    <col min="21" max="32" width="10.85546875" style="373" customWidth="1"/>
    <col min="33" max="33" width="11.85546875" style="373" customWidth="1"/>
    <col min="34" max="34" width="13.7109375" style="373" customWidth="1"/>
    <col min="35" max="16384" width="9.140625" style="373"/>
  </cols>
  <sheetData>
    <row r="1" spans="1:144" ht="13.5" thickBot="1"/>
    <row r="2" spans="1:144">
      <c r="B2" s="203" t="s">
        <v>100</v>
      </c>
    </row>
    <row r="3" spans="1:144">
      <c r="B3" s="204" t="s">
        <v>101</v>
      </c>
    </row>
    <row r="4" spans="1:144">
      <c r="B4" s="205" t="s">
        <v>142</v>
      </c>
    </row>
    <row r="5" spans="1:144">
      <c r="B5" s="205" t="s">
        <v>103</v>
      </c>
    </row>
    <row r="6" spans="1:144" ht="13.5" thickBot="1">
      <c r="B6" s="206" t="str">
        <f>+'II-H-1'!B6</f>
        <v>DOCKET 56165</v>
      </c>
    </row>
    <row r="8" spans="1:144">
      <c r="B8" s="12" t="str">
        <f>'II-H-1.2'!B7:O7</f>
        <v>AEP TEXAS</v>
      </c>
      <c r="C8" s="2"/>
      <c r="D8" s="475"/>
      <c r="E8" s="475"/>
      <c r="F8" s="475"/>
      <c r="G8" s="475"/>
      <c r="H8" s="475"/>
      <c r="I8" s="476"/>
      <c r="J8" s="476"/>
      <c r="K8" s="476"/>
      <c r="L8" s="476"/>
      <c r="M8" s="476"/>
      <c r="N8" s="476"/>
      <c r="O8" s="2"/>
      <c r="P8" s="422"/>
    </row>
    <row r="9" spans="1:144">
      <c r="B9" s="369" t="s">
        <v>42</v>
      </c>
      <c r="C9" s="369"/>
      <c r="D9" s="369"/>
      <c r="E9" s="369"/>
      <c r="F9" s="369"/>
      <c r="G9" s="369"/>
      <c r="H9" s="369"/>
      <c r="I9" s="369"/>
      <c r="J9" s="369"/>
      <c r="K9" s="369"/>
      <c r="L9" s="369"/>
      <c r="M9" s="369"/>
      <c r="N9" s="369"/>
      <c r="O9" s="369"/>
      <c r="P9" s="373" t="s">
        <v>1</v>
      </c>
    </row>
    <row r="10" spans="1:144">
      <c r="B10" s="369" t="s">
        <v>147</v>
      </c>
      <c r="C10" s="369"/>
      <c r="D10" s="369"/>
      <c r="E10" s="369"/>
      <c r="F10" s="369"/>
      <c r="G10" s="369"/>
      <c r="H10" s="369"/>
      <c r="I10" s="369"/>
      <c r="J10" s="369"/>
      <c r="K10" s="369"/>
      <c r="L10" s="369"/>
      <c r="M10" s="369"/>
      <c r="N10" s="369"/>
      <c r="O10" s="369"/>
      <c r="P10" s="373" t="s">
        <v>1</v>
      </c>
    </row>
    <row r="11" spans="1:144">
      <c r="A11" s="477"/>
      <c r="B11" s="147"/>
      <c r="C11" s="477"/>
      <c r="D11" s="478"/>
      <c r="E11" s="456"/>
      <c r="F11" s="456"/>
    </row>
    <row r="12" spans="1:144">
      <c r="B12" s="14"/>
      <c r="C12" s="5"/>
      <c r="D12" s="479"/>
      <c r="E12" s="423"/>
      <c r="F12" s="423"/>
      <c r="G12" s="479"/>
      <c r="H12" s="423"/>
      <c r="I12" s="423"/>
      <c r="K12" s="423"/>
      <c r="L12" s="423"/>
      <c r="M12" s="423"/>
      <c r="N12" s="423"/>
      <c r="O12" s="423"/>
      <c r="P12" s="423"/>
    </row>
    <row r="13" spans="1:144" s="1" customFormat="1">
      <c r="A13" s="359" t="s">
        <v>8</v>
      </c>
      <c r="B13" s="359" t="s">
        <v>0</v>
      </c>
      <c r="C13" s="359" t="s">
        <v>7</v>
      </c>
      <c r="D13" s="377" t="str">
        <f>'II-H-3.1-3'!D12</f>
        <v>Oct-22</v>
      </c>
      <c r="E13" s="377" t="str">
        <f>'II-H-3.1-3'!E12</f>
        <v>Nov-22</v>
      </c>
      <c r="F13" s="377" t="str">
        <f>'II-H-3.1-3'!F12</f>
        <v>Dec-22</v>
      </c>
      <c r="G13" s="377" t="str">
        <f>'II-H-3.1-3'!G12</f>
        <v>Jan-23</v>
      </c>
      <c r="H13" s="377" t="str">
        <f>'II-H-3.1-3'!H12</f>
        <v>Feb-23</v>
      </c>
      <c r="I13" s="377" t="str">
        <f>'II-H-3.1-3'!I12</f>
        <v>Mar-23</v>
      </c>
      <c r="J13" s="377" t="str">
        <f>'II-H-3.1-3'!J12</f>
        <v>Apr-23</v>
      </c>
      <c r="K13" s="377" t="str">
        <f>'II-H-3.1-3'!K12</f>
        <v>May-23</v>
      </c>
      <c r="L13" s="377" t="str">
        <f>'II-H-3.1-3'!L12</f>
        <v>Jun-23</v>
      </c>
      <c r="M13" s="377" t="str">
        <f>'II-H-3.1-3'!M12</f>
        <v>Jul-23</v>
      </c>
      <c r="N13" s="377" t="str">
        <f>'II-H-3.1-3'!N12</f>
        <v>Aug-23</v>
      </c>
      <c r="O13" s="377" t="str">
        <f>'II-H-3.1-3'!O12</f>
        <v>Sep-23</v>
      </c>
      <c r="P13" s="377" t="s">
        <v>2</v>
      </c>
      <c r="Q13" s="3"/>
      <c r="R13" s="373"/>
      <c r="S13" s="373"/>
      <c r="T13" s="373"/>
      <c r="U13" s="373"/>
      <c r="V13" s="373"/>
      <c r="W13" s="373"/>
      <c r="X13" s="373"/>
      <c r="Y13" s="373"/>
      <c r="Z13" s="373"/>
      <c r="AA13" s="373"/>
      <c r="AB13" s="373"/>
      <c r="AC13" s="373"/>
      <c r="AD13" s="373"/>
      <c r="AE13" s="373"/>
      <c r="AF13" s="373"/>
      <c r="AG13" s="373"/>
      <c r="AH13" s="373"/>
      <c r="AI13" s="373"/>
      <c r="AJ13" s="373"/>
    </row>
    <row r="14" spans="1:144" s="1" customFormat="1">
      <c r="A14" s="5"/>
      <c r="B14" s="359"/>
      <c r="C14" s="359"/>
      <c r="D14" s="15"/>
      <c r="E14" s="15"/>
      <c r="F14" s="15"/>
      <c r="G14" s="15"/>
      <c r="H14" s="15"/>
      <c r="I14" s="480"/>
      <c r="J14" s="480"/>
      <c r="K14" s="480"/>
      <c r="L14" s="480"/>
      <c r="M14" s="480"/>
      <c r="N14" s="480"/>
      <c r="O14" s="481"/>
      <c r="P14" s="482"/>
      <c r="Q14" s="3"/>
      <c r="R14" s="373"/>
      <c r="S14" s="373"/>
      <c r="T14" s="373"/>
      <c r="U14" s="373"/>
      <c r="V14" s="373"/>
      <c r="W14" s="373"/>
      <c r="X14" s="373"/>
      <c r="Y14" s="373"/>
      <c r="Z14" s="373"/>
      <c r="AA14" s="373"/>
      <c r="AB14" s="373"/>
      <c r="AC14" s="373"/>
      <c r="AD14" s="373"/>
      <c r="AE14" s="373"/>
      <c r="AF14" s="373"/>
      <c r="AG14" s="373"/>
      <c r="AH14" s="373"/>
      <c r="AI14" s="373"/>
      <c r="AJ14" s="373"/>
    </row>
    <row r="15" spans="1:144" s="4" customFormat="1" ht="11.25">
      <c r="A15" s="386" t="s">
        <v>9</v>
      </c>
      <c r="B15" s="87" t="s">
        <v>17</v>
      </c>
      <c r="C15" s="99" t="s">
        <v>4</v>
      </c>
      <c r="D15" s="177" cm="1">
        <f t="array" ref="D15">SUMPRODUCT((H_Rate_Class=$B15)*'[5]Demand - D'!D$9:D$118)</f>
        <v>0</v>
      </c>
      <c r="E15" s="177" cm="1">
        <f t="array" ref="E15">SUMPRODUCT((H_Rate_Class=$B15)*'[5]Demand - D'!E$9:E$118)</f>
        <v>0</v>
      </c>
      <c r="F15" s="177" cm="1">
        <f t="array" ref="F15">SUMPRODUCT((H_Rate_Class=$B15)*'[5]Demand - D'!F$9:F$118)</f>
        <v>0</v>
      </c>
      <c r="G15" s="177" cm="1">
        <f t="array" ref="G15">SUMPRODUCT((H_Rate_Class=$B15)*'[5]Demand - D'!G$9:G$118)</f>
        <v>0</v>
      </c>
      <c r="H15" s="177" cm="1">
        <f t="array" ref="H15">SUMPRODUCT((H_Rate_Class=$B15)*'[5]Demand - D'!H$9:H$118)</f>
        <v>0</v>
      </c>
      <c r="I15" s="177" cm="1">
        <f t="array" ref="I15">SUMPRODUCT((H_Rate_Class=$B15)*'[5]Demand - D'!I$9:I$118)</f>
        <v>0</v>
      </c>
      <c r="J15" s="177" cm="1">
        <f t="array" ref="J15">SUMPRODUCT((H_Rate_Class=$B15)*'[5]Demand - D'!J$9:J$118)</f>
        <v>0</v>
      </c>
      <c r="K15" s="177" cm="1">
        <f t="array" ref="K15">SUMPRODUCT((H_Rate_Class=$B15)*'[5]Demand - D'!K$9:K$118)</f>
        <v>0</v>
      </c>
      <c r="L15" s="177" cm="1">
        <f t="array" ref="L15">SUMPRODUCT((H_Rate_Class=$B15)*'[5]Demand - D'!L$9:L$118)</f>
        <v>0</v>
      </c>
      <c r="M15" s="177" cm="1">
        <f t="array" ref="M15">SUMPRODUCT((H_Rate_Class=$B15)*'[5]Demand - D'!M$9:M$118)</f>
        <v>0</v>
      </c>
      <c r="N15" s="177" cm="1">
        <f t="array" ref="N15">SUMPRODUCT((H_Rate_Class=$B15)*'[5]Demand - D'!N$9:N$118)</f>
        <v>0</v>
      </c>
      <c r="O15" s="177" cm="1">
        <f t="array" ref="O15">SUMPRODUCT((H_Rate_Class=$B15)*'[5]Demand - D'!O$9:O$118)</f>
        <v>0</v>
      </c>
      <c r="P15" s="158">
        <f>SUM(D15:O15)</f>
        <v>0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</row>
    <row r="16" spans="1:144" s="4" customFormat="1" ht="11.25">
      <c r="B16" s="87"/>
      <c r="C16" s="99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58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</row>
    <row r="17" spans="1:144" s="4" customFormat="1" ht="11.25">
      <c r="A17" s="386">
        <v>2</v>
      </c>
      <c r="B17" s="87" t="s">
        <v>20</v>
      </c>
      <c r="C17" s="99" t="s">
        <v>4</v>
      </c>
      <c r="D17" s="177" cm="1">
        <f t="array" ref="D17">SUMPRODUCT((H_Rate_Class=$B17)*'[5]Demand - D'!D$9:D$118)</f>
        <v>0</v>
      </c>
      <c r="E17" s="177" cm="1">
        <f t="array" ref="E17">SUMPRODUCT((H_Rate_Class=$B17)*'[5]Demand - D'!E$9:E$118)</f>
        <v>0</v>
      </c>
      <c r="F17" s="177" cm="1">
        <f t="array" ref="F17">SUMPRODUCT((H_Rate_Class=$B17)*'[5]Demand - D'!F$9:F$118)</f>
        <v>0</v>
      </c>
      <c r="G17" s="177" cm="1">
        <f t="array" ref="G17">SUMPRODUCT((H_Rate_Class=$B17)*'[5]Demand - D'!G$9:G$118)</f>
        <v>0</v>
      </c>
      <c r="H17" s="177" cm="1">
        <f t="array" ref="H17">SUMPRODUCT((H_Rate_Class=$B17)*'[5]Demand - D'!H$9:H$118)</f>
        <v>0</v>
      </c>
      <c r="I17" s="177" cm="1">
        <f t="array" ref="I17">SUMPRODUCT((H_Rate_Class=$B17)*'[5]Demand - D'!I$9:I$118)</f>
        <v>0</v>
      </c>
      <c r="J17" s="177" cm="1">
        <f t="array" ref="J17">SUMPRODUCT((H_Rate_Class=$B17)*'[5]Demand - D'!J$9:J$118)</f>
        <v>0</v>
      </c>
      <c r="K17" s="177" cm="1">
        <f t="array" ref="K17">SUMPRODUCT((H_Rate_Class=$B17)*'[5]Demand - D'!K$9:K$118)</f>
        <v>0</v>
      </c>
      <c r="L17" s="177" cm="1">
        <f t="array" ref="L17">SUMPRODUCT((H_Rate_Class=$B17)*'[5]Demand - D'!L$9:L$118)</f>
        <v>0</v>
      </c>
      <c r="M17" s="177" cm="1">
        <f t="array" ref="M17">SUMPRODUCT((H_Rate_Class=$B17)*'[5]Demand - D'!M$9:M$118)</f>
        <v>0</v>
      </c>
      <c r="N17" s="177" cm="1">
        <f t="array" ref="N17">SUMPRODUCT((H_Rate_Class=$B17)*'[5]Demand - D'!N$9:N$118)</f>
        <v>0</v>
      </c>
      <c r="O17" s="177" cm="1">
        <f t="array" ref="O17">SUMPRODUCT((H_Rate_Class=$B17)*'[5]Demand - D'!O$9:O$118)</f>
        <v>0</v>
      </c>
      <c r="P17" s="158">
        <f>SUM(D17:O17)</f>
        <v>0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</row>
    <row r="18" spans="1:144" s="4" customFormat="1" ht="11.25">
      <c r="A18" s="386"/>
      <c r="B18" s="87"/>
      <c r="C18" s="99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58"/>
      <c r="Q18" s="89" t="s">
        <v>76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</row>
    <row r="19" spans="1:144" s="4" customFormat="1" ht="11.25">
      <c r="A19" s="386">
        <v>3</v>
      </c>
      <c r="B19" s="87" t="s">
        <v>81</v>
      </c>
      <c r="C19" s="157" t="s">
        <v>4</v>
      </c>
      <c r="D19" s="390" cm="1">
        <f t="array" ref="D19">SUMPRODUCT((H_Rate_Class=$B19)*'[5]Demand - D'!D$9:D$118)</f>
        <v>2282599.2999999998</v>
      </c>
      <c r="E19" s="390" cm="1">
        <f t="array" ref="E19">SUMPRODUCT((H_Rate_Class=$B19)*'[5]Demand - D'!E$9:E$118)</f>
        <v>2233608.2000000002</v>
      </c>
      <c r="F19" s="390" cm="1">
        <f t="array" ref="F19">SUMPRODUCT((H_Rate_Class=$B19)*'[5]Demand - D'!F$9:F$118)</f>
        <v>2323857.9</v>
      </c>
      <c r="G19" s="390" cm="1">
        <f t="array" ref="G19">SUMPRODUCT((H_Rate_Class=$B19)*'[5]Demand - D'!G$9:G$118)</f>
        <v>2358278</v>
      </c>
      <c r="H19" s="390" cm="1">
        <f t="array" ref="H19">SUMPRODUCT((H_Rate_Class=$B19)*'[5]Demand - D'!H$9:H$118)</f>
        <v>2361042.5</v>
      </c>
      <c r="I19" s="390" cm="1">
        <f t="array" ref="I19">SUMPRODUCT((H_Rate_Class=$B19)*'[5]Demand - D'!I$9:I$118)</f>
        <v>2323050.9000000004</v>
      </c>
      <c r="J19" s="390" cm="1">
        <f t="array" ref="J19">SUMPRODUCT((H_Rate_Class=$B19)*'[5]Demand - D'!J$9:J$118)</f>
        <v>2263676.9</v>
      </c>
      <c r="K19" s="390" cm="1">
        <f t="array" ref="K19">SUMPRODUCT((H_Rate_Class=$B19)*'[5]Demand - D'!K$9:K$118)</f>
        <v>2227775.4</v>
      </c>
      <c r="L19" s="390" cm="1">
        <f t="array" ref="L19">SUMPRODUCT((H_Rate_Class=$B19)*'[5]Demand - D'!L$9:L$118)</f>
        <v>2335222.3000000003</v>
      </c>
      <c r="M19" s="390" cm="1">
        <f t="array" ref="M19">SUMPRODUCT((H_Rate_Class=$B19)*'[5]Demand - D'!M$9:M$118)</f>
        <v>2453527.2000000002</v>
      </c>
      <c r="N19" s="390" cm="1">
        <f t="array" ref="N19">SUMPRODUCT((H_Rate_Class=$B19)*'[5]Demand - D'!N$9:N$118)</f>
        <v>2488306.9</v>
      </c>
      <c r="O19" s="390" cm="1">
        <f t="array" ref="O19">SUMPRODUCT((H_Rate_Class=$B19)*'[5]Demand - D'!O$9:O$118)</f>
        <v>2501136.9000000004</v>
      </c>
      <c r="P19" s="158">
        <f>SUM(D19:O19)</f>
        <v>28152082.399999999</v>
      </c>
      <c r="Q19" s="387">
        <f>'II-H-4.1 Functions'!F19/'II-H-4.1 Dist kW'!P19</f>
        <v>4.8455481680427024</v>
      </c>
      <c r="R19" s="419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</row>
    <row r="20" spans="1:144" s="4" customFormat="1" ht="11.25">
      <c r="A20" s="386">
        <v>4</v>
      </c>
      <c r="B20" s="87" t="s">
        <v>85</v>
      </c>
      <c r="C20" s="157" t="s">
        <v>4</v>
      </c>
      <c r="D20" s="388" cm="1">
        <f t="array" ref="D20">SUMPRODUCT((H_Rate_Class=$B20)*'[5]Demand - D'!D$9:D$118)</f>
        <v>308893.60000000003</v>
      </c>
      <c r="E20" s="388" cm="1">
        <f t="array" ref="E20">SUMPRODUCT((H_Rate_Class=$B20)*'[5]Demand - D'!E$9:E$118)</f>
        <v>302408.90000000002</v>
      </c>
      <c r="F20" s="388" cm="1">
        <f t="array" ref="F20">SUMPRODUCT((H_Rate_Class=$B20)*'[5]Demand - D'!F$9:F$118)</f>
        <v>295188.59999999998</v>
      </c>
      <c r="G20" s="388" cm="1">
        <f t="array" ref="G20">SUMPRODUCT((H_Rate_Class=$B20)*'[5]Demand - D'!G$9:G$118)</f>
        <v>289967.7</v>
      </c>
      <c r="H20" s="388" cm="1">
        <f t="array" ref="H20">SUMPRODUCT((H_Rate_Class=$B20)*'[5]Demand - D'!H$9:H$118)</f>
        <v>271407.7</v>
      </c>
      <c r="I20" s="388" cm="1">
        <f t="array" ref="I20">SUMPRODUCT((H_Rate_Class=$B20)*'[5]Demand - D'!I$9:I$118)</f>
        <v>280161.89999999997</v>
      </c>
      <c r="J20" s="388" cm="1">
        <f t="array" ref="J20">SUMPRODUCT((H_Rate_Class=$B20)*'[5]Demand - D'!J$9:J$118)</f>
        <v>281296.7</v>
      </c>
      <c r="K20" s="388" cm="1">
        <f t="array" ref="K20">SUMPRODUCT((H_Rate_Class=$B20)*'[5]Demand - D'!K$9:K$118)</f>
        <v>289292.79999999993</v>
      </c>
      <c r="L20" s="388" cm="1">
        <f t="array" ref="L20">SUMPRODUCT((H_Rate_Class=$B20)*'[5]Demand - D'!L$9:L$118)</f>
        <v>306285.99999999994</v>
      </c>
      <c r="M20" s="388" cm="1">
        <f t="array" ref="M20">SUMPRODUCT((H_Rate_Class=$B20)*'[5]Demand - D'!M$9:M$118)</f>
        <v>320949.90000000002</v>
      </c>
      <c r="N20" s="388" cm="1">
        <f t="array" ref="N20">SUMPRODUCT((H_Rate_Class=$B20)*'[5]Demand - D'!N$9:N$118)</f>
        <v>341316.7</v>
      </c>
      <c r="O20" s="388" cm="1">
        <f t="array" ref="O20">SUMPRODUCT((H_Rate_Class=$B20)*'[5]Demand - D'!O$9:O$118)</f>
        <v>348363.5</v>
      </c>
      <c r="P20" s="425">
        <f>SUM(D20:O20)</f>
        <v>3635534</v>
      </c>
      <c r="Q20" s="387">
        <f>'II-H-4.1 Functions'!F20/'II-H-4.1 Dist kW'!P20</f>
        <v>4.8359086126179927</v>
      </c>
      <c r="R20" s="419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</row>
    <row r="21" spans="1:144" s="4" customFormat="1" ht="11.25">
      <c r="A21" s="386">
        <v>5</v>
      </c>
      <c r="B21" s="131" t="s">
        <v>18</v>
      </c>
      <c r="C21" s="99"/>
      <c r="D21" s="177">
        <f>SUM(D19:D20)</f>
        <v>2591492.9</v>
      </c>
      <c r="E21" s="177">
        <f t="shared" ref="E21:O21" si="0">SUM(E19:E20)</f>
        <v>2536017.1</v>
      </c>
      <c r="F21" s="177">
        <f t="shared" si="0"/>
        <v>2619046.5</v>
      </c>
      <c r="G21" s="177">
        <f t="shared" si="0"/>
        <v>2648245.7000000002</v>
      </c>
      <c r="H21" s="177">
        <f t="shared" si="0"/>
        <v>2632450.2000000002</v>
      </c>
      <c r="I21" s="177">
        <f t="shared" si="0"/>
        <v>2603212.8000000003</v>
      </c>
      <c r="J21" s="177">
        <f t="shared" si="0"/>
        <v>2544973.6</v>
      </c>
      <c r="K21" s="177">
        <f t="shared" si="0"/>
        <v>2517068.1999999997</v>
      </c>
      <c r="L21" s="177">
        <f t="shared" si="0"/>
        <v>2641508.3000000003</v>
      </c>
      <c r="M21" s="177">
        <f t="shared" si="0"/>
        <v>2774477.1</v>
      </c>
      <c r="N21" s="177">
        <f t="shared" si="0"/>
        <v>2829623.6</v>
      </c>
      <c r="O21" s="177">
        <f t="shared" si="0"/>
        <v>2849500.4000000004</v>
      </c>
      <c r="P21" s="177">
        <f>SUM(P19:P20)</f>
        <v>31787616.399999999</v>
      </c>
      <c r="Q21" s="89"/>
      <c r="R21" s="419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</row>
    <row r="22" spans="1:144" s="4" customFormat="1" ht="11.25">
      <c r="B22" s="147"/>
      <c r="C22" s="99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58"/>
      <c r="Q22" s="89"/>
      <c r="R22" s="419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</row>
    <row r="23" spans="1:144" s="4" customFormat="1" ht="11.25">
      <c r="A23" s="386">
        <v>6</v>
      </c>
      <c r="B23" s="87" t="s">
        <v>82</v>
      </c>
      <c r="C23" s="157" t="s">
        <v>5</v>
      </c>
      <c r="D23" s="177" cm="1">
        <f t="array" ref="D23">SUMPRODUCT((H_Rate_Class=$B23)*'[5]Demand - D'!D$9:D$118)-D25</f>
        <v>57049.7</v>
      </c>
      <c r="E23" s="177" cm="1">
        <f t="array" ref="E23">SUMPRODUCT((H_Rate_Class=$B23)*'[5]Demand - D'!E$9:E$118)-E25</f>
        <v>59255.200000000012</v>
      </c>
      <c r="F23" s="177" cm="1">
        <f t="array" ref="F23">SUMPRODUCT((H_Rate_Class=$B23)*'[5]Demand - D'!F$9:F$118)-F25</f>
        <v>61198.799999999996</v>
      </c>
      <c r="G23" s="177" cm="1">
        <f t="array" ref="G23">SUMPRODUCT((H_Rate_Class=$B23)*'[5]Demand - D'!G$9:G$118)-G25</f>
        <v>59570.200000000004</v>
      </c>
      <c r="H23" s="177" cm="1">
        <f t="array" ref="H23">SUMPRODUCT((H_Rate_Class=$B23)*'[5]Demand - D'!H$9:H$118)-H25</f>
        <v>59946.7</v>
      </c>
      <c r="I23" s="177" cm="1">
        <f t="array" ref="I23">SUMPRODUCT((H_Rate_Class=$B23)*'[5]Demand - D'!I$9:I$118)-I25</f>
        <v>63843.7</v>
      </c>
      <c r="J23" s="177" cm="1">
        <f t="array" ref="J23">SUMPRODUCT((H_Rate_Class=$B23)*'[5]Demand - D'!J$9:J$118)-J25</f>
        <v>66123.100000000006</v>
      </c>
      <c r="K23" s="177" cm="1">
        <f t="array" ref="K23">SUMPRODUCT((H_Rate_Class=$B23)*'[5]Demand - D'!K$9:K$118)-K25</f>
        <v>67188.899999999994</v>
      </c>
      <c r="L23" s="177" cm="1">
        <f t="array" ref="L23">SUMPRODUCT((H_Rate_Class=$B23)*'[5]Demand - D'!L$9:L$118)-L25</f>
        <v>62428.800000000003</v>
      </c>
      <c r="M23" s="177" cm="1">
        <f t="array" ref="M23">SUMPRODUCT((H_Rate_Class=$B23)*'[5]Demand - D'!M$9:M$118)-M25</f>
        <v>68907.299999999988</v>
      </c>
      <c r="N23" s="177" cm="1">
        <f t="array" ref="N23">SUMPRODUCT((H_Rate_Class=$B23)*'[5]Demand - D'!N$9:N$118)-N25</f>
        <v>63595.200000000004</v>
      </c>
      <c r="O23" s="177" cm="1">
        <f t="array" ref="O23">SUMPRODUCT((H_Rate_Class=$B23)*'[5]Demand - D'!O$9:O$118)-O25</f>
        <v>64710.600000000006</v>
      </c>
      <c r="P23" s="158">
        <f>SUM(D23:O23)</f>
        <v>753818.20000000007</v>
      </c>
      <c r="Q23" s="387">
        <f>'II-H-4.1 Functions'!F23/'II-H-4.1 Dist kW'!P23</f>
        <v>3.0883164335819617</v>
      </c>
      <c r="R23" s="419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</row>
    <row r="24" spans="1:144" s="4" customFormat="1" ht="11.25">
      <c r="A24" s="386">
        <v>7</v>
      </c>
      <c r="B24" s="87" t="s">
        <v>83</v>
      </c>
      <c r="C24" s="157" t="s">
        <v>5</v>
      </c>
      <c r="D24" s="390" cm="1">
        <f t="array" ref="D24">SUMPRODUCT((H_Rate_Class=$B24)*'[5]Demand - D'!D$9:D$118)-D26</f>
        <v>699756.79999999993</v>
      </c>
      <c r="E24" s="390" cm="1">
        <f t="array" ref="E24">SUMPRODUCT((H_Rate_Class=$B24)*'[5]Demand - D'!E$9:E$118)-E26</f>
        <v>669315.50000000012</v>
      </c>
      <c r="F24" s="390" cm="1">
        <f t="array" ref="F24">SUMPRODUCT((H_Rate_Class=$B24)*'[5]Demand - D'!F$9:F$118)-F26</f>
        <v>675437.60000000009</v>
      </c>
      <c r="G24" s="390" cm="1">
        <f t="array" ref="G24">SUMPRODUCT((H_Rate_Class=$B24)*'[5]Demand - D'!G$9:G$118)-G26</f>
        <v>645304.4</v>
      </c>
      <c r="H24" s="390" cm="1">
        <f t="array" ref="H24">SUMPRODUCT((H_Rate_Class=$B24)*'[5]Demand - D'!H$9:H$118)-H26</f>
        <v>656680.20000000007</v>
      </c>
      <c r="I24" s="390" cm="1">
        <f t="array" ref="I24">SUMPRODUCT((H_Rate_Class=$B24)*'[5]Demand - D'!I$9:I$118)-I26</f>
        <v>697311</v>
      </c>
      <c r="J24" s="390" cm="1">
        <f t="array" ref="J24">SUMPRODUCT((H_Rate_Class=$B24)*'[5]Demand - D'!J$9:J$118)-J26</f>
        <v>655947.30000000005</v>
      </c>
      <c r="K24" s="390" cm="1">
        <f t="array" ref="K24">SUMPRODUCT((H_Rate_Class=$B24)*'[5]Demand - D'!K$9:K$118)-K26</f>
        <v>719787.3</v>
      </c>
      <c r="L24" s="390" cm="1">
        <f t="array" ref="L24">SUMPRODUCT((H_Rate_Class=$B24)*'[5]Demand - D'!L$9:L$118)-L26</f>
        <v>721453.10000000009</v>
      </c>
      <c r="M24" s="390" cm="1">
        <f t="array" ref="M24">SUMPRODUCT((H_Rate_Class=$B24)*'[5]Demand - D'!M$9:M$118)-M26</f>
        <v>735095.30000000016</v>
      </c>
      <c r="N24" s="390" cm="1">
        <f t="array" ref="N24">SUMPRODUCT((H_Rate_Class=$B24)*'[5]Demand - D'!N$9:N$118)-N26</f>
        <v>733326.29999999993</v>
      </c>
      <c r="O24" s="390" cm="1">
        <f t="array" ref="O24">SUMPRODUCT((H_Rate_Class=$B24)*'[5]Demand - D'!O$9:O$118)-O26</f>
        <v>680716.79999999993</v>
      </c>
      <c r="P24" s="158">
        <f>SUM(D24:O24)</f>
        <v>8290131.6000000006</v>
      </c>
      <c r="Q24" s="387">
        <f>'II-H-4.1 Functions'!F24/'II-H-4.1 Dist kW'!P24</f>
        <v>3.108209297863469</v>
      </c>
      <c r="R24" s="419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</row>
    <row r="25" spans="1:144" s="4" customFormat="1" ht="11.25">
      <c r="A25" s="386">
        <v>8</v>
      </c>
      <c r="B25" s="87" t="s">
        <v>148</v>
      </c>
      <c r="C25" s="157" t="s">
        <v>5</v>
      </c>
      <c r="D25" s="390">
        <f>'Primary Sub'!C20</f>
        <v>1621.4</v>
      </c>
      <c r="E25" s="390">
        <f>'Primary Sub'!D20</f>
        <v>1597.5</v>
      </c>
      <c r="F25" s="390">
        <f>'Primary Sub'!E20</f>
        <v>1529.8000000000002</v>
      </c>
      <c r="G25" s="390">
        <f>'Primary Sub'!F20</f>
        <v>1499.7</v>
      </c>
      <c r="H25" s="390">
        <f>'Primary Sub'!G20</f>
        <v>1507.8</v>
      </c>
      <c r="I25" s="390">
        <f>'Primary Sub'!H20</f>
        <v>1475.4</v>
      </c>
      <c r="J25" s="390">
        <f>'Primary Sub'!I20</f>
        <v>1500.7999999999997</v>
      </c>
      <c r="K25" s="390">
        <f>'Primary Sub'!J20</f>
        <v>1606.8</v>
      </c>
      <c r="L25" s="390">
        <f>'Primary Sub'!K20</f>
        <v>1619.6</v>
      </c>
      <c r="M25" s="390">
        <f>'Primary Sub'!L20</f>
        <v>1595.4</v>
      </c>
      <c r="N25" s="390">
        <f>'Primary Sub'!M20</f>
        <v>1600.5999999999997</v>
      </c>
      <c r="O25" s="390">
        <f>'Primary Sub'!N20</f>
        <v>1535.5000000000002</v>
      </c>
      <c r="P25" s="158">
        <f>SUM(D25:O25)</f>
        <v>18690.3</v>
      </c>
      <c r="Q25" s="387">
        <f>'II-H-4.1 Functions'!F25/'II-H-4.1 Dist kW'!P25</f>
        <v>3.1066362525176658</v>
      </c>
      <c r="R25" s="419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</row>
    <row r="26" spans="1:144" s="4" customFormat="1" ht="11.25">
      <c r="A26" s="386">
        <v>9</v>
      </c>
      <c r="B26" s="87" t="s">
        <v>149</v>
      </c>
      <c r="C26" s="157" t="s">
        <v>5</v>
      </c>
      <c r="D26" s="390">
        <f>'Primary Sub'!C21</f>
        <v>180128.5</v>
      </c>
      <c r="E26" s="390">
        <f>'Primary Sub'!D21</f>
        <v>180212.4</v>
      </c>
      <c r="F26" s="390">
        <f>'Primary Sub'!E21</f>
        <v>178269.7</v>
      </c>
      <c r="G26" s="390">
        <f>'Primary Sub'!F21</f>
        <v>180111.4</v>
      </c>
      <c r="H26" s="390">
        <f>'Primary Sub'!G21</f>
        <v>178712.1</v>
      </c>
      <c r="I26" s="390">
        <f>'Primary Sub'!H21</f>
        <v>179020.5</v>
      </c>
      <c r="J26" s="390">
        <f>'Primary Sub'!I21</f>
        <v>176448.3</v>
      </c>
      <c r="K26" s="390">
        <f>'Primary Sub'!J21</f>
        <v>175121.19999999995</v>
      </c>
      <c r="L26" s="390">
        <f>'Primary Sub'!K21</f>
        <v>178065.9</v>
      </c>
      <c r="M26" s="390">
        <f>'Primary Sub'!L21</f>
        <v>169880.69999999998</v>
      </c>
      <c r="N26" s="390">
        <f>'Primary Sub'!M21</f>
        <v>169989.09999999995</v>
      </c>
      <c r="O26" s="390">
        <f>'Primary Sub'!N21</f>
        <v>172026.9</v>
      </c>
      <c r="P26" s="158">
        <f>SUM(D26:O26)</f>
        <v>2117986.6999999997</v>
      </c>
      <c r="Q26" s="387">
        <f>'II-H-4.1 Functions'!F26/'II-H-4.1 Dist kW'!P26</f>
        <v>3.0955361279400551</v>
      </c>
      <c r="R26" s="419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</row>
    <row r="27" spans="1:144" s="4" customFormat="1" ht="11.25">
      <c r="A27" s="386">
        <v>10</v>
      </c>
      <c r="B27" s="87" t="s">
        <v>19</v>
      </c>
      <c r="C27" s="157"/>
      <c r="D27" s="391">
        <f>SUM(D23:D26)</f>
        <v>938556.39999999991</v>
      </c>
      <c r="E27" s="391">
        <f t="shared" ref="E27:P27" si="1">SUM(E23:E26)</f>
        <v>910380.60000000021</v>
      </c>
      <c r="F27" s="391">
        <f t="shared" si="1"/>
        <v>916435.90000000014</v>
      </c>
      <c r="G27" s="391">
        <f t="shared" si="1"/>
        <v>886485.7</v>
      </c>
      <c r="H27" s="391">
        <f t="shared" si="1"/>
        <v>896846.8</v>
      </c>
      <c r="I27" s="391">
        <f t="shared" si="1"/>
        <v>941650.6</v>
      </c>
      <c r="J27" s="391">
        <f t="shared" si="1"/>
        <v>900019.5</v>
      </c>
      <c r="K27" s="391">
        <f t="shared" si="1"/>
        <v>963704.20000000007</v>
      </c>
      <c r="L27" s="391">
        <f t="shared" si="1"/>
        <v>963567.40000000014</v>
      </c>
      <c r="M27" s="391">
        <f t="shared" si="1"/>
        <v>975478.70000000007</v>
      </c>
      <c r="N27" s="391">
        <f t="shared" si="1"/>
        <v>968511.19999999984</v>
      </c>
      <c r="O27" s="391">
        <f t="shared" si="1"/>
        <v>918989.79999999993</v>
      </c>
      <c r="P27" s="391">
        <f t="shared" si="1"/>
        <v>11180626.800000001</v>
      </c>
      <c r="Q27" s="271"/>
      <c r="R27" s="419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</row>
    <row r="28" spans="1:144" s="4" customFormat="1" ht="11.25">
      <c r="A28" s="386"/>
      <c r="B28" s="87"/>
      <c r="C28" s="15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58"/>
      <c r="Q28" s="89"/>
      <c r="R28" s="419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</row>
    <row r="29" spans="1:144" s="4" customFormat="1" ht="11.25">
      <c r="A29" s="386">
        <v>11</v>
      </c>
      <c r="B29" s="131" t="s">
        <v>86</v>
      </c>
      <c r="C29" s="157" t="s">
        <v>6</v>
      </c>
      <c r="D29" s="177" cm="1">
        <f t="array" ref="D29">SUMPRODUCT((H_Rate_Class=$B29)*'[5]Demand - D'!D$9:D$118)</f>
        <v>2382883.0000000005</v>
      </c>
      <c r="E29" s="177" cm="1">
        <f t="array" ref="E29">SUMPRODUCT((H_Rate_Class=$B29)*'[5]Demand - D'!E$9:E$118)</f>
        <v>2547888.3000000003</v>
      </c>
      <c r="F29" s="177" cm="1">
        <f t="array" ref="F29">SUMPRODUCT((H_Rate_Class=$B29)*'[5]Demand - D'!F$9:F$118)</f>
        <v>2665270.4</v>
      </c>
      <c r="G29" s="177" cm="1">
        <f t="array" ref="G29">SUMPRODUCT((H_Rate_Class=$B29)*'[5]Demand - D'!G$9:G$118)</f>
        <v>2594243.1</v>
      </c>
      <c r="H29" s="177" cm="1">
        <f t="array" ref="H29">SUMPRODUCT((H_Rate_Class=$B29)*'[5]Demand - D'!H$9:H$118)</f>
        <v>2533997.8000000003</v>
      </c>
      <c r="I29" s="177" cm="1">
        <f t="array" ref="I29">SUMPRODUCT((H_Rate_Class=$B29)*'[5]Demand - D'!I$9:I$118)</f>
        <v>3096998.4999999995</v>
      </c>
      <c r="J29" s="177" cm="1">
        <f t="array" ref="J29">SUMPRODUCT((H_Rate_Class=$B29)*'[5]Demand - D'!J$9:J$118)</f>
        <v>2450454.3000000003</v>
      </c>
      <c r="K29" s="177" cm="1">
        <f t="array" ref="K29">SUMPRODUCT((H_Rate_Class=$B29)*'[5]Demand - D'!K$9:K$118)</f>
        <v>3215794.3</v>
      </c>
      <c r="L29" s="177" cm="1">
        <f t="array" ref="L29">SUMPRODUCT((H_Rate_Class=$B29)*'[5]Demand - D'!L$9:L$118)</f>
        <v>2722845</v>
      </c>
      <c r="M29" s="177" cm="1">
        <f t="array" ref="M29">SUMPRODUCT((H_Rate_Class=$B29)*'[5]Demand - D'!M$9:M$118)</f>
        <v>2988423.7</v>
      </c>
      <c r="N29" s="177" cm="1">
        <f t="array" ref="N29">SUMPRODUCT((H_Rate_Class=$B29)*'[5]Demand - D'!N$9:N$118)</f>
        <v>2732844.9</v>
      </c>
      <c r="O29" s="177" cm="1">
        <f t="array" ref="O29">SUMPRODUCT((H_Rate_Class=$B29)*'[5]Demand - D'!O$9:O$118)</f>
        <v>2552793.4999999995</v>
      </c>
      <c r="P29" s="158">
        <f>SUM(D29:O29)</f>
        <v>32484436.800000001</v>
      </c>
      <c r="Q29" s="387">
        <f>'II-H-4.1 Functions'!F29/'II-H-4.1 Dist kW'!P29</f>
        <v>0.25831448941311147</v>
      </c>
      <c r="R29" s="419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</row>
    <row r="30" spans="1:144" s="4" customFormat="1" ht="11.25">
      <c r="B30" s="87"/>
      <c r="C30" s="99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58"/>
      <c r="Q30" s="483"/>
      <c r="R30" s="419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</row>
    <row r="31" spans="1:144" s="4" customFormat="1" ht="11.25">
      <c r="A31" s="386">
        <v>12</v>
      </c>
      <c r="B31" s="89" t="s">
        <v>21</v>
      </c>
      <c r="C31" s="157" t="s">
        <v>4</v>
      </c>
      <c r="D31" s="177" cm="1">
        <f t="array" ref="D31">SUMPRODUCT((H_Rate_Class=$B31)*'[5]Demand - D'!D$9:D$118)</f>
        <v>0</v>
      </c>
      <c r="E31" s="177" cm="1">
        <f t="array" ref="E31">SUMPRODUCT((H_Rate_Class=$B31)*'[5]Demand - D'!E$9:E$118)</f>
        <v>0</v>
      </c>
      <c r="F31" s="177" cm="1">
        <f t="array" ref="F31">SUMPRODUCT((H_Rate_Class=$B31)*'[5]Demand - D'!F$9:F$118)</f>
        <v>0</v>
      </c>
      <c r="G31" s="177" cm="1">
        <f t="array" ref="G31">SUMPRODUCT((H_Rate_Class=$B31)*'[5]Demand - D'!G$9:G$118)</f>
        <v>0</v>
      </c>
      <c r="H31" s="177" cm="1">
        <f t="array" ref="H31">SUMPRODUCT((H_Rate_Class=$B31)*'[5]Demand - D'!H$9:H$118)</f>
        <v>0</v>
      </c>
      <c r="I31" s="177" cm="1">
        <f t="array" ref="I31">SUMPRODUCT((H_Rate_Class=$B31)*'[5]Demand - D'!I$9:I$118)</f>
        <v>0</v>
      </c>
      <c r="J31" s="177" cm="1">
        <f t="array" ref="J31">SUMPRODUCT((H_Rate_Class=$B31)*'[5]Demand - D'!J$9:J$118)</f>
        <v>0</v>
      </c>
      <c r="K31" s="177" cm="1">
        <f t="array" ref="K31">SUMPRODUCT((H_Rate_Class=$B31)*'[5]Demand - D'!K$9:K$118)</f>
        <v>0</v>
      </c>
      <c r="L31" s="177" cm="1">
        <f t="array" ref="L31">SUMPRODUCT((H_Rate_Class=$B31)*'[5]Demand - D'!L$9:L$118)</f>
        <v>0</v>
      </c>
      <c r="M31" s="177" cm="1">
        <f t="array" ref="M31">SUMPRODUCT((H_Rate_Class=$B31)*'[5]Demand - D'!M$9:M$118)</f>
        <v>0</v>
      </c>
      <c r="N31" s="177" cm="1">
        <f t="array" ref="N31">SUMPRODUCT((H_Rate_Class=$B31)*'[5]Demand - D'!N$9:N$118)</f>
        <v>0</v>
      </c>
      <c r="O31" s="177" cm="1">
        <f t="array" ref="O31">SUMPRODUCT((H_Rate_Class=$B31)*'[5]Demand - D'!O$9:O$118)</f>
        <v>0</v>
      </c>
      <c r="P31" s="158">
        <f>SUM(D31:O31)</f>
        <v>0</v>
      </c>
      <c r="Q31" s="7"/>
      <c r="R31" s="419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</row>
    <row r="32" spans="1:144" s="4" customFormat="1" ht="11.25">
      <c r="A32" s="386"/>
      <c r="B32" s="87"/>
      <c r="C32" s="99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58"/>
      <c r="Q32" s="7"/>
      <c r="R32" s="419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</row>
    <row r="33" spans="1:144" s="4" customFormat="1" ht="11.25">
      <c r="A33" s="386">
        <v>13</v>
      </c>
      <c r="B33" s="393" t="s">
        <v>22</v>
      </c>
      <c r="C33" s="362"/>
      <c r="D33" s="394">
        <f>D31+D29+D27+D21+D17+D15</f>
        <v>5912932.3000000007</v>
      </c>
      <c r="E33" s="394">
        <f t="shared" ref="E33:O33" si="2">E31+E29+E27+E21+E17+E15</f>
        <v>5994286</v>
      </c>
      <c r="F33" s="394">
        <f t="shared" si="2"/>
        <v>6200752.7999999998</v>
      </c>
      <c r="G33" s="394">
        <f t="shared" si="2"/>
        <v>6128974.5</v>
      </c>
      <c r="H33" s="394">
        <f t="shared" si="2"/>
        <v>6063294.8000000007</v>
      </c>
      <c r="I33" s="394">
        <f t="shared" si="2"/>
        <v>6641861.9000000004</v>
      </c>
      <c r="J33" s="394">
        <f t="shared" si="2"/>
        <v>5895447.4000000004</v>
      </c>
      <c r="K33" s="394">
        <f t="shared" si="2"/>
        <v>6696566.6999999993</v>
      </c>
      <c r="L33" s="394">
        <f t="shared" si="2"/>
        <v>6327920.7000000011</v>
      </c>
      <c r="M33" s="394">
        <f t="shared" si="2"/>
        <v>6738379.5</v>
      </c>
      <c r="N33" s="394">
        <f t="shared" si="2"/>
        <v>6530979.6999999993</v>
      </c>
      <c r="O33" s="394">
        <f t="shared" si="2"/>
        <v>6321283.6999999993</v>
      </c>
      <c r="P33" s="394">
        <f>P31+P29+P27+P21+P17+P15</f>
        <v>75452680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</row>
    <row r="34" spans="1:144" s="4" customFormat="1" ht="11.25">
      <c r="B34" s="362"/>
      <c r="C34" s="362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58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</row>
    <row r="35" spans="1:144" s="4" customFormat="1" ht="11.25">
      <c r="A35" s="386">
        <v>14</v>
      </c>
      <c r="B35" s="89" t="s">
        <v>69</v>
      </c>
      <c r="C35" s="157" t="s">
        <v>5</v>
      </c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58">
        <f>SUM(D35:O35)</f>
        <v>0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</row>
    <row r="36" spans="1:144" s="4" customFormat="1" ht="11.25">
      <c r="A36" s="386">
        <v>15</v>
      </c>
      <c r="B36" s="89" t="s">
        <v>70</v>
      </c>
      <c r="C36" s="157" t="s">
        <v>6</v>
      </c>
      <c r="D36" s="388"/>
      <c r="E36" s="388"/>
      <c r="F36" s="388"/>
      <c r="G36" s="388"/>
      <c r="H36" s="388"/>
      <c r="I36" s="388"/>
      <c r="J36" s="388"/>
      <c r="K36" s="388"/>
      <c r="L36" s="388"/>
      <c r="M36" s="388"/>
      <c r="N36" s="388"/>
      <c r="O36" s="388"/>
      <c r="P36" s="425">
        <f>SUM(D36:O36)</f>
        <v>0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</row>
    <row r="37" spans="1:144" s="4" customFormat="1" ht="11.25">
      <c r="A37" s="386">
        <v>16</v>
      </c>
      <c r="B37" s="393" t="s">
        <v>23</v>
      </c>
      <c r="C37" s="361"/>
      <c r="D37" s="101">
        <f t="shared" ref="D37:P37" si="3">SUM(D35:D36)</f>
        <v>0</v>
      </c>
      <c r="E37" s="101">
        <f t="shared" si="3"/>
        <v>0</v>
      </c>
      <c r="F37" s="101">
        <f t="shared" si="3"/>
        <v>0</v>
      </c>
      <c r="G37" s="101">
        <f t="shared" si="3"/>
        <v>0</v>
      </c>
      <c r="H37" s="101">
        <f t="shared" si="3"/>
        <v>0</v>
      </c>
      <c r="I37" s="101">
        <f t="shared" si="3"/>
        <v>0</v>
      </c>
      <c r="J37" s="101">
        <f t="shared" si="3"/>
        <v>0</v>
      </c>
      <c r="K37" s="101">
        <f t="shared" si="3"/>
        <v>0</v>
      </c>
      <c r="L37" s="101">
        <f t="shared" si="3"/>
        <v>0</v>
      </c>
      <c r="M37" s="101">
        <f t="shared" si="3"/>
        <v>0</v>
      </c>
      <c r="N37" s="101">
        <f t="shared" si="3"/>
        <v>0</v>
      </c>
      <c r="O37" s="101">
        <f t="shared" si="3"/>
        <v>0</v>
      </c>
      <c r="P37" s="101">
        <f t="shared" si="3"/>
        <v>0</v>
      </c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</row>
    <row r="38" spans="1:144" s="4" customFormat="1" ht="11.25">
      <c r="A38" s="386"/>
      <c r="B38" s="87"/>
      <c r="C38" s="396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58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</row>
    <row r="39" spans="1:144" s="4" customFormat="1" ht="12" thickBot="1">
      <c r="A39" s="386">
        <v>17</v>
      </c>
      <c r="B39" s="147" t="s">
        <v>92</v>
      </c>
      <c r="C39" s="361"/>
      <c r="D39" s="397">
        <f t="shared" ref="D39:P39" si="4">+D37+D33</f>
        <v>5912932.3000000007</v>
      </c>
      <c r="E39" s="397">
        <f t="shared" si="4"/>
        <v>5994286</v>
      </c>
      <c r="F39" s="397">
        <f t="shared" si="4"/>
        <v>6200752.7999999998</v>
      </c>
      <c r="G39" s="397">
        <f t="shared" si="4"/>
        <v>6128974.5</v>
      </c>
      <c r="H39" s="397">
        <f t="shared" si="4"/>
        <v>6063294.8000000007</v>
      </c>
      <c r="I39" s="397">
        <f t="shared" si="4"/>
        <v>6641861.9000000004</v>
      </c>
      <c r="J39" s="397">
        <f t="shared" si="4"/>
        <v>5895447.4000000004</v>
      </c>
      <c r="K39" s="397">
        <f t="shared" si="4"/>
        <v>6696566.6999999993</v>
      </c>
      <c r="L39" s="397">
        <f t="shared" si="4"/>
        <v>6327920.7000000011</v>
      </c>
      <c r="M39" s="397">
        <f t="shared" si="4"/>
        <v>6738379.5</v>
      </c>
      <c r="N39" s="397">
        <f t="shared" si="4"/>
        <v>6530979.6999999993</v>
      </c>
      <c r="O39" s="397">
        <f t="shared" si="4"/>
        <v>6321283.6999999993</v>
      </c>
      <c r="P39" s="397">
        <f t="shared" si="4"/>
        <v>75452680</v>
      </c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</row>
    <row r="40" spans="1:144" ht="13.5" thickTop="1">
      <c r="A40" s="5"/>
      <c r="B40" s="87"/>
      <c r="C40" s="99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464"/>
      <c r="Q40" s="484"/>
      <c r="R40" s="401"/>
      <c r="S40" s="401"/>
      <c r="T40" s="401"/>
      <c r="U40" s="401"/>
      <c r="V40" s="401"/>
    </row>
    <row r="41" spans="1:144" s="1" customFormat="1">
      <c r="B41" s="171" t="str">
        <f>+B8</f>
        <v>AEP TEXAS</v>
      </c>
      <c r="C41" s="172"/>
      <c r="D41" s="467"/>
      <c r="E41" s="467"/>
      <c r="F41" s="467"/>
      <c r="G41" s="467"/>
      <c r="H41" s="467"/>
      <c r="I41" s="467"/>
      <c r="J41" s="467"/>
      <c r="K41" s="467"/>
      <c r="L41" s="467"/>
      <c r="M41" s="467"/>
      <c r="N41" s="467"/>
      <c r="O41" s="467"/>
      <c r="P41" s="427"/>
      <c r="R41" s="373"/>
      <c r="S41" s="373"/>
      <c r="T41" s="373"/>
      <c r="U41" s="373"/>
      <c r="V41" s="373"/>
      <c r="W41" s="373"/>
      <c r="X41" s="373"/>
      <c r="Y41" s="373"/>
      <c r="Z41" s="373"/>
      <c r="AA41" s="373"/>
      <c r="AB41" s="373"/>
      <c r="AC41" s="373"/>
      <c r="AD41" s="373"/>
      <c r="AE41" s="373"/>
      <c r="AF41" s="373"/>
      <c r="AG41" s="373"/>
      <c r="AH41" s="373"/>
      <c r="AI41" s="373"/>
      <c r="AJ41" s="373"/>
    </row>
    <row r="42" spans="1:144" s="81" customFormat="1">
      <c r="B42" s="172" t="s">
        <v>51</v>
      </c>
      <c r="C42" s="80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468" t="s">
        <v>1</v>
      </c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</row>
    <row r="43" spans="1:144" s="1" customFormat="1">
      <c r="B43" s="371" t="str">
        <f>+B10</f>
        <v>FOR TEST YEAR ENDED SEPTEMBER 30, 2023</v>
      </c>
      <c r="C43" s="371"/>
      <c r="D43" s="371"/>
      <c r="E43" s="371"/>
      <c r="F43" s="371"/>
      <c r="G43" s="371"/>
      <c r="H43" s="371"/>
      <c r="I43" s="371"/>
      <c r="J43" s="371"/>
      <c r="K43" s="371"/>
      <c r="L43" s="371"/>
      <c r="M43" s="371"/>
      <c r="N43" s="371"/>
      <c r="O43" s="371"/>
      <c r="P43" s="70" t="s">
        <v>1</v>
      </c>
      <c r="R43" s="373"/>
      <c r="S43" s="373"/>
      <c r="T43" s="373"/>
      <c r="U43" s="373"/>
      <c r="V43" s="373"/>
      <c r="W43" s="373"/>
      <c r="X43" s="373"/>
      <c r="Y43" s="373"/>
      <c r="Z43" s="373"/>
      <c r="AA43" s="373"/>
      <c r="AB43" s="373"/>
      <c r="AC43" s="373"/>
      <c r="AD43" s="373"/>
      <c r="AE43" s="373"/>
      <c r="AF43" s="373"/>
      <c r="AG43" s="373"/>
      <c r="AH43" s="373"/>
      <c r="AI43" s="373"/>
      <c r="AJ43" s="373"/>
    </row>
    <row r="44" spans="1:144" s="1" customFormat="1">
      <c r="B44" s="361"/>
      <c r="C44" s="361"/>
      <c r="D44" s="361"/>
      <c r="E44" s="361"/>
      <c r="F44" s="361"/>
      <c r="G44" s="361"/>
      <c r="H44" s="361"/>
      <c r="I44" s="361"/>
      <c r="J44" s="361"/>
      <c r="K44" s="361"/>
      <c r="L44" s="361"/>
      <c r="M44" s="361"/>
      <c r="N44" s="361"/>
      <c r="O44" s="361"/>
      <c r="P44" s="70"/>
      <c r="R44" s="373"/>
      <c r="S44" s="373"/>
      <c r="T44" s="373"/>
      <c r="U44" s="373"/>
      <c r="V44" s="373"/>
      <c r="W44" s="373"/>
      <c r="X44" s="373"/>
      <c r="Y44" s="373"/>
      <c r="Z44" s="373"/>
      <c r="AA44" s="373"/>
      <c r="AB44" s="373"/>
      <c r="AC44" s="373"/>
      <c r="AD44" s="373"/>
      <c r="AE44" s="373"/>
      <c r="AF44" s="373"/>
      <c r="AG44" s="373"/>
      <c r="AH44" s="373"/>
      <c r="AI44" s="373"/>
      <c r="AJ44" s="373"/>
    </row>
    <row r="45" spans="1:144" s="1" customFormat="1">
      <c r="B45" s="147"/>
      <c r="C45" s="87"/>
      <c r="D45" s="404"/>
      <c r="E45" s="405"/>
      <c r="F45" s="405"/>
      <c r="G45" s="404"/>
      <c r="H45" s="405"/>
      <c r="I45" s="405"/>
      <c r="J45" s="81"/>
      <c r="K45" s="405"/>
      <c r="L45" s="405"/>
      <c r="M45" s="405"/>
      <c r="N45" s="405"/>
      <c r="O45" s="405"/>
      <c r="P45" s="405"/>
      <c r="R45" s="373"/>
      <c r="S45" s="373"/>
      <c r="T45" s="373"/>
      <c r="U45" s="373"/>
      <c r="V45" s="373"/>
      <c r="W45" s="373"/>
      <c r="X45" s="373"/>
      <c r="Y45" s="373"/>
      <c r="Z45" s="373"/>
      <c r="AA45" s="373"/>
      <c r="AB45" s="373"/>
      <c r="AC45" s="373"/>
      <c r="AD45" s="373"/>
      <c r="AE45" s="373"/>
      <c r="AF45" s="373"/>
      <c r="AG45" s="373"/>
      <c r="AH45" s="373"/>
      <c r="AI45" s="373"/>
      <c r="AJ45" s="373"/>
    </row>
    <row r="46" spans="1:144" s="1" customFormat="1">
      <c r="A46" s="359" t="s">
        <v>8</v>
      </c>
      <c r="B46" s="361" t="s">
        <v>0</v>
      </c>
      <c r="C46" s="361" t="s">
        <v>7</v>
      </c>
      <c r="D46" s="404" t="str">
        <f>+D13</f>
        <v>Oct-22</v>
      </c>
      <c r="E46" s="404" t="str">
        <f t="shared" ref="E46:P46" si="5">+E13</f>
        <v>Nov-22</v>
      </c>
      <c r="F46" s="404" t="str">
        <f t="shared" si="5"/>
        <v>Dec-22</v>
      </c>
      <c r="G46" s="404" t="str">
        <f t="shared" si="5"/>
        <v>Jan-23</v>
      </c>
      <c r="H46" s="404" t="str">
        <f t="shared" si="5"/>
        <v>Feb-23</v>
      </c>
      <c r="I46" s="404" t="str">
        <f t="shared" si="5"/>
        <v>Mar-23</v>
      </c>
      <c r="J46" s="404" t="str">
        <f t="shared" si="5"/>
        <v>Apr-23</v>
      </c>
      <c r="K46" s="404" t="str">
        <f t="shared" si="5"/>
        <v>May-23</v>
      </c>
      <c r="L46" s="404" t="str">
        <f t="shared" si="5"/>
        <v>Jun-23</v>
      </c>
      <c r="M46" s="404" t="str">
        <f t="shared" si="5"/>
        <v>Jul-23</v>
      </c>
      <c r="N46" s="404" t="str">
        <f t="shared" si="5"/>
        <v>Aug-23</v>
      </c>
      <c r="O46" s="404" t="str">
        <f t="shared" si="5"/>
        <v>Sep-23</v>
      </c>
      <c r="P46" s="404" t="str">
        <f t="shared" si="5"/>
        <v>TOTAL</v>
      </c>
      <c r="R46" s="373"/>
      <c r="S46" s="373"/>
      <c r="T46" s="373"/>
      <c r="U46" s="373"/>
      <c r="V46" s="373"/>
      <c r="W46" s="373"/>
      <c r="X46" s="373"/>
      <c r="Y46" s="373"/>
      <c r="Z46" s="373"/>
      <c r="AA46" s="373"/>
      <c r="AB46" s="373"/>
      <c r="AC46" s="373"/>
      <c r="AD46" s="373"/>
      <c r="AE46" s="373"/>
      <c r="AF46" s="373"/>
      <c r="AG46" s="373"/>
      <c r="AH46" s="373"/>
      <c r="AI46" s="373"/>
      <c r="AJ46" s="373"/>
    </row>
    <row r="47" spans="1:144" s="1" customFormat="1">
      <c r="B47" s="87"/>
      <c r="C47" s="87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464"/>
      <c r="R47" s="373"/>
      <c r="S47" s="373"/>
      <c r="T47" s="373"/>
      <c r="U47" s="373"/>
      <c r="V47" s="373"/>
      <c r="W47" s="373"/>
      <c r="X47" s="373"/>
      <c r="Y47" s="373"/>
      <c r="Z47" s="373"/>
      <c r="AA47" s="373"/>
      <c r="AB47" s="373"/>
      <c r="AC47" s="373"/>
      <c r="AD47" s="373"/>
      <c r="AE47" s="373"/>
      <c r="AF47" s="373"/>
      <c r="AG47" s="373"/>
      <c r="AH47" s="373"/>
      <c r="AI47" s="373"/>
      <c r="AJ47" s="373"/>
    </row>
    <row r="48" spans="1:144" s="4" customFormat="1" ht="11.25">
      <c r="A48" s="386" t="s">
        <v>9</v>
      </c>
      <c r="B48" s="87" t="s">
        <v>17</v>
      </c>
      <c r="C48" s="99" t="s">
        <v>4</v>
      </c>
      <c r="D48" s="177" cm="1">
        <f t="array" ref="D48">SUMPRODUCT((H_Rate_Class=$B48)*'[5]Demand - D'!D$249:D$358)</f>
        <v>0</v>
      </c>
      <c r="E48" s="177" cm="1">
        <f t="array" ref="E48">SUMPRODUCT((H_Rate_Class=$B48)*'[5]Demand - D'!E$249:E$358)</f>
        <v>0</v>
      </c>
      <c r="F48" s="177" cm="1">
        <f t="array" ref="F48">SUMPRODUCT((H_Rate_Class=$B48)*'[5]Demand - D'!F$249:F$358)</f>
        <v>0</v>
      </c>
      <c r="G48" s="177" cm="1">
        <f t="array" ref="G48">SUMPRODUCT((H_Rate_Class=$B48)*'[5]Demand - D'!G$249:G$358)</f>
        <v>0</v>
      </c>
      <c r="H48" s="177" cm="1">
        <f t="array" ref="H48">SUMPRODUCT((H_Rate_Class=$B48)*'[5]Demand - D'!H$249:H$358)</f>
        <v>0</v>
      </c>
      <c r="I48" s="177" cm="1">
        <f t="array" ref="I48">SUMPRODUCT((H_Rate_Class=$B48)*'[5]Demand - D'!I$249:I$358)</f>
        <v>0</v>
      </c>
      <c r="J48" s="177" cm="1">
        <f t="array" ref="J48">SUMPRODUCT((H_Rate_Class=$B48)*'[5]Demand - D'!J$249:J$358)</f>
        <v>0</v>
      </c>
      <c r="K48" s="177" cm="1">
        <f t="array" ref="K48">SUMPRODUCT((H_Rate_Class=$B48)*'[5]Demand - D'!K$249:K$358)</f>
        <v>0</v>
      </c>
      <c r="L48" s="177" cm="1">
        <f t="array" ref="L48">SUMPRODUCT((H_Rate_Class=$B48)*'[5]Demand - D'!L$249:L$358)</f>
        <v>0</v>
      </c>
      <c r="M48" s="177" cm="1">
        <f t="array" ref="M48">SUMPRODUCT((H_Rate_Class=$B48)*'[5]Demand - D'!M$249:M$358)</f>
        <v>0</v>
      </c>
      <c r="N48" s="177" cm="1">
        <f t="array" ref="N48">SUMPRODUCT((H_Rate_Class=$B48)*'[5]Demand - D'!N$249:N$358)</f>
        <v>0</v>
      </c>
      <c r="O48" s="177" cm="1">
        <f t="array" ref="O48">SUMPRODUCT((H_Rate_Class=$B48)*'[5]Demand - D'!O$249:O$358)</f>
        <v>0</v>
      </c>
      <c r="P48" s="158">
        <f>SUM(D48:O48)</f>
        <v>0</v>
      </c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</row>
    <row r="49" spans="1:144" s="4" customFormat="1" ht="11.25">
      <c r="B49" s="87"/>
      <c r="C49" s="99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58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</row>
    <row r="50" spans="1:144" s="4" customFormat="1" ht="11.25">
      <c r="A50" s="386">
        <v>2</v>
      </c>
      <c r="B50" s="87" t="s">
        <v>20</v>
      </c>
      <c r="C50" s="99" t="s">
        <v>4</v>
      </c>
      <c r="D50" s="177" cm="1">
        <f t="array" ref="D50">SUMPRODUCT((H_Rate_Class=$B50)*'[5]Demand - D'!D$249:D$358)</f>
        <v>0</v>
      </c>
      <c r="E50" s="177" cm="1">
        <f t="array" ref="E50">SUMPRODUCT((H_Rate_Class=$B50)*'[5]Demand - D'!E$249:E$358)</f>
        <v>0</v>
      </c>
      <c r="F50" s="177" cm="1">
        <f t="array" ref="F50">SUMPRODUCT((H_Rate_Class=$B50)*'[5]Demand - D'!F$249:F$358)</f>
        <v>0</v>
      </c>
      <c r="G50" s="177" cm="1">
        <f t="array" ref="G50">SUMPRODUCT((H_Rate_Class=$B50)*'[5]Demand - D'!G$249:G$358)</f>
        <v>0</v>
      </c>
      <c r="H50" s="177" cm="1">
        <f t="array" ref="H50">SUMPRODUCT((H_Rate_Class=$B50)*'[5]Demand - D'!H$249:H$358)</f>
        <v>0</v>
      </c>
      <c r="I50" s="177" cm="1">
        <f t="array" ref="I50">SUMPRODUCT((H_Rate_Class=$B50)*'[5]Demand - D'!I$249:I$358)</f>
        <v>0</v>
      </c>
      <c r="J50" s="177" cm="1">
        <f t="array" ref="J50">SUMPRODUCT((H_Rate_Class=$B50)*'[5]Demand - D'!J$249:J$358)</f>
        <v>0</v>
      </c>
      <c r="K50" s="177" cm="1">
        <f t="array" ref="K50">SUMPRODUCT((H_Rate_Class=$B50)*'[5]Demand - D'!K$249:K$358)</f>
        <v>0</v>
      </c>
      <c r="L50" s="177" cm="1">
        <f t="array" ref="L50">SUMPRODUCT((H_Rate_Class=$B50)*'[5]Demand - D'!L$249:L$358)</f>
        <v>0</v>
      </c>
      <c r="M50" s="177" cm="1">
        <f t="array" ref="M50">SUMPRODUCT((H_Rate_Class=$B50)*'[5]Demand - D'!M$249:M$358)</f>
        <v>0</v>
      </c>
      <c r="N50" s="177" cm="1">
        <f t="array" ref="N50">SUMPRODUCT((H_Rate_Class=$B50)*'[5]Demand - D'!N$249:N$358)</f>
        <v>0</v>
      </c>
      <c r="O50" s="177" cm="1">
        <f t="array" ref="O50">SUMPRODUCT((H_Rate_Class=$B50)*'[5]Demand - D'!O$249:O$358)</f>
        <v>0</v>
      </c>
      <c r="P50" s="158">
        <f>SUM(D50:O50)</f>
        <v>0</v>
      </c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</row>
    <row r="51" spans="1:144" s="4" customFormat="1" ht="11.25">
      <c r="A51" s="386"/>
      <c r="B51" s="87"/>
      <c r="C51" s="99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58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</row>
    <row r="52" spans="1:144" s="4" customFormat="1" ht="11.25">
      <c r="A52" s="386">
        <v>3</v>
      </c>
      <c r="B52" s="87" t="s">
        <v>81</v>
      </c>
      <c r="C52" s="157" t="s">
        <v>4</v>
      </c>
      <c r="D52" s="390" cm="1">
        <f t="array" ref="D52">SUMPRODUCT((H_Rate_Class=$B52)*'[5]Demand - D'!D$249:D$358)</f>
        <v>19023.307953765798</v>
      </c>
      <c r="E52" s="390" cm="1">
        <f t="array" ref="E52">SUMPRODUCT((H_Rate_Class=$B52)*'[5]Demand - D'!E$249:E$358)</f>
        <v>28728.413627965609</v>
      </c>
      <c r="F52" s="390" cm="1">
        <f t="array" ref="F52">SUMPRODUCT((H_Rate_Class=$B52)*'[5]Demand - D'!F$249:F$358)</f>
        <v>-22291.792694537929</v>
      </c>
      <c r="G52" s="390" cm="1">
        <f t="array" ref="G52">SUMPRODUCT((H_Rate_Class=$B52)*'[5]Demand - D'!G$249:G$358)</f>
        <v>-14960.814768688369</v>
      </c>
      <c r="H52" s="390" cm="1">
        <f t="array" ref="H52">SUMPRODUCT((H_Rate_Class=$B52)*'[5]Demand - D'!H$249:H$358)</f>
        <v>331.61155263516662</v>
      </c>
      <c r="I52" s="390" cm="1">
        <f t="array" ref="I52">SUMPRODUCT((H_Rate_Class=$B52)*'[5]Demand - D'!I$249:I$358)</f>
        <v>-88200.074648684749</v>
      </c>
      <c r="J52" s="390" cm="1">
        <f t="array" ref="J52">SUMPRODUCT((H_Rate_Class=$B52)*'[5]Demand - D'!J$249:J$358)</f>
        <v>-37777.325986984535</v>
      </c>
      <c r="K52" s="390" cm="1">
        <f t="array" ref="K52">SUMPRODUCT((H_Rate_Class=$B52)*'[5]Demand - D'!K$249:K$358)</f>
        <v>43431.456552392032</v>
      </c>
      <c r="L52" s="390" cm="1">
        <f t="array" ref="L52">SUMPRODUCT((H_Rate_Class=$B52)*'[5]Demand - D'!L$249:L$358)</f>
        <v>30050.838629909162</v>
      </c>
      <c r="M52" s="390" cm="1">
        <f t="array" ref="M52">SUMPRODUCT((H_Rate_Class=$B52)*'[5]Demand - D'!M$249:M$358)</f>
        <v>-109279.95676090912</v>
      </c>
      <c r="N52" s="390" cm="1">
        <f t="array" ref="N52">SUMPRODUCT((H_Rate_Class=$B52)*'[5]Demand - D'!N$249:N$358)</f>
        <v>-102873.3280968694</v>
      </c>
      <c r="O52" s="390" cm="1">
        <f t="array" ref="O52">SUMPRODUCT((H_Rate_Class=$B52)*'[5]Demand - D'!O$249:O$358)</f>
        <v>-104406.22788733733</v>
      </c>
      <c r="P52" s="158">
        <f>SUM(D52:O52)</f>
        <v>-358223.89252734365</v>
      </c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</row>
    <row r="53" spans="1:144" s="4" customFormat="1" ht="11.25">
      <c r="A53" s="386">
        <v>4</v>
      </c>
      <c r="B53" s="87" t="s">
        <v>85</v>
      </c>
      <c r="C53" s="157" t="s">
        <v>4</v>
      </c>
      <c r="D53" s="388" cm="1">
        <f t="array" ref="D53">SUMPRODUCT((H_Rate_Class=$B53)*'[5]Demand - D'!D$249:D$358)</f>
        <v>2548.737888789974</v>
      </c>
      <c r="E53" s="388" cm="1">
        <f t="array" ref="E53">SUMPRODUCT((H_Rate_Class=$B53)*'[5]Demand - D'!E$249:E$358)</f>
        <v>3116.4213686731873</v>
      </c>
      <c r="F53" s="388" cm="1">
        <f t="array" ref="F53">SUMPRODUCT((H_Rate_Class=$B53)*'[5]Demand - D'!F$249:F$358)</f>
        <v>-1213.4692523713004</v>
      </c>
      <c r="G53" s="388" cm="1">
        <f t="array" ref="G53">SUMPRODUCT((H_Rate_Class=$B53)*'[5]Demand - D'!G$249:G$358)</f>
        <v>-1537.2027302988452</v>
      </c>
      <c r="H53" s="388" cm="1">
        <f t="array" ref="H53">SUMPRODUCT((H_Rate_Class=$B53)*'[5]Demand - D'!H$249:H$358)</f>
        <v>341.89928078381217</v>
      </c>
      <c r="I53" s="388" cm="1">
        <f t="array" ref="I53">SUMPRODUCT((H_Rate_Class=$B53)*'[5]Demand - D'!I$249:I$358)</f>
        <v>-8686.4928319328483</v>
      </c>
      <c r="J53" s="388" cm="1">
        <f t="array" ref="J53">SUMPRODUCT((H_Rate_Class=$B53)*'[5]Demand - D'!J$249:J$358)</f>
        <v>-3189.193195919866</v>
      </c>
      <c r="K53" s="388" cm="1">
        <f t="array" ref="K53">SUMPRODUCT((H_Rate_Class=$B53)*'[5]Demand - D'!K$249:K$358)</f>
        <v>5290.0386972424258</v>
      </c>
      <c r="L53" s="388" cm="1">
        <f t="array" ref="L53">SUMPRODUCT((H_Rate_Class=$B53)*'[5]Demand - D'!L$249:L$358)</f>
        <v>2236.5431176743855</v>
      </c>
      <c r="M53" s="388" cm="1">
        <f t="array" ref="M53">SUMPRODUCT((H_Rate_Class=$B53)*'[5]Demand - D'!M$249:M$358)</f>
        <v>-8247.8972659288702</v>
      </c>
      <c r="N53" s="388" cm="1">
        <f t="array" ref="N53">SUMPRODUCT((H_Rate_Class=$B53)*'[5]Demand - D'!N$249:N$358)</f>
        <v>-6178.5236700433588</v>
      </c>
      <c r="O53" s="388" cm="1">
        <f t="array" ref="O53">SUMPRODUCT((H_Rate_Class=$B53)*'[5]Demand - D'!O$249:O$358)</f>
        <v>-6073.8633632583224</v>
      </c>
      <c r="P53" s="425">
        <f>SUM(D53:O53)</f>
        <v>-21593.001956589625</v>
      </c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</row>
    <row r="54" spans="1:144" s="4" customFormat="1" ht="11.25">
      <c r="A54" s="386">
        <v>5</v>
      </c>
      <c r="B54" s="131" t="s">
        <v>18</v>
      </c>
      <c r="C54" s="99"/>
      <c r="D54" s="177">
        <f t="shared" ref="D54:P54" si="6">SUM(D52:D53)</f>
        <v>21572.045842555774</v>
      </c>
      <c r="E54" s="177">
        <f t="shared" si="6"/>
        <v>31844.834996638798</v>
      </c>
      <c r="F54" s="177">
        <f t="shared" si="6"/>
        <v>-23505.261946909231</v>
      </c>
      <c r="G54" s="177">
        <f t="shared" si="6"/>
        <v>-16498.017498987214</v>
      </c>
      <c r="H54" s="177">
        <f t="shared" si="6"/>
        <v>673.51083341897879</v>
      </c>
      <c r="I54" s="177">
        <f t="shared" si="6"/>
        <v>-96886.567480617596</v>
      </c>
      <c r="J54" s="177">
        <f t="shared" si="6"/>
        <v>-40966.519182904398</v>
      </c>
      <c r="K54" s="177">
        <f t="shared" si="6"/>
        <v>48721.495249634456</v>
      </c>
      <c r="L54" s="177">
        <f t="shared" si="6"/>
        <v>32287.381747583546</v>
      </c>
      <c r="M54" s="177">
        <f t="shared" si="6"/>
        <v>-117527.85402683799</v>
      </c>
      <c r="N54" s="177">
        <f t="shared" si="6"/>
        <v>-109051.85176691276</v>
      </c>
      <c r="O54" s="177">
        <f t="shared" si="6"/>
        <v>-110480.09125059565</v>
      </c>
      <c r="P54" s="177">
        <f t="shared" si="6"/>
        <v>-379816.89448393328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</row>
    <row r="55" spans="1:144" s="4" customFormat="1" ht="11.25">
      <c r="B55" s="147"/>
      <c r="C55" s="99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58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</row>
    <row r="56" spans="1:144" s="4" customFormat="1" ht="11.25">
      <c r="A56" s="386">
        <v>6</v>
      </c>
      <c r="B56" s="87" t="s">
        <v>82</v>
      </c>
      <c r="C56" s="157" t="s">
        <v>5</v>
      </c>
      <c r="D56" s="390" cm="1">
        <f t="array" ref="D56">SUMPRODUCT((H_Rate_Class=$B56)*'[5]Demand - D'!D$249:D$358)</f>
        <v>90.99150921794768</v>
      </c>
      <c r="E56" s="390" cm="1">
        <f t="array" ref="E56">SUMPRODUCT((H_Rate_Class=$B56)*'[5]Demand - D'!E$249:E$358)</f>
        <v>142.73134866209224</v>
      </c>
      <c r="F56" s="390" cm="1">
        <f t="array" ref="F56">SUMPRODUCT((H_Rate_Class=$B56)*'[5]Demand - D'!F$249:F$358)</f>
        <v>-346.37120936956029</v>
      </c>
      <c r="G56" s="390" cm="1">
        <f t="array" ref="G56">SUMPRODUCT((H_Rate_Class=$B56)*'[5]Demand - D'!G$249:G$358)</f>
        <v>-411.55358741998919</v>
      </c>
      <c r="H56" s="390" cm="1">
        <f t="array" ref="H56">SUMPRODUCT((H_Rate_Class=$B56)*'[5]Demand - D'!H$249:H$358)</f>
        <v>-171.36662749852064</v>
      </c>
      <c r="I56" s="390" cm="1">
        <f t="array" ref="I56">SUMPRODUCT((H_Rate_Class=$B56)*'[5]Demand - D'!I$249:I$358)</f>
        <v>-1571.2006265241419</v>
      </c>
      <c r="J56" s="390" cm="1">
        <f t="array" ref="J56">SUMPRODUCT((H_Rate_Class=$B56)*'[5]Demand - D'!J$249:J$358)</f>
        <v>-806.79431879216497</v>
      </c>
      <c r="K56" s="390" cm="1">
        <f t="array" ref="K56">SUMPRODUCT((H_Rate_Class=$B56)*'[5]Demand - D'!K$249:K$358)</f>
        <v>764.01774974853083</v>
      </c>
      <c r="L56" s="390" cm="1">
        <f t="array" ref="L56">SUMPRODUCT((H_Rate_Class=$B56)*'[5]Demand - D'!L$249:L$358)</f>
        <v>113.0799685005102</v>
      </c>
      <c r="M56" s="390" cm="1">
        <f t="array" ref="M56">SUMPRODUCT((H_Rate_Class=$B56)*'[5]Demand - D'!M$249:M$358)</f>
        <v>-1584.4857351141957</v>
      </c>
      <c r="N56" s="390" cm="1">
        <f t="array" ref="N56">SUMPRODUCT((H_Rate_Class=$B56)*'[5]Demand - D'!N$249:N$358)</f>
        <v>-1163.5986249337855</v>
      </c>
      <c r="O56" s="390" cm="1">
        <f t="array" ref="O56">SUMPRODUCT((H_Rate_Class=$B56)*'[5]Demand - D'!O$249:O$358)</f>
        <v>-1070.996892189818</v>
      </c>
      <c r="P56" s="158">
        <f>SUM(D56:O56)</f>
        <v>-6015.547045713095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</row>
    <row r="57" spans="1:144" s="4" customFormat="1" ht="11.25">
      <c r="A57" s="386">
        <v>7</v>
      </c>
      <c r="B57" s="87" t="s">
        <v>83</v>
      </c>
      <c r="C57" s="157" t="s">
        <v>5</v>
      </c>
      <c r="D57" s="390" cm="1">
        <f t="array" ref="D57">SUMPRODUCT((H_Rate_Class=$B57)*'[5]Demand - D'!D$249:D$358)</f>
        <v>1744.5219470791217</v>
      </c>
      <c r="E57" s="390" cm="1">
        <f t="array" ref="E57">SUMPRODUCT((H_Rate_Class=$B57)*'[5]Demand - D'!E$249:E$358)</f>
        <v>2854.3370438834495</v>
      </c>
      <c r="F57" s="390" cm="1">
        <f t="array" ref="F57">SUMPRODUCT((H_Rate_Class=$B57)*'[5]Demand - D'!F$249:F$358)</f>
        <v>-4256.5236648458513</v>
      </c>
      <c r="G57" s="390" cm="1">
        <f t="array" ref="G57">SUMPRODUCT((H_Rate_Class=$B57)*'[5]Demand - D'!G$249:G$358)</f>
        <v>-3997.2764218772463</v>
      </c>
      <c r="H57" s="390" cm="1">
        <f t="array" ref="H57">SUMPRODUCT((H_Rate_Class=$B57)*'[5]Demand - D'!H$249:H$358)</f>
        <v>-819.19437214325433</v>
      </c>
      <c r="I57" s="390" cm="1">
        <f t="array" ref="I57">SUMPRODUCT((H_Rate_Class=$B57)*'[5]Demand - D'!I$249:I$358)</f>
        <v>-15261.741303669327</v>
      </c>
      <c r="J57" s="390" cm="1">
        <f t="array" ref="J57">SUMPRODUCT((H_Rate_Class=$B57)*'[5]Demand - D'!J$249:J$358)</f>
        <v>-6744.3727764613077</v>
      </c>
      <c r="K57" s="390" cm="1">
        <f t="array" ref="K57">SUMPRODUCT((H_Rate_Class=$B57)*'[5]Demand - D'!K$249:K$358)</f>
        <v>5943.9827444642578</v>
      </c>
      <c r="L57" s="390" cm="1">
        <f t="array" ref="L57">SUMPRODUCT((H_Rate_Class=$B57)*'[5]Demand - D'!L$249:L$358)</f>
        <v>2858.4399922957055</v>
      </c>
      <c r="M57" s="390" cm="1">
        <f t="array" ref="M57">SUMPRODUCT((H_Rate_Class=$B57)*'[5]Demand - D'!M$249:M$358)</f>
        <v>-18762.991189667398</v>
      </c>
      <c r="N57" s="390" cm="1">
        <f t="array" ref="N57">SUMPRODUCT((H_Rate_Class=$B57)*'[5]Demand - D'!N$249:N$358)</f>
        <v>-17253.586119261778</v>
      </c>
      <c r="O57" s="390" cm="1">
        <f t="array" ref="O57">SUMPRODUCT((H_Rate_Class=$B57)*'[5]Demand - D'!O$249:O$358)</f>
        <v>-15636.054148812471</v>
      </c>
      <c r="P57" s="158">
        <f>SUM(D57:O57)</f>
        <v>-69330.458269016104</v>
      </c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</row>
    <row r="58" spans="1:144" s="4" customFormat="1" ht="11.25">
      <c r="A58" s="386">
        <v>8</v>
      </c>
      <c r="B58" s="87" t="s">
        <v>148</v>
      </c>
      <c r="C58" s="157" t="s">
        <v>5</v>
      </c>
      <c r="D58" s="390" cm="1">
        <f t="array" ref="D58">SUMPRODUCT((H_Rate_Class=$B58)*'[5]Demand - D'!D$249:D$358)</f>
        <v>0</v>
      </c>
      <c r="E58" s="390" cm="1">
        <f t="array" ref="E58">SUMPRODUCT((H_Rate_Class=$B58)*'[5]Demand - D'!E$249:E$358)</f>
        <v>0</v>
      </c>
      <c r="F58" s="390" cm="1">
        <f t="array" ref="F58">SUMPRODUCT((H_Rate_Class=$B58)*'[5]Demand - D'!F$249:F$358)</f>
        <v>0</v>
      </c>
      <c r="G58" s="390" cm="1">
        <f t="array" ref="G58">SUMPRODUCT((H_Rate_Class=$B58)*'[5]Demand - D'!G$249:G$358)</f>
        <v>0</v>
      </c>
      <c r="H58" s="390" cm="1">
        <f t="array" ref="H58">SUMPRODUCT((H_Rate_Class=$B58)*'[5]Demand - D'!H$249:H$358)</f>
        <v>0</v>
      </c>
      <c r="I58" s="390" cm="1">
        <f t="array" ref="I58">SUMPRODUCT((H_Rate_Class=$B58)*'[5]Demand - D'!I$249:I$358)</f>
        <v>0</v>
      </c>
      <c r="J58" s="390" cm="1">
        <f t="array" ref="J58">SUMPRODUCT((H_Rate_Class=$B58)*'[5]Demand - D'!J$249:J$358)</f>
        <v>0</v>
      </c>
      <c r="K58" s="390" cm="1">
        <f t="array" ref="K58">SUMPRODUCT((H_Rate_Class=$B58)*'[5]Demand - D'!K$249:K$358)</f>
        <v>0</v>
      </c>
      <c r="L58" s="390" cm="1">
        <f t="array" ref="L58">SUMPRODUCT((H_Rate_Class=$B58)*'[5]Demand - D'!L$249:L$358)</f>
        <v>0</v>
      </c>
      <c r="M58" s="390" cm="1">
        <f t="array" ref="M58">SUMPRODUCT((H_Rate_Class=$B58)*'[5]Demand - D'!M$249:M$358)</f>
        <v>0</v>
      </c>
      <c r="N58" s="390" cm="1">
        <f t="array" ref="N58">SUMPRODUCT((H_Rate_Class=$B58)*'[5]Demand - D'!N$249:N$358)</f>
        <v>0</v>
      </c>
      <c r="O58" s="390" cm="1">
        <f t="array" ref="O58">SUMPRODUCT((H_Rate_Class=$B58)*'[5]Demand - D'!O$249:O$358)</f>
        <v>0</v>
      </c>
      <c r="P58" s="158">
        <f t="shared" ref="P58:P59" si="7">SUM(D58:O58)</f>
        <v>0</v>
      </c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</row>
    <row r="59" spans="1:144" s="4" customFormat="1" ht="11.25">
      <c r="A59" s="386">
        <v>9</v>
      </c>
      <c r="B59" s="87" t="s">
        <v>149</v>
      </c>
      <c r="C59" s="157" t="s">
        <v>5</v>
      </c>
      <c r="D59" s="390" cm="1">
        <f t="array" ref="D59">SUMPRODUCT((H_Rate_Class=$B59)*'[5]Demand - D'!D$249:D$358)</f>
        <v>0</v>
      </c>
      <c r="E59" s="390" cm="1">
        <f t="array" ref="E59">SUMPRODUCT((H_Rate_Class=$B59)*'[5]Demand - D'!E$249:E$358)</f>
        <v>0</v>
      </c>
      <c r="F59" s="390" cm="1">
        <f t="array" ref="F59">SUMPRODUCT((H_Rate_Class=$B59)*'[5]Demand - D'!F$249:F$358)</f>
        <v>0</v>
      </c>
      <c r="G59" s="390" cm="1">
        <f t="array" ref="G59">SUMPRODUCT((H_Rate_Class=$B59)*'[5]Demand - D'!G$249:G$358)</f>
        <v>0</v>
      </c>
      <c r="H59" s="390" cm="1">
        <f t="array" ref="H59">SUMPRODUCT((H_Rate_Class=$B59)*'[5]Demand - D'!H$249:H$358)</f>
        <v>0</v>
      </c>
      <c r="I59" s="390" cm="1">
        <f t="array" ref="I59">SUMPRODUCT((H_Rate_Class=$B59)*'[5]Demand - D'!I$249:I$358)</f>
        <v>0</v>
      </c>
      <c r="J59" s="390" cm="1">
        <f t="array" ref="J59">SUMPRODUCT((H_Rate_Class=$B59)*'[5]Demand - D'!J$249:J$358)</f>
        <v>0</v>
      </c>
      <c r="K59" s="390" cm="1">
        <f t="array" ref="K59">SUMPRODUCT((H_Rate_Class=$B59)*'[5]Demand - D'!K$249:K$358)</f>
        <v>0</v>
      </c>
      <c r="L59" s="390" cm="1">
        <f t="array" ref="L59">SUMPRODUCT((H_Rate_Class=$B59)*'[5]Demand - D'!L$249:L$358)</f>
        <v>0</v>
      </c>
      <c r="M59" s="390" cm="1">
        <f t="array" ref="M59">SUMPRODUCT((H_Rate_Class=$B59)*'[5]Demand - D'!M$249:M$358)</f>
        <v>0</v>
      </c>
      <c r="N59" s="390" cm="1">
        <f t="array" ref="N59">SUMPRODUCT((H_Rate_Class=$B59)*'[5]Demand - D'!N$249:N$358)</f>
        <v>0</v>
      </c>
      <c r="O59" s="390" cm="1">
        <f t="array" ref="O59">SUMPRODUCT((H_Rate_Class=$B59)*'[5]Demand - D'!O$249:O$358)</f>
        <v>0</v>
      </c>
      <c r="P59" s="158">
        <f t="shared" si="7"/>
        <v>0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</row>
    <row r="60" spans="1:144" s="4" customFormat="1" ht="11.25">
      <c r="A60" s="386">
        <v>10</v>
      </c>
      <c r="B60" s="87" t="s">
        <v>19</v>
      </c>
      <c r="C60" s="157"/>
      <c r="D60" s="391">
        <f>SUM(D56:D59)</f>
        <v>1835.5134562970693</v>
      </c>
      <c r="E60" s="391">
        <f t="shared" ref="E60:O60" si="8">SUM(E56:E59)</f>
        <v>2997.0683925455419</v>
      </c>
      <c r="F60" s="391">
        <f t="shared" si="8"/>
        <v>-4602.8948742154116</v>
      </c>
      <c r="G60" s="391">
        <f t="shared" si="8"/>
        <v>-4408.8300092972358</v>
      </c>
      <c r="H60" s="391">
        <f t="shared" si="8"/>
        <v>-990.56099964177497</v>
      </c>
      <c r="I60" s="391">
        <f t="shared" si="8"/>
        <v>-16832.941930193469</v>
      </c>
      <c r="J60" s="391">
        <f t="shared" si="8"/>
        <v>-7551.1670952534723</v>
      </c>
      <c r="K60" s="391">
        <f t="shared" si="8"/>
        <v>6708.0004942127889</v>
      </c>
      <c r="L60" s="391">
        <f t="shared" si="8"/>
        <v>2971.5199607962159</v>
      </c>
      <c r="M60" s="391">
        <f t="shared" si="8"/>
        <v>-20347.476924781593</v>
      </c>
      <c r="N60" s="391">
        <f t="shared" si="8"/>
        <v>-18417.184744195562</v>
      </c>
      <c r="O60" s="391">
        <f t="shared" si="8"/>
        <v>-16707.051041002291</v>
      </c>
      <c r="P60" s="391">
        <f>SUM(P56:P57)</f>
        <v>-75346.005314729206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</row>
    <row r="61" spans="1:144" s="4" customFormat="1" ht="11.25">
      <c r="A61" s="386"/>
      <c r="B61" s="87"/>
      <c r="C61" s="15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58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</row>
    <row r="62" spans="1:144" s="4" customFormat="1" ht="11.25">
      <c r="A62" s="386">
        <v>11</v>
      </c>
      <c r="B62" s="131" t="s">
        <v>86</v>
      </c>
      <c r="C62" s="157" t="s">
        <v>6</v>
      </c>
      <c r="D62" s="177" cm="1">
        <f t="array" ref="D62">SUMPRODUCT((H_Rate_Class=$B62)*'[5]Demand - D'!D$249:D$358)</f>
        <v>-242.57126916171373</v>
      </c>
      <c r="E62" s="177" cm="1">
        <f t="array" ref="E62">SUMPRODUCT((H_Rate_Class=$B62)*'[5]Demand - D'!E$249:E$358)</f>
        <v>-229.12066477347926</v>
      </c>
      <c r="F62" s="177" cm="1">
        <f t="array" ref="F62">SUMPRODUCT((H_Rate_Class=$B62)*'[5]Demand - D'!F$249:F$358)</f>
        <v>-210.77994955223409</v>
      </c>
      <c r="G62" s="177" cm="1">
        <f t="array" ref="G62">SUMPRODUCT((H_Rate_Class=$B62)*'[5]Demand - D'!G$249:G$358)</f>
        <v>-235.81150992304876</v>
      </c>
      <c r="H62" s="177" cm="1">
        <f t="array" ref="H62">SUMPRODUCT((H_Rate_Class=$B62)*'[5]Demand - D'!H$249:H$358)</f>
        <v>-116.77510475631513</v>
      </c>
      <c r="I62" s="177" cm="1">
        <f t="array" ref="I62">SUMPRODUCT((H_Rate_Class=$B62)*'[5]Demand - D'!I$249:I$358)</f>
        <v>-307.31908046770297</v>
      </c>
      <c r="J62" s="177" cm="1">
        <f t="array" ref="J62">SUMPRODUCT((H_Rate_Class=$B62)*'[5]Demand - D'!J$249:J$358)</f>
        <v>-270.71554329226996</v>
      </c>
      <c r="K62" s="177" cm="1">
        <f t="array" ref="K62">SUMPRODUCT((H_Rate_Class=$B62)*'[5]Demand - D'!K$249:K$358)</f>
        <v>-265.41997662873109</v>
      </c>
      <c r="L62" s="177" cm="1">
        <f t="array" ref="L62">SUMPRODUCT((H_Rate_Class=$B62)*'[5]Demand - D'!L$249:L$358)</f>
        <v>-271.01518479980649</v>
      </c>
      <c r="M62" s="177" cm="1">
        <f t="array" ref="M62">SUMPRODUCT((H_Rate_Class=$B62)*'[5]Demand - D'!M$249:M$358)</f>
        <v>-279.08580869216962</v>
      </c>
      <c r="N62" s="177" cm="1">
        <f t="array" ref="N62">SUMPRODUCT((H_Rate_Class=$B62)*'[5]Demand - D'!N$249:N$358)</f>
        <v>-297.89425180081582</v>
      </c>
      <c r="O62" s="177" cm="1">
        <f t="array" ref="O62">SUMPRODUCT((H_Rate_Class=$B62)*'[5]Demand - D'!O$249:O$358)</f>
        <v>-284.23061802486558</v>
      </c>
      <c r="P62" s="158">
        <f>SUM(D62:O62)</f>
        <v>-3010.7389618731522</v>
      </c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</row>
    <row r="63" spans="1:144" s="4" customFormat="1" ht="11.25">
      <c r="B63" s="87"/>
      <c r="C63" s="99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58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</row>
    <row r="64" spans="1:144" s="4" customFormat="1" ht="11.25">
      <c r="A64" s="386">
        <v>12</v>
      </c>
      <c r="B64" s="89" t="s">
        <v>21</v>
      </c>
      <c r="C64" s="157" t="s">
        <v>4</v>
      </c>
      <c r="D64" s="177" cm="1">
        <f t="array" ref="D64">SUMPRODUCT((H_Rate_Class=$B64)*'[5]Demand - D'!D$249:D$358)</f>
        <v>0</v>
      </c>
      <c r="E64" s="177" cm="1">
        <f t="array" ref="E64">SUMPRODUCT((H_Rate_Class=$B64)*'[5]Demand - D'!E$249:E$358)</f>
        <v>0</v>
      </c>
      <c r="F64" s="177" cm="1">
        <f t="array" ref="F64">SUMPRODUCT((H_Rate_Class=$B64)*'[5]Demand - D'!F$249:F$358)</f>
        <v>0</v>
      </c>
      <c r="G64" s="177" cm="1">
        <f t="array" ref="G64">SUMPRODUCT((H_Rate_Class=$B64)*'[5]Demand - D'!G$249:G$358)</f>
        <v>0</v>
      </c>
      <c r="H64" s="177" cm="1">
        <f t="array" ref="H64">SUMPRODUCT((H_Rate_Class=$B64)*'[5]Demand - D'!H$249:H$358)</f>
        <v>0</v>
      </c>
      <c r="I64" s="177" cm="1">
        <f t="array" ref="I64">SUMPRODUCT((H_Rate_Class=$B64)*'[5]Demand - D'!I$249:I$358)</f>
        <v>0</v>
      </c>
      <c r="J64" s="177" cm="1">
        <f t="array" ref="J64">SUMPRODUCT((H_Rate_Class=$B64)*'[5]Demand - D'!J$249:J$358)</f>
        <v>0</v>
      </c>
      <c r="K64" s="177" cm="1">
        <f t="array" ref="K64">SUMPRODUCT((H_Rate_Class=$B64)*'[5]Demand - D'!K$249:K$358)</f>
        <v>0</v>
      </c>
      <c r="L64" s="177" cm="1">
        <f t="array" ref="L64">SUMPRODUCT((H_Rate_Class=$B64)*'[5]Demand - D'!L$249:L$358)</f>
        <v>0</v>
      </c>
      <c r="M64" s="177" cm="1">
        <f t="array" ref="M64">SUMPRODUCT((H_Rate_Class=$B64)*'[5]Demand - D'!M$249:M$358)</f>
        <v>0</v>
      </c>
      <c r="N64" s="177" cm="1">
        <f t="array" ref="N64">SUMPRODUCT((H_Rate_Class=$B64)*'[5]Demand - D'!N$249:N$358)</f>
        <v>0</v>
      </c>
      <c r="O64" s="177" cm="1">
        <f t="array" ref="O64">SUMPRODUCT((H_Rate_Class=$B64)*'[5]Demand - D'!O$249:O$358)</f>
        <v>0</v>
      </c>
      <c r="P64" s="158">
        <f>SUM(D64:O64)</f>
        <v>0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</row>
    <row r="65" spans="1:144" s="4" customFormat="1" ht="11.25">
      <c r="A65" s="386"/>
      <c r="B65" s="87"/>
      <c r="C65" s="99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58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</row>
    <row r="66" spans="1:144" s="4" customFormat="1" ht="11.25">
      <c r="A66" s="386">
        <v>13</v>
      </c>
      <c r="B66" s="393" t="s">
        <v>22</v>
      </c>
      <c r="C66" s="362"/>
      <c r="D66" s="394">
        <f t="shared" ref="D66:N66" si="9">D64+D62+D60+D54+D50+D48</f>
        <v>23164.988029691129</v>
      </c>
      <c r="E66" s="394">
        <f t="shared" si="9"/>
        <v>34612.782724410863</v>
      </c>
      <c r="F66" s="394">
        <f t="shared" si="9"/>
        <v>-28318.936770676875</v>
      </c>
      <c r="G66" s="394">
        <f t="shared" si="9"/>
        <v>-21142.659018207498</v>
      </c>
      <c r="H66" s="394">
        <f t="shared" si="9"/>
        <v>-433.82527097911134</v>
      </c>
      <c r="I66" s="394">
        <f t="shared" si="9"/>
        <v>-114026.82849127876</v>
      </c>
      <c r="J66" s="394">
        <f t="shared" si="9"/>
        <v>-48788.401821450141</v>
      </c>
      <c r="K66" s="394">
        <f t="shared" si="9"/>
        <v>55164.075767218514</v>
      </c>
      <c r="L66" s="394">
        <f t="shared" si="9"/>
        <v>34987.886523579953</v>
      </c>
      <c r="M66" s="394">
        <f t="shared" si="9"/>
        <v>-138154.41676031175</v>
      </c>
      <c r="N66" s="394">
        <f t="shared" si="9"/>
        <v>-127766.93076290913</v>
      </c>
      <c r="O66" s="394">
        <f>O64+O62+O60+O54+O50+O48</f>
        <v>-127471.37290962281</v>
      </c>
      <c r="P66" s="394">
        <f>P64+P62+P60+P54+P50+P48</f>
        <v>-458173.63876053563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</row>
    <row r="67" spans="1:144" s="4" customFormat="1" ht="11.25">
      <c r="B67" s="362"/>
      <c r="C67" s="362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58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</row>
    <row r="68" spans="1:144" s="4" customFormat="1" ht="11.25">
      <c r="A68" s="386">
        <v>14</v>
      </c>
      <c r="B68" s="89" t="s">
        <v>69</v>
      </c>
      <c r="C68" s="157" t="s">
        <v>5</v>
      </c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58">
        <f>SUM(D68:O68)</f>
        <v>0</v>
      </c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</row>
    <row r="69" spans="1:144" s="4" customFormat="1" ht="11.25">
      <c r="A69" s="386">
        <v>15</v>
      </c>
      <c r="B69" s="89" t="s">
        <v>70</v>
      </c>
      <c r="C69" s="157" t="s">
        <v>6</v>
      </c>
      <c r="D69" s="388"/>
      <c r="E69" s="388"/>
      <c r="F69" s="388"/>
      <c r="G69" s="388"/>
      <c r="H69" s="388"/>
      <c r="I69" s="388"/>
      <c r="J69" s="388"/>
      <c r="K69" s="388"/>
      <c r="L69" s="388"/>
      <c r="M69" s="388"/>
      <c r="N69" s="388"/>
      <c r="O69" s="388"/>
      <c r="P69" s="425">
        <f>SUM(D69:O69)</f>
        <v>0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</row>
    <row r="70" spans="1:144" s="4" customFormat="1" ht="11.25">
      <c r="A70" s="386">
        <v>16</v>
      </c>
      <c r="B70" s="393" t="s">
        <v>23</v>
      </c>
      <c r="C70" s="361"/>
      <c r="D70" s="101">
        <f t="shared" ref="D70:P70" si="10">SUM(D68:D69)</f>
        <v>0</v>
      </c>
      <c r="E70" s="101">
        <f t="shared" si="10"/>
        <v>0</v>
      </c>
      <c r="F70" s="101">
        <f t="shared" si="10"/>
        <v>0</v>
      </c>
      <c r="G70" s="101">
        <f t="shared" si="10"/>
        <v>0</v>
      </c>
      <c r="H70" s="101">
        <f t="shared" si="10"/>
        <v>0</v>
      </c>
      <c r="I70" s="101">
        <f t="shared" si="10"/>
        <v>0</v>
      </c>
      <c r="J70" s="101">
        <f t="shared" si="10"/>
        <v>0</v>
      </c>
      <c r="K70" s="101">
        <f t="shared" si="10"/>
        <v>0</v>
      </c>
      <c r="L70" s="101">
        <f t="shared" si="10"/>
        <v>0</v>
      </c>
      <c r="M70" s="101">
        <f t="shared" si="10"/>
        <v>0</v>
      </c>
      <c r="N70" s="101">
        <f t="shared" si="10"/>
        <v>0</v>
      </c>
      <c r="O70" s="101">
        <f t="shared" si="10"/>
        <v>0</v>
      </c>
      <c r="P70" s="101">
        <f t="shared" si="10"/>
        <v>0</v>
      </c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</row>
    <row r="71" spans="1:144" s="4" customFormat="1" ht="11.25">
      <c r="A71" s="386"/>
      <c r="B71" s="87"/>
      <c r="C71" s="396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58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</row>
    <row r="72" spans="1:144" s="4" customFormat="1" ht="12" thickBot="1">
      <c r="A72" s="386">
        <v>17</v>
      </c>
      <c r="B72" s="147" t="s">
        <v>92</v>
      </c>
      <c r="C72" s="361"/>
      <c r="D72" s="397">
        <f t="shared" ref="D72:P72" si="11">+D70+D66</f>
        <v>23164.988029691129</v>
      </c>
      <c r="E72" s="397">
        <f t="shared" si="11"/>
        <v>34612.782724410863</v>
      </c>
      <c r="F72" s="397">
        <f t="shared" si="11"/>
        <v>-28318.936770676875</v>
      </c>
      <c r="G72" s="397">
        <f t="shared" si="11"/>
        <v>-21142.659018207498</v>
      </c>
      <c r="H72" s="397">
        <f t="shared" si="11"/>
        <v>-433.82527097911134</v>
      </c>
      <c r="I72" s="397">
        <f t="shared" si="11"/>
        <v>-114026.82849127876</v>
      </c>
      <c r="J72" s="397">
        <f t="shared" si="11"/>
        <v>-48788.401821450141</v>
      </c>
      <c r="K72" s="397">
        <f t="shared" si="11"/>
        <v>55164.075767218514</v>
      </c>
      <c r="L72" s="397">
        <f t="shared" si="11"/>
        <v>34987.886523579953</v>
      </c>
      <c r="M72" s="397">
        <f t="shared" si="11"/>
        <v>-138154.41676031175</v>
      </c>
      <c r="N72" s="397">
        <f t="shared" si="11"/>
        <v>-127766.93076290913</v>
      </c>
      <c r="O72" s="397">
        <f t="shared" si="11"/>
        <v>-127471.37290962281</v>
      </c>
      <c r="P72" s="397">
        <f t="shared" si="11"/>
        <v>-458173.63876053563</v>
      </c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</row>
    <row r="73" spans="1:144" s="1" customFormat="1" ht="31.5" customHeight="1" thickTop="1">
      <c r="B73" s="172" t="str">
        <f>+B8</f>
        <v>AEP TEXAS</v>
      </c>
      <c r="C73" s="172"/>
      <c r="D73" s="173"/>
      <c r="E73" s="173"/>
      <c r="F73" s="173"/>
      <c r="G73" s="173"/>
      <c r="H73" s="173"/>
      <c r="I73" s="469"/>
      <c r="J73" s="469"/>
      <c r="K73" s="469"/>
      <c r="L73" s="469"/>
      <c r="M73" s="469"/>
      <c r="N73" s="469"/>
      <c r="O73" s="173"/>
      <c r="P73" s="427"/>
      <c r="Q73" s="23"/>
      <c r="R73" s="485"/>
      <c r="S73" s="485"/>
      <c r="T73" s="373"/>
      <c r="U73" s="373"/>
      <c r="V73" s="373"/>
      <c r="W73" s="373"/>
      <c r="X73" s="373"/>
      <c r="Y73" s="373"/>
      <c r="Z73" s="373"/>
      <c r="AA73" s="373"/>
      <c r="AB73" s="373"/>
      <c r="AC73" s="373"/>
      <c r="AD73" s="373"/>
      <c r="AE73" s="373"/>
      <c r="AF73" s="373"/>
      <c r="AG73" s="373"/>
      <c r="AH73" s="373"/>
      <c r="AI73" s="373"/>
      <c r="AJ73" s="373"/>
    </row>
    <row r="74" spans="1:144" s="70" customFormat="1">
      <c r="B74" s="172" t="s">
        <v>11</v>
      </c>
      <c r="C74" s="80"/>
      <c r="D74" s="82"/>
      <c r="E74" s="82"/>
      <c r="F74" s="82"/>
      <c r="G74" s="82"/>
      <c r="H74" s="82"/>
      <c r="I74" s="468"/>
      <c r="J74" s="468"/>
      <c r="K74" s="468"/>
      <c r="L74" s="468"/>
      <c r="M74" s="468"/>
      <c r="N74" s="468"/>
      <c r="O74" s="82"/>
      <c r="P74" s="468" t="s">
        <v>1</v>
      </c>
      <c r="Q74" s="470"/>
      <c r="R74" s="470"/>
      <c r="S74" s="470"/>
    </row>
    <row r="75" spans="1:144">
      <c r="B75" s="371" t="str">
        <f>+B10</f>
        <v>FOR TEST YEAR ENDED SEPTEMBER 30, 2023</v>
      </c>
      <c r="C75" s="371"/>
      <c r="D75" s="371"/>
      <c r="E75" s="371"/>
      <c r="F75" s="371"/>
      <c r="G75" s="371"/>
      <c r="H75" s="371"/>
      <c r="I75" s="371"/>
      <c r="J75" s="371"/>
      <c r="K75" s="371"/>
      <c r="L75" s="371"/>
      <c r="M75" s="371"/>
      <c r="N75" s="371"/>
      <c r="O75" s="371"/>
      <c r="P75" s="70"/>
      <c r="Q75" s="485"/>
      <c r="R75" s="485"/>
      <c r="S75" s="485"/>
    </row>
    <row r="76" spans="1:144"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1"/>
      <c r="P76" s="70"/>
      <c r="Q76" s="485"/>
      <c r="R76" s="485"/>
      <c r="S76" s="485"/>
    </row>
    <row r="77" spans="1:144">
      <c r="B77" s="147"/>
      <c r="C77" s="87"/>
      <c r="D77" s="404"/>
      <c r="E77" s="404"/>
      <c r="F77" s="404"/>
      <c r="G77" s="404"/>
      <c r="H77" s="404"/>
      <c r="I77" s="405"/>
      <c r="J77" s="457"/>
      <c r="K77" s="405"/>
      <c r="L77" s="405"/>
      <c r="M77" s="405"/>
      <c r="N77" s="405"/>
      <c r="O77" s="405"/>
      <c r="P77" s="405"/>
      <c r="Q77" s="485"/>
      <c r="R77" s="485"/>
      <c r="S77" s="485"/>
    </row>
    <row r="78" spans="1:144" s="1" customFormat="1">
      <c r="A78" s="10" t="s">
        <v>8</v>
      </c>
      <c r="B78" s="361" t="s">
        <v>0</v>
      </c>
      <c r="C78" s="361" t="s">
        <v>7</v>
      </c>
      <c r="D78" s="404" t="str">
        <f>+D13</f>
        <v>Oct-22</v>
      </c>
      <c r="E78" s="404" t="str">
        <f t="shared" ref="E78:O78" si="12">+E13</f>
        <v>Nov-22</v>
      </c>
      <c r="F78" s="404" t="str">
        <f t="shared" si="12"/>
        <v>Dec-22</v>
      </c>
      <c r="G78" s="404" t="str">
        <f t="shared" si="12"/>
        <v>Jan-23</v>
      </c>
      <c r="H78" s="404" t="str">
        <f t="shared" si="12"/>
        <v>Feb-23</v>
      </c>
      <c r="I78" s="404" t="str">
        <f t="shared" si="12"/>
        <v>Mar-23</v>
      </c>
      <c r="J78" s="404" t="str">
        <f t="shared" si="12"/>
        <v>Apr-23</v>
      </c>
      <c r="K78" s="404" t="str">
        <f t="shared" si="12"/>
        <v>May-23</v>
      </c>
      <c r="L78" s="404" t="str">
        <f t="shared" si="12"/>
        <v>Jun-23</v>
      </c>
      <c r="M78" s="404" t="str">
        <f t="shared" si="12"/>
        <v>Jul-23</v>
      </c>
      <c r="N78" s="404" t="str">
        <f t="shared" si="12"/>
        <v>Aug-23</v>
      </c>
      <c r="O78" s="404" t="str">
        <f t="shared" si="12"/>
        <v>Sep-23</v>
      </c>
      <c r="P78" s="406" t="s">
        <v>2</v>
      </c>
      <c r="Q78" s="23"/>
      <c r="R78" s="485"/>
      <c r="S78" s="485"/>
      <c r="T78" s="373"/>
      <c r="U78" s="373"/>
      <c r="V78" s="373"/>
      <c r="W78" s="373"/>
      <c r="X78" s="373"/>
      <c r="Y78" s="373"/>
      <c r="Z78" s="373"/>
      <c r="AA78" s="373"/>
      <c r="AB78" s="373"/>
      <c r="AC78" s="373"/>
      <c r="AD78" s="373"/>
      <c r="AE78" s="373"/>
      <c r="AF78" s="373"/>
      <c r="AG78" s="373"/>
      <c r="AH78" s="373"/>
      <c r="AI78" s="373"/>
      <c r="AJ78" s="373"/>
    </row>
    <row r="79" spans="1:144" s="1" customFormat="1">
      <c r="B79" s="361"/>
      <c r="C79" s="361"/>
      <c r="D79" s="174"/>
      <c r="E79" s="174"/>
      <c r="F79" s="174"/>
      <c r="G79" s="174"/>
      <c r="H79" s="174"/>
      <c r="I79" s="463"/>
      <c r="J79" s="463"/>
      <c r="K79" s="463"/>
      <c r="L79" s="463"/>
      <c r="M79" s="463"/>
      <c r="N79" s="463"/>
      <c r="O79" s="174"/>
      <c r="P79" s="463"/>
      <c r="Q79" s="23"/>
      <c r="R79" s="485"/>
      <c r="S79" s="485"/>
      <c r="T79" s="373"/>
      <c r="U79" s="373"/>
      <c r="V79" s="373"/>
      <c r="W79" s="373"/>
      <c r="X79" s="373"/>
      <c r="Y79" s="373"/>
      <c r="Z79" s="373"/>
      <c r="AA79" s="373"/>
      <c r="AB79" s="373"/>
      <c r="AC79" s="373"/>
      <c r="AD79" s="373"/>
      <c r="AE79" s="373"/>
      <c r="AF79" s="373"/>
      <c r="AG79" s="373"/>
      <c r="AH79" s="373"/>
      <c r="AI79" s="373"/>
      <c r="AJ79" s="373"/>
    </row>
    <row r="80" spans="1:144" s="4" customFormat="1" ht="11.25">
      <c r="A80" s="386" t="s">
        <v>9</v>
      </c>
      <c r="B80" s="87" t="s">
        <v>17</v>
      </c>
      <c r="C80" s="99" t="s">
        <v>4</v>
      </c>
      <c r="D80" s="177" cm="1">
        <f t="array" ref="D80">SUMPRODUCT((H_Rate_Class=$B80)*'[5]Demand - D'!D$129:D$238)</f>
        <v>0</v>
      </c>
      <c r="E80" s="177" cm="1">
        <f t="array" ref="E80">SUMPRODUCT((H_Rate_Class=$B80)*'[5]Demand - D'!E$129:E$238)</f>
        <v>0</v>
      </c>
      <c r="F80" s="177" cm="1">
        <f t="array" ref="F80">SUMPRODUCT((H_Rate_Class=$B80)*'[5]Demand - D'!F$129:F$238)</f>
        <v>0</v>
      </c>
      <c r="G80" s="177" cm="1">
        <f t="array" ref="G80">SUMPRODUCT((H_Rate_Class=$B80)*'[5]Demand - D'!G$129:G$238)</f>
        <v>0</v>
      </c>
      <c r="H80" s="177" cm="1">
        <f t="array" ref="H80">SUMPRODUCT((H_Rate_Class=$B80)*'[5]Demand - D'!H$129:H$238)</f>
        <v>0</v>
      </c>
      <c r="I80" s="177" cm="1">
        <f t="array" ref="I80">SUMPRODUCT((H_Rate_Class=$B80)*'[5]Demand - D'!I$129:I$238)</f>
        <v>0</v>
      </c>
      <c r="J80" s="177" cm="1">
        <f t="array" ref="J80">SUMPRODUCT((H_Rate_Class=$B80)*'[5]Demand - D'!J$129:J$238)</f>
        <v>0</v>
      </c>
      <c r="K80" s="177" cm="1">
        <f t="array" ref="K80">SUMPRODUCT((H_Rate_Class=$B80)*'[5]Demand - D'!K$129:K$238)</f>
        <v>0</v>
      </c>
      <c r="L80" s="177" cm="1">
        <f t="array" ref="L80">SUMPRODUCT((H_Rate_Class=$B80)*'[5]Demand - D'!L$129:L$238)</f>
        <v>0</v>
      </c>
      <c r="M80" s="177" cm="1">
        <f t="array" ref="M80">SUMPRODUCT((H_Rate_Class=$B80)*'[5]Demand - D'!M$129:M$238)</f>
        <v>0</v>
      </c>
      <c r="N80" s="177" cm="1">
        <f t="array" ref="N80">SUMPRODUCT((H_Rate_Class=$B80)*'[5]Demand - D'!N$129:N$238)</f>
        <v>0</v>
      </c>
      <c r="O80" s="177" cm="1">
        <f t="array" ref="O80">SUMPRODUCT((H_Rate_Class=$B80)*'[5]Demand - D'!O$129:O$238)</f>
        <v>0</v>
      </c>
      <c r="P80" s="158">
        <f>SUM(D80:O80)</f>
        <v>0</v>
      </c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</row>
    <row r="81" spans="1:144" s="4" customFormat="1" ht="11.25">
      <c r="B81" s="87"/>
      <c r="C81" s="99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58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</row>
    <row r="82" spans="1:144" s="4" customFormat="1" ht="11.25">
      <c r="A82" s="386">
        <v>2</v>
      </c>
      <c r="B82" s="87" t="s">
        <v>20</v>
      </c>
      <c r="C82" s="99" t="s">
        <v>4</v>
      </c>
      <c r="D82" s="177" cm="1">
        <f t="array" ref="D82">SUMPRODUCT((H_Rate_Class=$B82)*'[5]Demand - D'!D$129:D$238)</f>
        <v>0</v>
      </c>
      <c r="E82" s="177" cm="1">
        <f t="array" ref="E82">SUMPRODUCT((H_Rate_Class=$B82)*'[5]Demand - D'!E$129:E$238)</f>
        <v>0</v>
      </c>
      <c r="F82" s="177" cm="1">
        <f t="array" ref="F82">SUMPRODUCT((H_Rate_Class=$B82)*'[5]Demand - D'!F$129:F$238)</f>
        <v>0</v>
      </c>
      <c r="G82" s="177" cm="1">
        <f t="array" ref="G82">SUMPRODUCT((H_Rate_Class=$B82)*'[5]Demand - D'!G$129:G$238)</f>
        <v>0</v>
      </c>
      <c r="H82" s="177" cm="1">
        <f t="array" ref="H82">SUMPRODUCT((H_Rate_Class=$B82)*'[5]Demand - D'!H$129:H$238)</f>
        <v>0</v>
      </c>
      <c r="I82" s="177" cm="1">
        <f t="array" ref="I82">SUMPRODUCT((H_Rate_Class=$B82)*'[5]Demand - D'!I$129:I$238)</f>
        <v>0</v>
      </c>
      <c r="J82" s="177" cm="1">
        <f t="array" ref="J82">SUMPRODUCT((H_Rate_Class=$B82)*'[5]Demand - D'!J$129:J$238)</f>
        <v>0</v>
      </c>
      <c r="K82" s="177" cm="1">
        <f t="array" ref="K82">SUMPRODUCT((H_Rate_Class=$B82)*'[5]Demand - D'!K$129:K$238)</f>
        <v>0</v>
      </c>
      <c r="L82" s="177" cm="1">
        <f t="array" ref="L82">SUMPRODUCT((H_Rate_Class=$B82)*'[5]Demand - D'!L$129:L$238)</f>
        <v>0</v>
      </c>
      <c r="M82" s="177" cm="1">
        <f t="array" ref="M82">SUMPRODUCT((H_Rate_Class=$B82)*'[5]Demand - D'!M$129:M$238)</f>
        <v>0</v>
      </c>
      <c r="N82" s="177" cm="1">
        <f t="array" ref="N82">SUMPRODUCT((H_Rate_Class=$B82)*'[5]Demand - D'!N$129:N$238)</f>
        <v>0</v>
      </c>
      <c r="O82" s="177" cm="1">
        <f t="array" ref="O82">SUMPRODUCT((H_Rate_Class=$B82)*'[5]Demand - D'!O$129:O$238)</f>
        <v>0</v>
      </c>
      <c r="P82" s="158">
        <f>SUM(D82:O82)</f>
        <v>0</v>
      </c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</row>
    <row r="83" spans="1:144" s="4" customFormat="1" ht="11.25">
      <c r="A83" s="386"/>
      <c r="B83" s="87"/>
      <c r="C83" s="99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58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</row>
    <row r="84" spans="1:144" s="4" customFormat="1" ht="11.25">
      <c r="A84" s="386">
        <v>3</v>
      </c>
      <c r="B84" s="87" t="s">
        <v>81</v>
      </c>
      <c r="C84" s="157" t="s">
        <v>4</v>
      </c>
      <c r="D84" s="177" cm="1">
        <f t="array" ref="D84">SUMPRODUCT((H_Rate_Class=$B84)*'[5]Demand - D'!D$129:D$238)</f>
        <v>44499.610806925899</v>
      </c>
      <c r="E84" s="177" cm="1">
        <f t="array" ref="E84">SUMPRODUCT((H_Rate_Class=$B84)*'[5]Demand - D'!E$129:E$238)</f>
        <v>49098.101876427929</v>
      </c>
      <c r="F84" s="177" cm="1">
        <f t="array" ref="F84">SUMPRODUCT((H_Rate_Class=$B84)*'[5]Demand - D'!F$129:F$238)</f>
        <v>46499.413858581029</v>
      </c>
      <c r="G84" s="177" cm="1">
        <f t="array" ref="G84">SUMPRODUCT((H_Rate_Class=$B84)*'[5]Demand - D'!G$129:G$238)</f>
        <v>10277.634791066897</v>
      </c>
      <c r="H84" s="177" cm="1">
        <f t="array" ref="H84">SUMPRODUCT((H_Rate_Class=$B84)*'[5]Demand - D'!H$129:H$238)</f>
        <v>-6264.7842013525787</v>
      </c>
      <c r="I84" s="177" cm="1">
        <f t="array" ref="I84">SUMPRODUCT((H_Rate_Class=$B84)*'[5]Demand - D'!I$129:I$238)</f>
        <v>-7263.9207402458833</v>
      </c>
      <c r="J84" s="177" cm="1">
        <f t="array" ref="J84">SUMPRODUCT((H_Rate_Class=$B84)*'[5]Demand - D'!J$129:J$238)</f>
        <v>10583.232819883671</v>
      </c>
      <c r="K84" s="177" cm="1">
        <f t="array" ref="K84">SUMPRODUCT((H_Rate_Class=$B84)*'[5]Demand - D'!K$129:K$238)</f>
        <v>8457.8585451771778</v>
      </c>
      <c r="L84" s="177" cm="1">
        <f t="array" ref="L84">SUMPRODUCT((H_Rate_Class=$B84)*'[5]Demand - D'!L$129:L$238)</f>
        <v>5308.665600564138</v>
      </c>
      <c r="M84" s="177" cm="1">
        <f t="array" ref="M84">SUMPRODUCT((H_Rate_Class=$B84)*'[5]Demand - D'!M$129:M$238)</f>
        <v>2950.4642742227579</v>
      </c>
      <c r="N84" s="177" cm="1">
        <f t="array" ref="N84">SUMPRODUCT((H_Rate_Class=$B84)*'[5]Demand - D'!N$129:N$238)</f>
        <v>-3930.9980493087314</v>
      </c>
      <c r="O84" s="177" cm="1">
        <f t="array" ref="O84">SUMPRODUCT((H_Rate_Class=$B84)*'[5]Demand - D'!O$129:O$238)</f>
        <v>0</v>
      </c>
      <c r="P84" s="158">
        <f>SUM(D84:O84)</f>
        <v>160215.27958194233</v>
      </c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</row>
    <row r="85" spans="1:144" s="4" customFormat="1" ht="11.25">
      <c r="A85" s="386">
        <v>4</v>
      </c>
      <c r="B85" s="87" t="s">
        <v>85</v>
      </c>
      <c r="C85" s="157" t="s">
        <v>4</v>
      </c>
      <c r="D85" s="388" cm="1">
        <f t="array" ref="D85">SUMPRODUCT((H_Rate_Class=$B85)*'[5]Demand - D'!D$129:D$238)</f>
        <v>11112.458602369874</v>
      </c>
      <c r="E85" s="388" cm="1">
        <f t="array" ref="E85">SUMPRODUCT((H_Rate_Class=$B85)*'[5]Demand - D'!E$129:E$238)</f>
        <v>5935.5028876669439</v>
      </c>
      <c r="F85" s="388" cm="1">
        <f t="array" ref="F85">SUMPRODUCT((H_Rate_Class=$B85)*'[5]Demand - D'!F$129:F$238)</f>
        <v>5796.5820870638427</v>
      </c>
      <c r="G85" s="388" cm="1">
        <f t="array" ref="G85">SUMPRODUCT((H_Rate_Class=$B85)*'[5]Demand - D'!G$129:G$238)</f>
        <v>6470.9326808116402</v>
      </c>
      <c r="H85" s="388" cm="1">
        <f t="array" ref="H85">SUMPRODUCT((H_Rate_Class=$B85)*'[5]Demand - D'!H$129:H$238)</f>
        <v>4953.818626206159</v>
      </c>
      <c r="I85" s="388" cm="1">
        <f t="array" ref="I85">SUMPRODUCT((H_Rate_Class=$B85)*'[5]Demand - D'!I$129:I$238)</f>
        <v>3125.4689782081</v>
      </c>
      <c r="J85" s="388" cm="1">
        <f t="array" ref="J85">SUMPRODUCT((H_Rate_Class=$B85)*'[5]Demand - D'!J$129:J$238)</f>
        <v>2055.471621987379</v>
      </c>
      <c r="K85" s="388" cm="1">
        <f t="array" ref="K85">SUMPRODUCT((H_Rate_Class=$B85)*'[5]Demand - D'!K$129:K$238)</f>
        <v>76.554966621461062</v>
      </c>
      <c r="L85" s="388" cm="1">
        <f t="array" ref="L85">SUMPRODUCT((H_Rate_Class=$B85)*'[5]Demand - D'!L$129:L$238)</f>
        <v>-1344.5172005772083</v>
      </c>
      <c r="M85" s="388" cm="1">
        <f t="array" ref="M85">SUMPRODUCT((H_Rate_Class=$B85)*'[5]Demand - D'!M$129:M$238)</f>
        <v>-1083.5515151515233</v>
      </c>
      <c r="N85" s="388" cm="1">
        <f t="array" ref="N85">SUMPRODUCT((H_Rate_Class=$B85)*'[5]Demand - D'!N$129:N$238)</f>
        <v>-3242.986048996891</v>
      </c>
      <c r="O85" s="388" cm="1">
        <f t="array" ref="O85">SUMPRODUCT((H_Rate_Class=$B85)*'[5]Demand - D'!O$129:O$238)</f>
        <v>0</v>
      </c>
      <c r="P85" s="425">
        <f>SUM(D85:O85)</f>
        <v>33855.735686209773</v>
      </c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</row>
    <row r="86" spans="1:144" s="4" customFormat="1" ht="11.25">
      <c r="A86" s="386">
        <v>5</v>
      </c>
      <c r="B86" s="131" t="s">
        <v>18</v>
      </c>
      <c r="C86" s="99"/>
      <c r="D86" s="177">
        <f t="shared" ref="D86:P86" si="13">SUM(D84:D85)</f>
        <v>55612.069409295771</v>
      </c>
      <c r="E86" s="177">
        <f t="shared" ref="E86:O86" si="14">SUM(E84:E85)</f>
        <v>55033.604764094875</v>
      </c>
      <c r="F86" s="177">
        <f t="shared" si="14"/>
        <v>52295.995945644871</v>
      </c>
      <c r="G86" s="177">
        <f t="shared" si="14"/>
        <v>16748.567471878538</v>
      </c>
      <c r="H86" s="177">
        <f t="shared" si="14"/>
        <v>-1310.9655751464197</v>
      </c>
      <c r="I86" s="177">
        <f t="shared" si="14"/>
        <v>-4138.4517620377828</v>
      </c>
      <c r="J86" s="177">
        <f t="shared" si="14"/>
        <v>12638.70444187105</v>
      </c>
      <c r="K86" s="177">
        <f t="shared" si="14"/>
        <v>8534.4135117986389</v>
      </c>
      <c r="L86" s="177">
        <f t="shared" si="14"/>
        <v>3964.1483999869297</v>
      </c>
      <c r="M86" s="177">
        <f t="shared" si="14"/>
        <v>1866.9127590712346</v>
      </c>
      <c r="N86" s="177">
        <f t="shared" si="14"/>
        <v>-7173.984098305622</v>
      </c>
      <c r="O86" s="177">
        <f t="shared" si="14"/>
        <v>0</v>
      </c>
      <c r="P86" s="177">
        <f t="shared" si="13"/>
        <v>194071.01526815211</v>
      </c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</row>
    <row r="87" spans="1:144" s="4" customFormat="1" ht="11.25">
      <c r="B87" s="147"/>
      <c r="C87" s="99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7"/>
      <c r="O87" s="177"/>
      <c r="P87" s="158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</row>
    <row r="88" spans="1:144" s="4" customFormat="1" ht="11.25">
      <c r="A88" s="386">
        <v>6</v>
      </c>
      <c r="B88" s="87" t="s">
        <v>82</v>
      </c>
      <c r="C88" s="157" t="s">
        <v>5</v>
      </c>
      <c r="D88" s="177" cm="1">
        <f t="array" ref="D88">SUMPRODUCT((H_Rate_Class=$B88)*'[5]Demand - D'!D$129:D$238)</f>
        <v>-217.44534148828041</v>
      </c>
      <c r="E88" s="177" cm="1">
        <f t="array" ref="E88">SUMPRODUCT((H_Rate_Class=$B88)*'[5]Demand - D'!E$129:E$238)</f>
        <v>-247.859653414886</v>
      </c>
      <c r="F88" s="177" cm="1">
        <f t="array" ref="F88">SUMPRODUCT((H_Rate_Class=$B88)*'[5]Demand - D'!F$129:F$238)</f>
        <v>-223.18269113150188</v>
      </c>
      <c r="G88" s="177" cm="1">
        <f t="array" ref="G88">SUMPRODUCT((H_Rate_Class=$B88)*'[5]Demand - D'!G$129:G$238)</f>
        <v>-207.8288481141725</v>
      </c>
      <c r="H88" s="177" cm="1">
        <f t="array" ref="H88">SUMPRODUCT((H_Rate_Class=$B88)*'[5]Demand - D'!H$129:H$238)</f>
        <v>-115.05739379085057</v>
      </c>
      <c r="I88" s="177" cm="1">
        <f t="array" ref="I88">SUMPRODUCT((H_Rate_Class=$B88)*'[5]Demand - D'!I$129:I$238)</f>
        <v>222.95257352941096</v>
      </c>
      <c r="J88" s="177" cm="1">
        <f t="array" ref="J88">SUMPRODUCT((H_Rate_Class=$B88)*'[5]Demand - D'!J$129:J$238)</f>
        <v>0</v>
      </c>
      <c r="K88" s="177" cm="1">
        <f t="array" ref="K88">SUMPRODUCT((H_Rate_Class=$B88)*'[5]Demand - D'!K$129:K$238)</f>
        <v>-234.99452554744855</v>
      </c>
      <c r="L88" s="177" cm="1">
        <f t="array" ref="L88">SUMPRODUCT((H_Rate_Class=$B88)*'[5]Demand - D'!L$129:L$238)</f>
        <v>-327.37868852459053</v>
      </c>
      <c r="M88" s="177" cm="1">
        <f t="array" ref="M88">SUMPRODUCT((H_Rate_Class=$B88)*'[5]Demand - D'!M$129:M$238)</f>
        <v>-358.33497267759594</v>
      </c>
      <c r="N88" s="177" cm="1">
        <f t="array" ref="N88">SUMPRODUCT((H_Rate_Class=$B88)*'[5]Demand - D'!N$129:N$238)</f>
        <v>110.80293577981317</v>
      </c>
      <c r="O88" s="177" cm="1">
        <f t="array" ref="O88">SUMPRODUCT((H_Rate_Class=$B88)*'[5]Demand - D'!O$129:O$238)</f>
        <v>0</v>
      </c>
      <c r="P88" s="158">
        <f>SUM(D88:O88)</f>
        <v>-1598.3266053801021</v>
      </c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</row>
    <row r="89" spans="1:144" s="4" customFormat="1" ht="11.25">
      <c r="A89" s="386">
        <v>7</v>
      </c>
      <c r="B89" s="87" t="s">
        <v>83</v>
      </c>
      <c r="C89" s="157" t="s">
        <v>5</v>
      </c>
      <c r="D89" s="390" cm="1">
        <f t="array" ref="D89">SUMPRODUCT((H_Rate_Class=$B89)*'[5]Demand - D'!D$129:D$238)</f>
        <v>16492.447136929397</v>
      </c>
      <c r="E89" s="390" cm="1">
        <f t="array" ref="E89">SUMPRODUCT((H_Rate_Class=$B89)*'[5]Demand - D'!E$129:E$238)</f>
        <v>-847.99885947053167</v>
      </c>
      <c r="F89" s="390" cm="1">
        <f t="array" ref="F89">SUMPRODUCT((H_Rate_Class=$B89)*'[5]Demand - D'!F$129:F$238)</f>
        <v>-10420.257429718908</v>
      </c>
      <c r="G89" s="390" cm="1">
        <f t="array" ref="G89">SUMPRODUCT((H_Rate_Class=$B89)*'[5]Demand - D'!G$129:G$238)</f>
        <v>-3705.7934143050238</v>
      </c>
      <c r="H89" s="390" cm="1">
        <f t="array" ref="H89">SUMPRODUCT((H_Rate_Class=$B89)*'[5]Demand - D'!H$129:H$238)</f>
        <v>-16661.794262948195</v>
      </c>
      <c r="I89" s="390" cm="1">
        <f t="array" ref="I89">SUMPRODUCT((H_Rate_Class=$B89)*'[5]Demand - D'!I$129:I$238)</f>
        <v>-7522.8043548387031</v>
      </c>
      <c r="J89" s="390" cm="1">
        <f t="array" ref="J89">SUMPRODUCT((H_Rate_Class=$B89)*'[5]Demand - D'!J$129:J$238)</f>
        <v>-741.21333333333325</v>
      </c>
      <c r="K89" s="390" cm="1">
        <f t="array" ref="K89">SUMPRODUCT((H_Rate_Class=$B89)*'[5]Demand - D'!K$129:K$238)</f>
        <v>-24376.971567852393</v>
      </c>
      <c r="L89" s="390" cm="1">
        <f t="array" ref="L89">SUMPRODUCT((H_Rate_Class=$B89)*'[5]Demand - D'!L$129:L$238)</f>
        <v>-19267.827023572805</v>
      </c>
      <c r="M89" s="390" cm="1">
        <f t="array" ref="M89">SUMPRODUCT((H_Rate_Class=$B89)*'[5]Demand - D'!M$129:M$238)</f>
        <v>-6958.2040322580588</v>
      </c>
      <c r="N89" s="390" cm="1">
        <f t="array" ref="N89">SUMPRODUCT((H_Rate_Class=$B89)*'[5]Demand - D'!N$129:N$238)</f>
        <v>-27227.521259842564</v>
      </c>
      <c r="O89" s="390" cm="1">
        <f t="array" ref="O89">SUMPRODUCT((H_Rate_Class=$B89)*'[5]Demand - D'!O$129:O$238)</f>
        <v>0</v>
      </c>
      <c r="P89" s="158">
        <f>SUM(D89:O89)</f>
        <v>-101237.93840121111</v>
      </c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</row>
    <row r="90" spans="1:144" s="4" customFormat="1" ht="11.25">
      <c r="A90" s="386">
        <v>8</v>
      </c>
      <c r="B90" s="87" t="s">
        <v>148</v>
      </c>
      <c r="C90" s="157" t="s">
        <v>5</v>
      </c>
      <c r="D90" s="390" cm="1">
        <f t="array" ref="D90">SUMPRODUCT((H_Rate_Class=$B90)*'[5]Demand - D'!D$129:D$238)</f>
        <v>0</v>
      </c>
      <c r="E90" s="390" cm="1">
        <f t="array" ref="E90">SUMPRODUCT((H_Rate_Class=$B90)*'[5]Demand - D'!E$129:E$238)</f>
        <v>0</v>
      </c>
      <c r="F90" s="390" cm="1">
        <f t="array" ref="F90">SUMPRODUCT((H_Rate_Class=$B90)*'[5]Demand - D'!F$129:F$238)</f>
        <v>0</v>
      </c>
      <c r="G90" s="390" cm="1">
        <f t="array" ref="G90">SUMPRODUCT((H_Rate_Class=$B90)*'[5]Demand - D'!G$129:G$238)</f>
        <v>0</v>
      </c>
      <c r="H90" s="390" cm="1">
        <f t="array" ref="H90">SUMPRODUCT((H_Rate_Class=$B90)*'[5]Demand - D'!H$129:H$238)</f>
        <v>0</v>
      </c>
      <c r="I90" s="390" cm="1">
        <f t="array" ref="I90">SUMPRODUCT((H_Rate_Class=$B90)*'[5]Demand - D'!I$129:I$238)</f>
        <v>0</v>
      </c>
      <c r="J90" s="390" cm="1">
        <f t="array" ref="J90">SUMPRODUCT((H_Rate_Class=$B90)*'[5]Demand - D'!J$129:J$238)</f>
        <v>0</v>
      </c>
      <c r="K90" s="390" cm="1">
        <f t="array" ref="K90">SUMPRODUCT((H_Rate_Class=$B90)*'[5]Demand - D'!K$129:K$238)</f>
        <v>0</v>
      </c>
      <c r="L90" s="390" cm="1">
        <f t="array" ref="L90">SUMPRODUCT((H_Rate_Class=$B90)*'[5]Demand - D'!L$129:L$238)</f>
        <v>0</v>
      </c>
      <c r="M90" s="390" cm="1">
        <f t="array" ref="M90">SUMPRODUCT((H_Rate_Class=$B90)*'[5]Demand - D'!M$129:M$238)</f>
        <v>0</v>
      </c>
      <c r="N90" s="390" cm="1">
        <f t="array" ref="N90">SUMPRODUCT((H_Rate_Class=$B90)*'[5]Demand - D'!N$129:N$238)</f>
        <v>0</v>
      </c>
      <c r="O90" s="390" cm="1">
        <f t="array" ref="O90">SUMPRODUCT((H_Rate_Class=$B90)*'[5]Demand - D'!O$129:O$238)</f>
        <v>0</v>
      </c>
      <c r="P90" s="158">
        <f t="shared" ref="P90:P91" si="15">SUM(D90:O90)</f>
        <v>0</v>
      </c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</row>
    <row r="91" spans="1:144" s="4" customFormat="1" ht="11.25">
      <c r="A91" s="386">
        <v>9</v>
      </c>
      <c r="B91" s="87" t="s">
        <v>149</v>
      </c>
      <c r="C91" s="157" t="s">
        <v>5</v>
      </c>
      <c r="D91" s="390" cm="1">
        <f t="array" ref="D91">SUMPRODUCT((H_Rate_Class=$B91)*'[5]Demand - D'!D$129:D$238)</f>
        <v>0</v>
      </c>
      <c r="E91" s="390" cm="1">
        <f t="array" ref="E91">SUMPRODUCT((H_Rate_Class=$B91)*'[5]Demand - D'!E$129:E$238)</f>
        <v>0</v>
      </c>
      <c r="F91" s="390" cm="1">
        <f t="array" ref="F91">SUMPRODUCT((H_Rate_Class=$B91)*'[5]Demand - D'!F$129:F$238)</f>
        <v>0</v>
      </c>
      <c r="G91" s="390" cm="1">
        <f t="array" ref="G91">SUMPRODUCT((H_Rate_Class=$B91)*'[5]Demand - D'!G$129:G$238)</f>
        <v>0</v>
      </c>
      <c r="H91" s="390" cm="1">
        <f t="array" ref="H91">SUMPRODUCT((H_Rate_Class=$B91)*'[5]Demand - D'!H$129:H$238)</f>
        <v>0</v>
      </c>
      <c r="I91" s="390" cm="1">
        <f t="array" ref="I91">SUMPRODUCT((H_Rate_Class=$B91)*'[5]Demand - D'!I$129:I$238)</f>
        <v>0</v>
      </c>
      <c r="J91" s="390" cm="1">
        <f t="array" ref="J91">SUMPRODUCT((H_Rate_Class=$B91)*'[5]Demand - D'!J$129:J$238)</f>
        <v>0</v>
      </c>
      <c r="K91" s="390" cm="1">
        <f t="array" ref="K91">SUMPRODUCT((H_Rate_Class=$B91)*'[5]Demand - D'!K$129:K$238)</f>
        <v>0</v>
      </c>
      <c r="L91" s="390" cm="1">
        <f t="array" ref="L91">SUMPRODUCT((H_Rate_Class=$B91)*'[5]Demand - D'!L$129:L$238)</f>
        <v>0</v>
      </c>
      <c r="M91" s="390" cm="1">
        <f t="array" ref="M91">SUMPRODUCT((H_Rate_Class=$B91)*'[5]Demand - D'!M$129:M$238)</f>
        <v>0</v>
      </c>
      <c r="N91" s="390" cm="1">
        <f t="array" ref="N91">SUMPRODUCT((H_Rate_Class=$B91)*'[5]Demand - D'!N$129:N$238)</f>
        <v>0</v>
      </c>
      <c r="O91" s="390" cm="1">
        <f t="array" ref="O91">SUMPRODUCT((H_Rate_Class=$B91)*'[5]Demand - D'!O$129:O$238)</f>
        <v>0</v>
      </c>
      <c r="P91" s="158">
        <f t="shared" si="15"/>
        <v>0</v>
      </c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</row>
    <row r="92" spans="1:144" s="4" customFormat="1" ht="11.25">
      <c r="A92" s="386">
        <v>10</v>
      </c>
      <c r="B92" s="87" t="s">
        <v>19</v>
      </c>
      <c r="C92" s="157"/>
      <c r="D92" s="391">
        <f>SUM(D88:D91)</f>
        <v>16275.001795441116</v>
      </c>
      <c r="E92" s="391">
        <f t="shared" ref="E92:P92" si="16">SUM(E88:E91)</f>
        <v>-1095.8585128854177</v>
      </c>
      <c r="F92" s="391">
        <f t="shared" si="16"/>
        <v>-10643.44012085041</v>
      </c>
      <c r="G92" s="391">
        <f t="shared" si="16"/>
        <v>-3913.6222624191964</v>
      </c>
      <c r="H92" s="391">
        <f t="shared" si="16"/>
        <v>-16776.851656739047</v>
      </c>
      <c r="I92" s="391">
        <f t="shared" si="16"/>
        <v>-7299.8517813092922</v>
      </c>
      <c r="J92" s="391">
        <f t="shared" si="16"/>
        <v>-741.21333333333325</v>
      </c>
      <c r="K92" s="391">
        <f t="shared" si="16"/>
        <v>-24611.966093399842</v>
      </c>
      <c r="L92" s="391">
        <f t="shared" si="16"/>
        <v>-19595.205712097395</v>
      </c>
      <c r="M92" s="391">
        <f t="shared" si="16"/>
        <v>-7316.5390049356547</v>
      </c>
      <c r="N92" s="391">
        <f t="shared" si="16"/>
        <v>-27116.718324062753</v>
      </c>
      <c r="O92" s="391">
        <f t="shared" si="16"/>
        <v>0</v>
      </c>
      <c r="P92" s="391">
        <f t="shared" si="16"/>
        <v>-102836.26500659122</v>
      </c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</row>
    <row r="93" spans="1:144" s="4" customFormat="1" ht="11.25">
      <c r="A93" s="386"/>
      <c r="B93" s="87"/>
      <c r="C93" s="15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7"/>
      <c r="P93" s="158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</row>
    <row r="94" spans="1:144" s="4" customFormat="1" ht="11.25">
      <c r="A94" s="386">
        <v>11</v>
      </c>
      <c r="B94" s="131" t="s">
        <v>86</v>
      </c>
      <c r="C94" s="157" t="s">
        <v>6</v>
      </c>
      <c r="D94" s="177" cm="1">
        <f t="array" ref="D94">SUMPRODUCT((H_Rate_Class=$B94)*'[5]Demand - D'!D$129:D$238)</f>
        <v>-32839.599999999977</v>
      </c>
      <c r="E94" s="177" cm="1">
        <f t="array" ref="E94">SUMPRODUCT((H_Rate_Class=$B94)*'[5]Demand - D'!E$129:E$238)</f>
        <v>-2111.2629076086741</v>
      </c>
      <c r="F94" s="177" cm="1">
        <f t="array" ref="F94">SUMPRODUCT((H_Rate_Class=$B94)*'[5]Demand - D'!F$129:F$238)</f>
        <v>68178.54840838509</v>
      </c>
      <c r="G94" s="177" cm="1">
        <f t="array" ref="G94">SUMPRODUCT((H_Rate_Class=$B94)*'[5]Demand - D'!G$129:G$238)</f>
        <v>-53276.350293305724</v>
      </c>
      <c r="H94" s="177" cm="1">
        <f t="array" ref="H94">SUMPRODUCT((H_Rate_Class=$B94)*'[5]Demand - D'!H$129:H$238)</f>
        <v>-9877.9765217391869</v>
      </c>
      <c r="I94" s="177" cm="1">
        <f t="array" ref="I94">SUMPRODUCT((H_Rate_Class=$B94)*'[5]Demand - D'!I$129:I$238)</f>
        <v>-46524.717391304315</v>
      </c>
      <c r="J94" s="177" cm="1">
        <f t="array" ref="J94">SUMPRODUCT((H_Rate_Class=$B94)*'[5]Demand - D'!J$129:J$238)</f>
        <v>-833.69719063551383</v>
      </c>
      <c r="K94" s="177" cm="1">
        <f t="array" ref="K94">SUMPRODUCT((H_Rate_Class=$B94)*'[5]Demand - D'!K$129:K$238)</f>
        <v>-80705.263850931617</v>
      </c>
      <c r="L94" s="177" cm="1">
        <f t="array" ref="L94">SUMPRODUCT((H_Rate_Class=$B94)*'[5]Demand - D'!L$129:L$238)</f>
        <v>-7362.3690301003953</v>
      </c>
      <c r="M94" s="177" cm="1">
        <f t="array" ref="M94">SUMPRODUCT((H_Rate_Class=$B94)*'[5]Demand - D'!M$129:M$238)</f>
        <v>-135357.30017162472</v>
      </c>
      <c r="N94" s="177" cm="1">
        <f t="array" ref="N94">SUMPRODUCT((H_Rate_Class=$B94)*'[5]Demand - D'!N$129:N$238)</f>
        <v>-88810.090666666685</v>
      </c>
      <c r="O94" s="177" cm="1">
        <f t="array" ref="O94">SUMPRODUCT((H_Rate_Class=$B94)*'[5]Demand - D'!O$129:O$238)</f>
        <v>0</v>
      </c>
      <c r="P94" s="158">
        <f>SUM(D94:O94)</f>
        <v>-389520.07961553178</v>
      </c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</row>
    <row r="95" spans="1:144" s="4" customFormat="1" ht="11.25">
      <c r="B95" s="87"/>
      <c r="C95" s="99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  <c r="O95" s="177"/>
      <c r="P95" s="158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</row>
    <row r="96" spans="1:144" s="4" customFormat="1" ht="11.25">
      <c r="A96" s="386">
        <v>12</v>
      </c>
      <c r="B96" s="89" t="s">
        <v>21</v>
      </c>
      <c r="C96" s="157" t="s">
        <v>4</v>
      </c>
      <c r="D96" s="390" cm="1">
        <f t="array" ref="D96">SUMPRODUCT((H_Rate_Class=$B96)*'[5]Demand - D'!D$129:D$238)</f>
        <v>0</v>
      </c>
      <c r="E96" s="390" cm="1">
        <f t="array" ref="E96">SUMPRODUCT((H_Rate_Class=$B96)*'[5]Demand - D'!E$129:E$238)</f>
        <v>0</v>
      </c>
      <c r="F96" s="390" cm="1">
        <f t="array" ref="F96">SUMPRODUCT((H_Rate_Class=$B96)*'[5]Demand - D'!F$129:F$238)</f>
        <v>0</v>
      </c>
      <c r="G96" s="390" cm="1">
        <f t="array" ref="G96">SUMPRODUCT((H_Rate_Class=$B96)*'[5]Demand - D'!G$129:G$238)</f>
        <v>0</v>
      </c>
      <c r="H96" s="390" cm="1">
        <f t="array" ref="H96">SUMPRODUCT((H_Rate_Class=$B96)*'[5]Demand - D'!H$129:H$238)</f>
        <v>0</v>
      </c>
      <c r="I96" s="390" cm="1">
        <f t="array" ref="I96">SUMPRODUCT((H_Rate_Class=$B96)*'[5]Demand - D'!I$129:I$238)</f>
        <v>0</v>
      </c>
      <c r="J96" s="390" cm="1">
        <f t="array" ref="J96">SUMPRODUCT((H_Rate_Class=$B96)*'[5]Demand - D'!J$129:J$238)</f>
        <v>0</v>
      </c>
      <c r="K96" s="390" cm="1">
        <f t="array" ref="K96">SUMPRODUCT((H_Rate_Class=$B96)*'[5]Demand - D'!K$129:K$238)</f>
        <v>0</v>
      </c>
      <c r="L96" s="390" cm="1">
        <f t="array" ref="L96">SUMPRODUCT((H_Rate_Class=$B96)*'[5]Demand - D'!L$129:L$238)</f>
        <v>0</v>
      </c>
      <c r="M96" s="390" cm="1">
        <f t="array" ref="M96">SUMPRODUCT((H_Rate_Class=$B96)*'[5]Demand - D'!M$129:M$238)</f>
        <v>0</v>
      </c>
      <c r="N96" s="390" cm="1">
        <f t="array" ref="N96">SUMPRODUCT((H_Rate_Class=$B96)*'[5]Demand - D'!N$129:N$238)</f>
        <v>0</v>
      </c>
      <c r="O96" s="390" cm="1">
        <f t="array" ref="O96">SUMPRODUCT((H_Rate_Class=$B96)*'[5]Demand - D'!O$129:O$238)</f>
        <v>0</v>
      </c>
      <c r="P96" s="158">
        <f>SUM(D96:O96)</f>
        <v>0</v>
      </c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</row>
    <row r="97" spans="1:144" s="4" customFormat="1" ht="11.25">
      <c r="A97" s="386"/>
      <c r="B97" s="87"/>
      <c r="C97" s="99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  <c r="O97" s="177"/>
      <c r="P97" s="158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</row>
    <row r="98" spans="1:144" s="4" customFormat="1" ht="11.25">
      <c r="A98" s="386">
        <v>13</v>
      </c>
      <c r="B98" s="393" t="s">
        <v>22</v>
      </c>
      <c r="C98" s="362"/>
      <c r="D98" s="394">
        <f t="shared" ref="D98:P98" si="17">D96+D94+D92+D86+D82+D80</f>
        <v>39047.47120473691</v>
      </c>
      <c r="E98" s="394">
        <f t="shared" si="17"/>
        <v>51826.483343600783</v>
      </c>
      <c r="F98" s="394">
        <f t="shared" si="17"/>
        <v>109831.10423317955</v>
      </c>
      <c r="G98" s="394">
        <f t="shared" si="17"/>
        <v>-40441.405083846381</v>
      </c>
      <c r="H98" s="394">
        <f t="shared" si="17"/>
        <v>-27965.793753624654</v>
      </c>
      <c r="I98" s="394">
        <f t="shared" si="17"/>
        <v>-57963.020934651388</v>
      </c>
      <c r="J98" s="394">
        <f t="shared" si="17"/>
        <v>11063.793917902203</v>
      </c>
      <c r="K98" s="394">
        <f t="shared" si="17"/>
        <v>-96782.816432532811</v>
      </c>
      <c r="L98" s="394">
        <f t="shared" si="17"/>
        <v>-22993.42634221086</v>
      </c>
      <c r="M98" s="394">
        <f t="shared" si="17"/>
        <v>-140806.92641748913</v>
      </c>
      <c r="N98" s="394">
        <f t="shared" si="17"/>
        <v>-123100.79308903505</v>
      </c>
      <c r="O98" s="394">
        <f t="shared" si="17"/>
        <v>0</v>
      </c>
      <c r="P98" s="394">
        <f t="shared" si="17"/>
        <v>-298285.32935397088</v>
      </c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</row>
    <row r="99" spans="1:144" s="4" customFormat="1" ht="11.25">
      <c r="B99" s="362"/>
      <c r="C99" s="362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58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</row>
    <row r="100" spans="1:144" s="4" customFormat="1" ht="11.25">
      <c r="A100" s="386">
        <v>14</v>
      </c>
      <c r="B100" s="89" t="s">
        <v>69</v>
      </c>
      <c r="C100" s="157" t="s">
        <v>5</v>
      </c>
      <c r="D100" s="390">
        <f>D35*'II-H-3.1-3'!D173</f>
        <v>0</v>
      </c>
      <c r="E100" s="390">
        <f>E35*'II-H-3.1-3'!E173</f>
        <v>0</v>
      </c>
      <c r="F100" s="390">
        <f>F35*'II-H-3.1-3'!F173</f>
        <v>0</v>
      </c>
      <c r="G100" s="390">
        <f>G35*'II-H-3.1-3'!G173</f>
        <v>0</v>
      </c>
      <c r="H100" s="390">
        <f>H35*'II-H-3.1-3'!H173</f>
        <v>0</v>
      </c>
      <c r="I100" s="390">
        <f>I35*'II-H-3.1-3'!I173</f>
        <v>0</v>
      </c>
      <c r="J100" s="390">
        <f>J35*'II-H-3.1-3'!J173</f>
        <v>0</v>
      </c>
      <c r="K100" s="390">
        <f>K35*'II-H-3.1-3'!K173</f>
        <v>0</v>
      </c>
      <c r="L100" s="390">
        <f>L35*'II-H-3.1-3'!L173</f>
        <v>0</v>
      </c>
      <c r="M100" s="390">
        <f>M35*'II-H-3.1-3'!M173</f>
        <v>0</v>
      </c>
      <c r="N100" s="390">
        <f>N35*'II-H-3.1-3'!N173</f>
        <v>0</v>
      </c>
      <c r="O100" s="390">
        <f>O35*'II-H-3.1-3'!O173</f>
        <v>0</v>
      </c>
      <c r="P100" s="158">
        <f>SUM(D100:O100)</f>
        <v>0</v>
      </c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</row>
    <row r="101" spans="1:144" s="4" customFormat="1" ht="11.25">
      <c r="A101" s="386">
        <v>15</v>
      </c>
      <c r="B101" s="89" t="s">
        <v>70</v>
      </c>
      <c r="C101" s="157" t="s">
        <v>6</v>
      </c>
      <c r="D101" s="388"/>
      <c r="E101" s="388"/>
      <c r="F101" s="388"/>
      <c r="G101" s="388"/>
      <c r="H101" s="388"/>
      <c r="I101" s="388"/>
      <c r="J101" s="388"/>
      <c r="K101" s="388"/>
      <c r="L101" s="388"/>
      <c r="M101" s="388"/>
      <c r="N101" s="388"/>
      <c r="O101" s="388"/>
      <c r="P101" s="425">
        <f>SUM(D101:O101)</f>
        <v>0</v>
      </c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</row>
    <row r="102" spans="1:144" s="4" customFormat="1" ht="11.25">
      <c r="A102" s="386">
        <v>16</v>
      </c>
      <c r="B102" s="393" t="s">
        <v>23</v>
      </c>
      <c r="C102" s="361"/>
      <c r="D102" s="101">
        <f t="shared" ref="D102:P102" si="18">SUM(D100:D101)</f>
        <v>0</v>
      </c>
      <c r="E102" s="101">
        <f t="shared" si="18"/>
        <v>0</v>
      </c>
      <c r="F102" s="101">
        <f t="shared" si="18"/>
        <v>0</v>
      </c>
      <c r="G102" s="101">
        <f t="shared" si="18"/>
        <v>0</v>
      </c>
      <c r="H102" s="101">
        <f t="shared" si="18"/>
        <v>0</v>
      </c>
      <c r="I102" s="101">
        <f t="shared" si="18"/>
        <v>0</v>
      </c>
      <c r="J102" s="101">
        <f t="shared" si="18"/>
        <v>0</v>
      </c>
      <c r="K102" s="101">
        <f t="shared" si="18"/>
        <v>0</v>
      </c>
      <c r="L102" s="101">
        <f t="shared" si="18"/>
        <v>0</v>
      </c>
      <c r="M102" s="101">
        <f t="shared" si="18"/>
        <v>0</v>
      </c>
      <c r="N102" s="101">
        <f t="shared" si="18"/>
        <v>0</v>
      </c>
      <c r="O102" s="101">
        <f t="shared" si="18"/>
        <v>0</v>
      </c>
      <c r="P102" s="101">
        <f t="shared" si="18"/>
        <v>0</v>
      </c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</row>
    <row r="103" spans="1:144" s="4" customFormat="1" ht="11.25">
      <c r="A103" s="386"/>
      <c r="B103" s="87"/>
      <c r="C103" s="396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/>
      <c r="P103" s="158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</row>
    <row r="104" spans="1:144" s="4" customFormat="1" ht="12" thickBot="1">
      <c r="A104" s="386">
        <v>17</v>
      </c>
      <c r="B104" s="147" t="s">
        <v>92</v>
      </c>
      <c r="C104" s="361"/>
      <c r="D104" s="397">
        <f t="shared" ref="D104:P104" si="19">+D102+D98</f>
        <v>39047.47120473691</v>
      </c>
      <c r="E104" s="397">
        <f t="shared" si="19"/>
        <v>51826.483343600783</v>
      </c>
      <c r="F104" s="397">
        <f t="shared" si="19"/>
        <v>109831.10423317955</v>
      </c>
      <c r="G104" s="397">
        <f t="shared" si="19"/>
        <v>-40441.405083846381</v>
      </c>
      <c r="H104" s="397">
        <f t="shared" si="19"/>
        <v>-27965.793753624654</v>
      </c>
      <c r="I104" s="397">
        <f t="shared" si="19"/>
        <v>-57963.020934651388</v>
      </c>
      <c r="J104" s="397">
        <f t="shared" si="19"/>
        <v>11063.793917902203</v>
      </c>
      <c r="K104" s="397">
        <f t="shared" si="19"/>
        <v>-96782.816432532811</v>
      </c>
      <c r="L104" s="397">
        <f t="shared" si="19"/>
        <v>-22993.42634221086</v>
      </c>
      <c r="M104" s="397">
        <f t="shared" si="19"/>
        <v>-140806.92641748913</v>
      </c>
      <c r="N104" s="397">
        <f t="shared" si="19"/>
        <v>-123100.79308903505</v>
      </c>
      <c r="O104" s="397">
        <f t="shared" si="19"/>
        <v>0</v>
      </c>
      <c r="P104" s="397">
        <f t="shared" si="19"/>
        <v>-298285.32935397088</v>
      </c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</row>
    <row r="105" spans="1:144" ht="14.25" customHeight="1" thickTop="1">
      <c r="B105" s="471"/>
      <c r="C105" s="371"/>
      <c r="D105" s="371"/>
      <c r="E105" s="371"/>
      <c r="F105" s="371"/>
      <c r="G105" s="371"/>
      <c r="H105" s="371"/>
      <c r="I105" s="371"/>
      <c r="J105" s="371"/>
      <c r="K105" s="371"/>
      <c r="L105" s="371"/>
      <c r="M105" s="371"/>
      <c r="N105" s="371"/>
      <c r="O105" s="371"/>
      <c r="P105" s="371"/>
      <c r="Q105" s="485"/>
      <c r="R105" s="485"/>
      <c r="S105" s="485"/>
    </row>
    <row r="106" spans="1:144" ht="13.5" customHeight="1">
      <c r="B106" s="371" t="str">
        <f>+B73</f>
        <v>AEP TEXAS</v>
      </c>
      <c r="C106" s="371"/>
      <c r="D106" s="371"/>
      <c r="E106" s="371"/>
      <c r="F106" s="371"/>
      <c r="G106" s="371"/>
      <c r="H106" s="371"/>
      <c r="I106" s="371"/>
      <c r="J106" s="371"/>
      <c r="K106" s="371"/>
      <c r="L106" s="371"/>
      <c r="M106" s="371"/>
      <c r="N106" s="371"/>
      <c r="O106" s="371"/>
      <c r="P106" s="371"/>
      <c r="Q106" s="485"/>
      <c r="R106" s="485"/>
      <c r="S106" s="485"/>
    </row>
    <row r="107" spans="1:144">
      <c r="B107" s="371" t="s">
        <v>53</v>
      </c>
      <c r="C107" s="371"/>
      <c r="D107" s="371"/>
      <c r="E107" s="371"/>
      <c r="F107" s="371"/>
      <c r="G107" s="371"/>
      <c r="H107" s="371"/>
      <c r="I107" s="371"/>
      <c r="J107" s="371"/>
      <c r="K107" s="371"/>
      <c r="L107" s="371"/>
      <c r="M107" s="371"/>
      <c r="N107" s="371"/>
      <c r="O107" s="371"/>
      <c r="P107" s="371"/>
      <c r="Q107" s="485"/>
      <c r="R107" s="485"/>
      <c r="S107" s="485"/>
    </row>
    <row r="108" spans="1:144">
      <c r="B108" s="471" t="str">
        <f>B75</f>
        <v>FOR TEST YEAR ENDED SEPTEMBER 30, 2023</v>
      </c>
      <c r="C108" s="371"/>
      <c r="D108" s="371"/>
      <c r="E108" s="371"/>
      <c r="F108" s="371"/>
      <c r="G108" s="371"/>
      <c r="H108" s="371"/>
      <c r="I108" s="371"/>
      <c r="J108" s="371"/>
      <c r="K108" s="371"/>
      <c r="L108" s="371"/>
      <c r="M108" s="371"/>
      <c r="N108" s="371"/>
      <c r="O108" s="371"/>
      <c r="P108" s="371"/>
      <c r="Q108" s="485"/>
      <c r="R108" s="485"/>
      <c r="S108" s="485"/>
    </row>
    <row r="109" spans="1:144">
      <c r="B109" s="371"/>
      <c r="C109" s="371"/>
      <c r="D109" s="371"/>
      <c r="E109" s="371"/>
      <c r="F109" s="371"/>
      <c r="G109" s="371"/>
      <c r="H109" s="371"/>
      <c r="I109" s="371"/>
      <c r="J109" s="371"/>
      <c r="K109" s="371"/>
      <c r="L109" s="371"/>
      <c r="M109" s="371"/>
      <c r="N109" s="371"/>
      <c r="O109" s="371"/>
      <c r="P109" s="371"/>
      <c r="Q109" s="485"/>
      <c r="R109" s="485"/>
      <c r="S109" s="485"/>
    </row>
    <row r="110" spans="1:144">
      <c r="B110" s="147"/>
      <c r="C110" s="99"/>
      <c r="D110" s="404"/>
      <c r="E110" s="405"/>
      <c r="F110" s="405"/>
      <c r="G110" s="404"/>
      <c r="H110" s="405"/>
      <c r="I110" s="405"/>
      <c r="J110" s="457"/>
      <c r="K110" s="405"/>
      <c r="L110" s="405"/>
      <c r="M110" s="405"/>
      <c r="N110" s="405"/>
      <c r="O110" s="405"/>
      <c r="P110" s="405"/>
      <c r="Q110" s="485"/>
      <c r="R110" s="485"/>
      <c r="S110" s="485"/>
    </row>
    <row r="111" spans="1:144">
      <c r="A111" s="359" t="s">
        <v>8</v>
      </c>
      <c r="B111" s="361" t="s">
        <v>0</v>
      </c>
      <c r="C111" s="361" t="s">
        <v>7</v>
      </c>
      <c r="D111" s="406" t="str">
        <f>D13</f>
        <v>Oct-22</v>
      </c>
      <c r="E111" s="406" t="str">
        <f>E13</f>
        <v>Nov-22</v>
      </c>
      <c r="F111" s="406" t="str">
        <f>F13</f>
        <v>Dec-22</v>
      </c>
      <c r="G111" s="406" t="str">
        <f>G13</f>
        <v>Jan-23</v>
      </c>
      <c r="H111" s="406" t="str">
        <f t="shared" ref="H111:O111" si="20">H13</f>
        <v>Feb-23</v>
      </c>
      <c r="I111" s="406" t="str">
        <f t="shared" si="20"/>
        <v>Mar-23</v>
      </c>
      <c r="J111" s="406" t="str">
        <f t="shared" si="20"/>
        <v>Apr-23</v>
      </c>
      <c r="K111" s="406" t="str">
        <f t="shared" si="20"/>
        <v>May-23</v>
      </c>
      <c r="L111" s="406" t="str">
        <f t="shared" si="20"/>
        <v>Jun-23</v>
      </c>
      <c r="M111" s="406" t="str">
        <f t="shared" si="20"/>
        <v>Jul-23</v>
      </c>
      <c r="N111" s="406" t="str">
        <f t="shared" si="20"/>
        <v>Aug-23</v>
      </c>
      <c r="O111" s="406" t="str">
        <f t="shared" si="20"/>
        <v>Sep-23</v>
      </c>
      <c r="P111" s="406" t="s">
        <v>2</v>
      </c>
      <c r="Q111" s="485"/>
      <c r="R111" s="485"/>
      <c r="S111" s="485"/>
    </row>
    <row r="112" spans="1:144">
      <c r="A112" s="359"/>
      <c r="B112" s="361"/>
      <c r="C112" s="361"/>
      <c r="D112" s="406"/>
      <c r="E112" s="406"/>
      <c r="F112" s="406"/>
      <c r="G112" s="406"/>
      <c r="H112" s="406"/>
      <c r="I112" s="406"/>
      <c r="J112" s="406"/>
      <c r="K112" s="406"/>
      <c r="L112" s="406"/>
      <c r="M112" s="406"/>
      <c r="N112" s="406"/>
      <c r="O112" s="406"/>
      <c r="P112" s="406"/>
      <c r="Q112" s="485"/>
      <c r="R112" s="485"/>
      <c r="S112" s="485"/>
    </row>
    <row r="113" spans="1:144" s="4" customFormat="1" ht="11.25">
      <c r="A113" s="386" t="s">
        <v>9</v>
      </c>
      <c r="B113" s="87" t="s">
        <v>17</v>
      </c>
      <c r="C113" s="99" t="s">
        <v>4</v>
      </c>
      <c r="D113" s="177" cm="1">
        <f t="array" ref="D113">SUMPRODUCT((H_Rate_Class=$B113)*'[5]Demand - D'!D$369:D$478)</f>
        <v>0</v>
      </c>
      <c r="E113" s="177" cm="1">
        <f t="array" ref="E113">SUMPRODUCT((H_Rate_Class=$B113)*'[5]Demand - D'!E$369:E$478)</f>
        <v>0</v>
      </c>
      <c r="F113" s="177" cm="1">
        <f t="array" ref="F113">SUMPRODUCT((H_Rate_Class=$B113)*'[5]Demand - D'!F$369:F$478)</f>
        <v>0</v>
      </c>
      <c r="G113" s="177" cm="1">
        <f t="array" ref="G113">SUMPRODUCT((H_Rate_Class=$B113)*'[5]Demand - D'!G$369:G$478)</f>
        <v>0</v>
      </c>
      <c r="H113" s="177" cm="1">
        <f t="array" ref="H113">SUMPRODUCT((H_Rate_Class=$B113)*'[5]Demand - D'!H$369:H$478)</f>
        <v>0</v>
      </c>
      <c r="I113" s="177" cm="1">
        <f t="array" ref="I113">SUMPRODUCT((H_Rate_Class=$B113)*'[5]Demand - D'!I$369:I$478)</f>
        <v>0</v>
      </c>
      <c r="J113" s="177" cm="1">
        <f t="array" ref="J113">SUMPRODUCT((H_Rate_Class=$B113)*'[5]Demand - D'!J$369:J$478)</f>
        <v>0</v>
      </c>
      <c r="K113" s="177" cm="1">
        <f t="array" ref="K113">SUMPRODUCT((H_Rate_Class=$B113)*'[5]Demand - D'!K$369:K$478)</f>
        <v>0</v>
      </c>
      <c r="L113" s="177" cm="1">
        <f t="array" ref="L113">SUMPRODUCT((H_Rate_Class=$B113)*'[5]Demand - D'!L$369:L$478)</f>
        <v>0</v>
      </c>
      <c r="M113" s="177" cm="1">
        <f t="array" ref="M113">SUMPRODUCT((H_Rate_Class=$B113)*'[5]Demand - D'!M$369:M$478)</f>
        <v>0</v>
      </c>
      <c r="N113" s="177" cm="1">
        <f t="array" ref="N113">SUMPRODUCT((H_Rate_Class=$B113)*'[5]Demand - D'!N$369:N$478)</f>
        <v>0</v>
      </c>
      <c r="O113" s="177" cm="1">
        <f t="array" ref="O113">SUMPRODUCT((H_Rate_Class=$B113)*'[5]Demand - D'!O$369:O$478)</f>
        <v>0</v>
      </c>
      <c r="P113" s="158">
        <f>SUM(D113:O113)</f>
        <v>0</v>
      </c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</row>
    <row r="114" spans="1:144" s="4" customFormat="1" ht="11.25">
      <c r="B114" s="87"/>
      <c r="C114" s="99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58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</row>
    <row r="115" spans="1:144" s="4" customFormat="1" ht="11.25">
      <c r="A115" s="386">
        <v>2</v>
      </c>
      <c r="B115" s="87" t="s">
        <v>20</v>
      </c>
      <c r="C115" s="99" t="s">
        <v>4</v>
      </c>
      <c r="D115" s="177" cm="1">
        <f t="array" ref="D115">SUMPRODUCT((H_Rate_Class=$B115)*'[5]Demand - D'!D$369:D$478)</f>
        <v>0</v>
      </c>
      <c r="E115" s="177" cm="1">
        <f t="array" ref="E115">SUMPRODUCT((H_Rate_Class=$B115)*'[5]Demand - D'!E$369:E$478)</f>
        <v>0</v>
      </c>
      <c r="F115" s="177" cm="1">
        <f t="array" ref="F115">SUMPRODUCT((H_Rate_Class=$B115)*'[5]Demand - D'!F$369:F$478)</f>
        <v>0</v>
      </c>
      <c r="G115" s="177" cm="1">
        <f t="array" ref="G115">SUMPRODUCT((H_Rate_Class=$B115)*'[5]Demand - D'!G$369:G$478)</f>
        <v>0</v>
      </c>
      <c r="H115" s="177" cm="1">
        <f t="array" ref="H115">SUMPRODUCT((H_Rate_Class=$B115)*'[5]Demand - D'!H$369:H$478)</f>
        <v>0</v>
      </c>
      <c r="I115" s="177" cm="1">
        <f t="array" ref="I115">SUMPRODUCT((H_Rate_Class=$B115)*'[5]Demand - D'!I$369:I$478)</f>
        <v>0</v>
      </c>
      <c r="J115" s="177" cm="1">
        <f t="array" ref="J115">SUMPRODUCT((H_Rate_Class=$B115)*'[5]Demand - D'!J$369:J$478)</f>
        <v>0</v>
      </c>
      <c r="K115" s="177" cm="1">
        <f t="array" ref="K115">SUMPRODUCT((H_Rate_Class=$B115)*'[5]Demand - D'!K$369:K$478)</f>
        <v>0</v>
      </c>
      <c r="L115" s="177" cm="1">
        <f t="array" ref="L115">SUMPRODUCT((H_Rate_Class=$B115)*'[5]Demand - D'!L$369:L$478)</f>
        <v>0</v>
      </c>
      <c r="M115" s="177" cm="1">
        <f t="array" ref="M115">SUMPRODUCT((H_Rate_Class=$B115)*'[5]Demand - D'!M$369:M$478)</f>
        <v>0</v>
      </c>
      <c r="N115" s="177" cm="1">
        <f t="array" ref="N115">SUMPRODUCT((H_Rate_Class=$B115)*'[5]Demand - D'!N$369:N$478)</f>
        <v>0</v>
      </c>
      <c r="O115" s="177" cm="1">
        <f t="array" ref="O115">SUMPRODUCT((H_Rate_Class=$B115)*'[5]Demand - D'!O$369:O$478)</f>
        <v>0</v>
      </c>
      <c r="P115" s="158">
        <f>SUM(D115:O115)</f>
        <v>0</v>
      </c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</row>
    <row r="116" spans="1:144" s="4" customFormat="1" ht="11.25">
      <c r="A116" s="386"/>
      <c r="B116" s="87"/>
      <c r="C116" s="99"/>
      <c r="D116" s="177"/>
      <c r="E116" s="177"/>
      <c r="F116" s="177"/>
      <c r="G116" s="177"/>
      <c r="H116" s="177"/>
      <c r="I116" s="177"/>
      <c r="J116" s="177"/>
      <c r="K116" s="177"/>
      <c r="L116" s="177"/>
      <c r="M116" s="177"/>
      <c r="N116" s="177"/>
      <c r="O116" s="177"/>
      <c r="P116" s="158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</row>
    <row r="117" spans="1:144" s="4" customFormat="1" ht="11.25">
      <c r="A117" s="386">
        <v>3</v>
      </c>
      <c r="B117" s="87" t="s">
        <v>81</v>
      </c>
      <c r="C117" s="157" t="s">
        <v>4</v>
      </c>
      <c r="D117" s="390" cm="1">
        <f t="array" ref="D117">SUMPRODUCT((H_Rate_Class=$B117)*'[5]Demand - D'!D$369:D$478)</f>
        <v>0</v>
      </c>
      <c r="E117" s="390" cm="1">
        <f t="array" ref="E117">SUMPRODUCT((H_Rate_Class=$B117)*'[5]Demand - D'!E$369:E$478)</f>
        <v>0</v>
      </c>
      <c r="F117" s="390" cm="1">
        <f t="array" ref="F117">SUMPRODUCT((H_Rate_Class=$B117)*'[5]Demand - D'!F$369:F$478)</f>
        <v>0</v>
      </c>
      <c r="G117" s="390" cm="1">
        <f t="array" ref="G117">SUMPRODUCT((H_Rate_Class=$B117)*'[5]Demand - D'!G$369:G$478)</f>
        <v>0</v>
      </c>
      <c r="H117" s="390" cm="1">
        <f t="array" ref="H117">SUMPRODUCT((H_Rate_Class=$B117)*'[5]Demand - D'!H$369:H$478)</f>
        <v>0</v>
      </c>
      <c r="I117" s="390" cm="1">
        <f t="array" ref="I117">SUMPRODUCT((H_Rate_Class=$B117)*'[5]Demand - D'!I$369:I$478)</f>
        <v>0</v>
      </c>
      <c r="J117" s="390" cm="1">
        <f t="array" ref="J117">SUMPRODUCT((H_Rate_Class=$B117)*'[5]Demand - D'!J$369:J$478)</f>
        <v>0</v>
      </c>
      <c r="K117" s="390" cm="1">
        <f t="array" ref="K117">SUMPRODUCT((H_Rate_Class=$B117)*'[5]Demand - D'!K$369:K$478)</f>
        <v>0</v>
      </c>
      <c r="L117" s="390" cm="1">
        <f t="array" ref="L117">SUMPRODUCT((H_Rate_Class=$B117)*'[5]Demand - D'!L$369:L$478)</f>
        <v>0</v>
      </c>
      <c r="M117" s="390" cm="1">
        <f t="array" ref="M117">SUMPRODUCT((H_Rate_Class=$B117)*'[5]Demand - D'!M$369:M$478)</f>
        <v>0</v>
      </c>
      <c r="N117" s="390" cm="1">
        <f t="array" ref="N117">SUMPRODUCT((H_Rate_Class=$B117)*'[5]Demand - D'!N$369:N$478)</f>
        <v>0</v>
      </c>
      <c r="O117" s="390" cm="1">
        <f t="array" ref="O117">SUMPRODUCT((H_Rate_Class=$B117)*'[5]Demand - D'!O$369:O$478)</f>
        <v>0</v>
      </c>
      <c r="P117" s="158">
        <f>SUM(D117:O117)</f>
        <v>0</v>
      </c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</row>
    <row r="118" spans="1:144" s="4" customFormat="1" ht="11.25">
      <c r="A118" s="386">
        <v>4</v>
      </c>
      <c r="B118" s="87" t="s">
        <v>85</v>
      </c>
      <c r="C118" s="157" t="s">
        <v>4</v>
      </c>
      <c r="D118" s="388" cm="1">
        <f t="array" ref="D118">SUMPRODUCT((H_Rate_Class=$B118)*'[5]Demand - D'!D$369:D$478)</f>
        <v>0</v>
      </c>
      <c r="E118" s="388" cm="1">
        <f t="array" ref="E118">SUMPRODUCT((H_Rate_Class=$B118)*'[5]Demand - D'!E$369:E$478)</f>
        <v>0</v>
      </c>
      <c r="F118" s="388" cm="1">
        <f t="array" ref="F118">SUMPRODUCT((H_Rate_Class=$B118)*'[5]Demand - D'!F$369:F$478)</f>
        <v>0</v>
      </c>
      <c r="G118" s="388" cm="1">
        <f t="array" ref="G118">SUMPRODUCT((H_Rate_Class=$B118)*'[5]Demand - D'!G$369:G$478)</f>
        <v>0</v>
      </c>
      <c r="H118" s="388" cm="1">
        <f t="array" ref="H118">SUMPRODUCT((H_Rate_Class=$B118)*'[5]Demand - D'!H$369:H$478)</f>
        <v>0</v>
      </c>
      <c r="I118" s="388" cm="1">
        <f t="array" ref="I118">SUMPRODUCT((H_Rate_Class=$B118)*'[5]Demand - D'!I$369:I$478)</f>
        <v>0</v>
      </c>
      <c r="J118" s="388" cm="1">
        <f t="array" ref="J118">SUMPRODUCT((H_Rate_Class=$B118)*'[5]Demand - D'!J$369:J$478)</f>
        <v>0</v>
      </c>
      <c r="K118" s="388" cm="1">
        <f t="array" ref="K118">SUMPRODUCT((H_Rate_Class=$B118)*'[5]Demand - D'!K$369:K$478)</f>
        <v>0</v>
      </c>
      <c r="L118" s="388" cm="1">
        <f t="array" ref="L118">SUMPRODUCT((H_Rate_Class=$B118)*'[5]Demand - D'!L$369:L$478)</f>
        <v>0</v>
      </c>
      <c r="M118" s="388" cm="1">
        <f t="array" ref="M118">SUMPRODUCT((H_Rate_Class=$B118)*'[5]Demand - D'!M$369:M$478)</f>
        <v>0</v>
      </c>
      <c r="N118" s="388" cm="1">
        <f t="array" ref="N118">SUMPRODUCT((H_Rate_Class=$B118)*'[5]Demand - D'!N$369:N$478)</f>
        <v>0</v>
      </c>
      <c r="O118" s="388" cm="1">
        <f t="array" ref="O118">SUMPRODUCT((H_Rate_Class=$B118)*'[5]Demand - D'!O$369:O$478)</f>
        <v>0</v>
      </c>
      <c r="P118" s="425">
        <f>SUM(D118:O118)</f>
        <v>0</v>
      </c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</row>
    <row r="119" spans="1:144" s="4" customFormat="1" ht="11.25">
      <c r="A119" s="386">
        <v>5</v>
      </c>
      <c r="B119" s="131" t="s">
        <v>18</v>
      </c>
      <c r="C119" s="99"/>
      <c r="D119" s="177">
        <f t="shared" ref="D119:P119" si="21">SUM(D117:D118)</f>
        <v>0</v>
      </c>
      <c r="E119" s="177">
        <f t="shared" si="21"/>
        <v>0</v>
      </c>
      <c r="F119" s="177">
        <f t="shared" si="21"/>
        <v>0</v>
      </c>
      <c r="G119" s="177">
        <f t="shared" si="21"/>
        <v>0</v>
      </c>
      <c r="H119" s="177">
        <f t="shared" si="21"/>
        <v>0</v>
      </c>
      <c r="I119" s="177">
        <f t="shared" si="21"/>
        <v>0</v>
      </c>
      <c r="J119" s="177">
        <f t="shared" si="21"/>
        <v>0</v>
      </c>
      <c r="K119" s="177">
        <f t="shared" si="21"/>
        <v>0</v>
      </c>
      <c r="L119" s="177">
        <f t="shared" si="21"/>
        <v>0</v>
      </c>
      <c r="M119" s="177">
        <f t="shared" si="21"/>
        <v>0</v>
      </c>
      <c r="N119" s="177">
        <f t="shared" si="21"/>
        <v>0</v>
      </c>
      <c r="O119" s="177">
        <f t="shared" si="21"/>
        <v>0</v>
      </c>
      <c r="P119" s="177">
        <f t="shared" si="21"/>
        <v>0</v>
      </c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</row>
    <row r="120" spans="1:144" s="4" customFormat="1" ht="11.25">
      <c r="B120" s="147"/>
      <c r="C120" s="99"/>
      <c r="D120" s="177"/>
      <c r="E120" s="177"/>
      <c r="F120" s="177"/>
      <c r="G120" s="177"/>
      <c r="H120" s="177"/>
      <c r="I120" s="177"/>
      <c r="J120" s="177"/>
      <c r="K120" s="177"/>
      <c r="L120" s="177"/>
      <c r="M120" s="177"/>
      <c r="N120" s="177"/>
      <c r="O120" s="177"/>
      <c r="P120" s="158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</row>
    <row r="121" spans="1:144" s="4" customFormat="1" ht="11.25">
      <c r="A121" s="386">
        <v>6</v>
      </c>
      <c r="B121" s="87" t="s">
        <v>82</v>
      </c>
      <c r="C121" s="157" t="s">
        <v>5</v>
      </c>
      <c r="D121" s="177" cm="1">
        <f t="array" ref="D121">SUMPRODUCT((H_Rate_Class=$B121)*'[5]Demand - D'!D$369:D$478)</f>
        <v>0</v>
      </c>
      <c r="E121" s="177" cm="1">
        <f t="array" ref="E121">SUMPRODUCT((H_Rate_Class=$B121)*'[5]Demand - D'!E$369:E$478)</f>
        <v>0</v>
      </c>
      <c r="F121" s="177" cm="1">
        <f t="array" ref="F121">SUMPRODUCT((H_Rate_Class=$B121)*'[5]Demand - D'!F$369:F$478)</f>
        <v>0</v>
      </c>
      <c r="G121" s="177" cm="1">
        <f t="array" ref="G121">SUMPRODUCT((H_Rate_Class=$B121)*'[5]Demand - D'!G$369:G$478)</f>
        <v>0</v>
      </c>
      <c r="H121" s="177" cm="1">
        <f t="array" ref="H121">SUMPRODUCT((H_Rate_Class=$B121)*'[5]Demand - D'!H$369:H$478)</f>
        <v>0</v>
      </c>
      <c r="I121" s="177" cm="1">
        <f t="array" ref="I121">SUMPRODUCT((H_Rate_Class=$B121)*'[5]Demand - D'!I$369:I$478)</f>
        <v>0</v>
      </c>
      <c r="J121" s="177" cm="1">
        <f t="array" ref="J121">SUMPRODUCT((H_Rate_Class=$B121)*'[5]Demand - D'!J$369:J$478)</f>
        <v>0</v>
      </c>
      <c r="K121" s="177" cm="1">
        <f t="array" ref="K121">SUMPRODUCT((H_Rate_Class=$B121)*'[5]Demand - D'!K$369:K$478)</f>
        <v>0</v>
      </c>
      <c r="L121" s="177" cm="1">
        <f t="array" ref="L121">SUMPRODUCT((H_Rate_Class=$B121)*'[5]Demand - D'!L$369:L$478)</f>
        <v>0</v>
      </c>
      <c r="M121" s="177" cm="1">
        <f t="array" ref="M121">SUMPRODUCT((H_Rate_Class=$B121)*'[5]Demand - D'!M$369:M$478)</f>
        <v>0</v>
      </c>
      <c r="N121" s="177" cm="1">
        <f t="array" ref="N121">SUMPRODUCT((H_Rate_Class=$B121)*'[5]Demand - D'!N$369:N$478)</f>
        <v>0</v>
      </c>
      <c r="O121" s="177" cm="1">
        <f t="array" ref="O121">SUMPRODUCT((H_Rate_Class=$B121)*'[5]Demand - D'!O$369:O$478)</f>
        <v>0</v>
      </c>
      <c r="P121" s="158">
        <f>SUM(D121:O121)</f>
        <v>0</v>
      </c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</row>
    <row r="122" spans="1:144" s="4" customFormat="1" ht="11.25">
      <c r="A122" s="386">
        <v>7</v>
      </c>
      <c r="B122" s="87" t="s">
        <v>83</v>
      </c>
      <c r="C122" s="157" t="s">
        <v>5</v>
      </c>
      <c r="D122" s="390" cm="1">
        <f t="array" ref="D122">SUMPRODUCT((H_Rate_Class=$B122)*'[5]Demand - D'!D$369:D$478)</f>
        <v>0</v>
      </c>
      <c r="E122" s="390" cm="1">
        <f t="array" ref="E122">SUMPRODUCT((H_Rate_Class=$B122)*'[5]Demand - D'!E$369:E$478)</f>
        <v>0</v>
      </c>
      <c r="F122" s="390" cm="1">
        <f t="array" ref="F122">SUMPRODUCT((H_Rate_Class=$B122)*'[5]Demand - D'!F$369:F$478)</f>
        <v>0</v>
      </c>
      <c r="G122" s="390" cm="1">
        <f t="array" ref="G122">SUMPRODUCT((H_Rate_Class=$B122)*'[5]Demand - D'!G$369:G$478)</f>
        <v>0</v>
      </c>
      <c r="H122" s="390" cm="1">
        <f t="array" ref="H122">SUMPRODUCT((H_Rate_Class=$B122)*'[5]Demand - D'!H$369:H$478)</f>
        <v>0</v>
      </c>
      <c r="I122" s="390" cm="1">
        <f t="array" ref="I122">SUMPRODUCT((H_Rate_Class=$B122)*'[5]Demand - D'!I$369:I$478)</f>
        <v>0</v>
      </c>
      <c r="J122" s="390" cm="1">
        <f t="array" ref="J122">SUMPRODUCT((H_Rate_Class=$B122)*'[5]Demand - D'!J$369:J$478)</f>
        <v>0</v>
      </c>
      <c r="K122" s="390" cm="1">
        <f t="array" ref="K122">SUMPRODUCT((H_Rate_Class=$B122)*'[5]Demand - D'!K$369:K$478)</f>
        <v>0</v>
      </c>
      <c r="L122" s="390" cm="1">
        <f t="array" ref="L122">SUMPRODUCT((H_Rate_Class=$B122)*'[5]Demand - D'!L$369:L$478)</f>
        <v>0</v>
      </c>
      <c r="M122" s="390" cm="1">
        <f t="array" ref="M122">SUMPRODUCT((H_Rate_Class=$B122)*'[5]Demand - D'!M$369:M$478)</f>
        <v>0</v>
      </c>
      <c r="N122" s="390" cm="1">
        <f t="array" ref="N122">SUMPRODUCT((H_Rate_Class=$B122)*'[5]Demand - D'!N$369:N$478)</f>
        <v>0</v>
      </c>
      <c r="O122" s="390" cm="1">
        <f t="array" ref="O122">SUMPRODUCT((H_Rate_Class=$B122)*'[5]Demand - D'!O$369:O$478)</f>
        <v>0</v>
      </c>
      <c r="P122" s="158">
        <f>SUM(D122:O122)</f>
        <v>0</v>
      </c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</row>
    <row r="123" spans="1:144" s="4" customFormat="1" ht="11.25">
      <c r="A123" s="386">
        <v>8</v>
      </c>
      <c r="B123" s="87" t="s">
        <v>148</v>
      </c>
      <c r="C123" s="157" t="s">
        <v>5</v>
      </c>
      <c r="D123" s="390" cm="1">
        <f t="array" ref="D123">SUMPRODUCT((H_Rate_Class=$B123)*'[5]Demand - D'!D$369:D$478)</f>
        <v>0</v>
      </c>
      <c r="E123" s="390" cm="1">
        <f t="array" ref="E123">SUMPRODUCT((H_Rate_Class=$B123)*'[5]Demand - D'!E$369:E$478)</f>
        <v>0</v>
      </c>
      <c r="F123" s="390" cm="1">
        <f t="array" ref="F123">SUMPRODUCT((H_Rate_Class=$B123)*'[5]Demand - D'!F$369:F$478)</f>
        <v>0</v>
      </c>
      <c r="G123" s="390" cm="1">
        <f t="array" ref="G123">SUMPRODUCT((H_Rate_Class=$B123)*'[5]Demand - D'!G$369:G$478)</f>
        <v>0</v>
      </c>
      <c r="H123" s="390" cm="1">
        <f t="array" ref="H123">SUMPRODUCT((H_Rate_Class=$B123)*'[5]Demand - D'!H$369:H$478)</f>
        <v>0</v>
      </c>
      <c r="I123" s="390" cm="1">
        <f t="array" ref="I123">SUMPRODUCT((H_Rate_Class=$B123)*'[5]Demand - D'!I$369:I$478)</f>
        <v>0</v>
      </c>
      <c r="J123" s="390" cm="1">
        <f t="array" ref="J123">SUMPRODUCT((H_Rate_Class=$B123)*'[5]Demand - D'!J$369:J$478)</f>
        <v>0</v>
      </c>
      <c r="K123" s="390" cm="1">
        <f t="array" ref="K123">SUMPRODUCT((H_Rate_Class=$B123)*'[5]Demand - D'!K$369:K$478)</f>
        <v>0</v>
      </c>
      <c r="L123" s="390" cm="1">
        <f t="array" ref="L123">SUMPRODUCT((H_Rate_Class=$B123)*'[5]Demand - D'!L$369:L$478)</f>
        <v>0</v>
      </c>
      <c r="M123" s="390" cm="1">
        <f t="array" ref="M123">SUMPRODUCT((H_Rate_Class=$B123)*'[5]Demand - D'!M$369:M$478)</f>
        <v>0</v>
      </c>
      <c r="N123" s="390" cm="1">
        <f t="array" ref="N123">SUMPRODUCT((H_Rate_Class=$B123)*'[5]Demand - D'!N$369:N$478)</f>
        <v>0</v>
      </c>
      <c r="O123" s="390" cm="1">
        <f t="array" ref="O123">SUMPRODUCT((H_Rate_Class=$B123)*'[5]Demand - D'!O$369:O$478)</f>
        <v>0</v>
      </c>
      <c r="P123" s="158">
        <f t="shared" ref="P123:P124" si="22">SUM(D123:O123)</f>
        <v>0</v>
      </c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</row>
    <row r="124" spans="1:144" s="4" customFormat="1" ht="11.25">
      <c r="A124" s="386">
        <v>9</v>
      </c>
      <c r="B124" s="87" t="s">
        <v>149</v>
      </c>
      <c r="C124" s="157" t="s">
        <v>5</v>
      </c>
      <c r="D124" s="390" cm="1">
        <f t="array" ref="D124">SUMPRODUCT((H_Rate_Class=$B124)*'[5]Demand - D'!D$369:D$478)</f>
        <v>0</v>
      </c>
      <c r="E124" s="390" cm="1">
        <f t="array" ref="E124">SUMPRODUCT((H_Rate_Class=$B124)*'[5]Demand - D'!E$369:E$478)</f>
        <v>0</v>
      </c>
      <c r="F124" s="390" cm="1">
        <f t="array" ref="F124">SUMPRODUCT((H_Rate_Class=$B124)*'[5]Demand - D'!F$369:F$478)</f>
        <v>0</v>
      </c>
      <c r="G124" s="390" cm="1">
        <f t="array" ref="G124">SUMPRODUCT((H_Rate_Class=$B124)*'[5]Demand - D'!G$369:G$478)</f>
        <v>0</v>
      </c>
      <c r="H124" s="390" cm="1">
        <f t="array" ref="H124">SUMPRODUCT((H_Rate_Class=$B124)*'[5]Demand - D'!H$369:H$478)</f>
        <v>0</v>
      </c>
      <c r="I124" s="390" cm="1">
        <f t="array" ref="I124">SUMPRODUCT((H_Rate_Class=$B124)*'[5]Demand - D'!I$369:I$478)</f>
        <v>0</v>
      </c>
      <c r="J124" s="390" cm="1">
        <f t="array" ref="J124">SUMPRODUCT((H_Rate_Class=$B124)*'[5]Demand - D'!J$369:J$478)</f>
        <v>0</v>
      </c>
      <c r="K124" s="390" cm="1">
        <f t="array" ref="K124">SUMPRODUCT((H_Rate_Class=$B124)*'[5]Demand - D'!K$369:K$478)</f>
        <v>0</v>
      </c>
      <c r="L124" s="390" cm="1">
        <f t="array" ref="L124">SUMPRODUCT((H_Rate_Class=$B124)*'[5]Demand - D'!L$369:L$478)</f>
        <v>0</v>
      </c>
      <c r="M124" s="390" cm="1">
        <f t="array" ref="M124">SUMPRODUCT((H_Rate_Class=$B124)*'[5]Demand - D'!M$369:M$478)</f>
        <v>0</v>
      </c>
      <c r="N124" s="390" cm="1">
        <f t="array" ref="N124">SUMPRODUCT((H_Rate_Class=$B124)*'[5]Demand - D'!N$369:N$478)</f>
        <v>0</v>
      </c>
      <c r="O124" s="390" cm="1">
        <f t="array" ref="O124">SUMPRODUCT((H_Rate_Class=$B124)*'[5]Demand - D'!O$369:O$478)</f>
        <v>0</v>
      </c>
      <c r="P124" s="158">
        <f t="shared" si="22"/>
        <v>0</v>
      </c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</row>
    <row r="125" spans="1:144" s="4" customFormat="1" ht="11.25">
      <c r="A125" s="386">
        <v>10</v>
      </c>
      <c r="B125" s="87" t="s">
        <v>19</v>
      </c>
      <c r="C125" s="157"/>
      <c r="D125" s="391">
        <f>SUM(D121:D124)</f>
        <v>0</v>
      </c>
      <c r="E125" s="391">
        <f t="shared" ref="E125:P125" si="23">SUM(E121:E124)</f>
        <v>0</v>
      </c>
      <c r="F125" s="391">
        <f t="shared" si="23"/>
        <v>0</v>
      </c>
      <c r="G125" s="391">
        <f t="shared" si="23"/>
        <v>0</v>
      </c>
      <c r="H125" s="391">
        <f t="shared" si="23"/>
        <v>0</v>
      </c>
      <c r="I125" s="391">
        <f t="shared" si="23"/>
        <v>0</v>
      </c>
      <c r="J125" s="391">
        <f t="shared" si="23"/>
        <v>0</v>
      </c>
      <c r="K125" s="391">
        <f t="shared" si="23"/>
        <v>0</v>
      </c>
      <c r="L125" s="391">
        <f t="shared" si="23"/>
        <v>0</v>
      </c>
      <c r="M125" s="391">
        <f t="shared" si="23"/>
        <v>0</v>
      </c>
      <c r="N125" s="391">
        <f t="shared" si="23"/>
        <v>0</v>
      </c>
      <c r="O125" s="391">
        <f t="shared" si="23"/>
        <v>0</v>
      </c>
      <c r="P125" s="391">
        <f t="shared" si="23"/>
        <v>0</v>
      </c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</row>
    <row r="126" spans="1:144" s="4" customFormat="1" ht="11.25">
      <c r="A126" s="386"/>
      <c r="B126" s="87"/>
      <c r="C126" s="157"/>
      <c r="D126" s="177"/>
      <c r="E126" s="177"/>
      <c r="F126" s="177"/>
      <c r="G126" s="177"/>
      <c r="H126" s="177"/>
      <c r="I126" s="177"/>
      <c r="J126" s="177"/>
      <c r="K126" s="177"/>
      <c r="L126" s="177"/>
      <c r="M126" s="177"/>
      <c r="N126" s="177"/>
      <c r="O126" s="177"/>
      <c r="P126" s="158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</row>
    <row r="127" spans="1:144" s="4" customFormat="1" ht="11.25">
      <c r="A127" s="386">
        <v>11</v>
      </c>
      <c r="B127" s="131" t="s">
        <v>86</v>
      </c>
      <c r="C127" s="157" t="s">
        <v>6</v>
      </c>
      <c r="D127" s="177" cm="1">
        <f t="array" ref="D127">SUMPRODUCT((H_Rate_Class=$B127)*'[5]Demand - D'!D$369:D$478)</f>
        <v>0</v>
      </c>
      <c r="E127" s="177" cm="1">
        <f t="array" ref="E127">SUMPRODUCT((H_Rate_Class=$B127)*'[5]Demand - D'!E$369:E$478)</f>
        <v>0</v>
      </c>
      <c r="F127" s="177" cm="1">
        <f t="array" ref="F127">SUMPRODUCT((H_Rate_Class=$B127)*'[5]Demand - D'!F$369:F$478)</f>
        <v>0</v>
      </c>
      <c r="G127" s="177" cm="1">
        <f t="array" ref="G127">SUMPRODUCT((H_Rate_Class=$B127)*'[5]Demand - D'!G$369:G$478)</f>
        <v>0</v>
      </c>
      <c r="H127" s="177" cm="1">
        <f t="array" ref="H127">SUMPRODUCT((H_Rate_Class=$B127)*'[5]Demand - D'!H$369:H$478)</f>
        <v>0</v>
      </c>
      <c r="I127" s="177" cm="1">
        <f t="array" ref="I127">SUMPRODUCT((H_Rate_Class=$B127)*'[5]Demand - D'!I$369:I$478)</f>
        <v>0</v>
      </c>
      <c r="J127" s="177" cm="1">
        <f t="array" ref="J127">SUMPRODUCT((H_Rate_Class=$B127)*'[5]Demand - D'!J$369:J$478)</f>
        <v>0</v>
      </c>
      <c r="K127" s="177" cm="1">
        <f t="array" ref="K127">SUMPRODUCT((H_Rate_Class=$B127)*'[5]Demand - D'!K$369:K$478)</f>
        <v>0</v>
      </c>
      <c r="L127" s="177" cm="1">
        <f t="array" ref="L127">SUMPRODUCT((H_Rate_Class=$B127)*'[5]Demand - D'!L$369:L$478)</f>
        <v>0</v>
      </c>
      <c r="M127" s="177" cm="1">
        <f t="array" ref="M127">SUMPRODUCT((H_Rate_Class=$B127)*'[5]Demand - D'!M$369:M$478)</f>
        <v>0</v>
      </c>
      <c r="N127" s="177" cm="1">
        <f t="array" ref="N127">SUMPRODUCT((H_Rate_Class=$B127)*'[5]Demand - D'!N$369:N$478)</f>
        <v>0</v>
      </c>
      <c r="O127" s="177" cm="1">
        <f t="array" ref="O127">SUMPRODUCT((H_Rate_Class=$B127)*'[5]Demand - D'!O$369:O$478)</f>
        <v>0</v>
      </c>
      <c r="P127" s="158">
        <f>SUM(D127:O127)</f>
        <v>0</v>
      </c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</row>
    <row r="128" spans="1:144" s="4" customFormat="1" ht="11.25">
      <c r="B128" s="87"/>
      <c r="C128" s="99"/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58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</row>
    <row r="129" spans="1:144" s="4" customFormat="1" ht="11.25">
      <c r="A129" s="386">
        <v>12</v>
      </c>
      <c r="B129" s="89" t="s">
        <v>21</v>
      </c>
      <c r="C129" s="157" t="s">
        <v>4</v>
      </c>
      <c r="D129" s="177" cm="1">
        <f t="array" ref="D129">SUMPRODUCT((H_Rate_Class=$B129)*'[5]Demand - D'!D$369:D$478)</f>
        <v>0</v>
      </c>
      <c r="E129" s="177" cm="1">
        <f t="array" ref="E129">SUMPRODUCT((H_Rate_Class=$B129)*'[5]Demand - D'!E$369:E$478)</f>
        <v>0</v>
      </c>
      <c r="F129" s="177" cm="1">
        <f t="array" ref="F129">SUMPRODUCT((H_Rate_Class=$B129)*'[5]Demand - D'!F$369:F$478)</f>
        <v>0</v>
      </c>
      <c r="G129" s="177" cm="1">
        <f t="array" ref="G129">SUMPRODUCT((H_Rate_Class=$B129)*'[5]Demand - D'!G$369:G$478)</f>
        <v>0</v>
      </c>
      <c r="H129" s="177" cm="1">
        <f t="array" ref="H129">SUMPRODUCT((H_Rate_Class=$B129)*'[5]Demand - D'!H$369:H$478)</f>
        <v>0</v>
      </c>
      <c r="I129" s="177" cm="1">
        <f t="array" ref="I129">SUMPRODUCT((H_Rate_Class=$B129)*'[5]Demand - D'!I$369:I$478)</f>
        <v>0</v>
      </c>
      <c r="J129" s="177" cm="1">
        <f t="array" ref="J129">SUMPRODUCT((H_Rate_Class=$B129)*'[5]Demand - D'!J$369:J$478)</f>
        <v>0</v>
      </c>
      <c r="K129" s="177" cm="1">
        <f t="array" ref="K129">SUMPRODUCT((H_Rate_Class=$B129)*'[5]Demand - D'!K$369:K$478)</f>
        <v>0</v>
      </c>
      <c r="L129" s="177" cm="1">
        <f t="array" ref="L129">SUMPRODUCT((H_Rate_Class=$B129)*'[5]Demand - D'!L$369:L$478)</f>
        <v>0</v>
      </c>
      <c r="M129" s="177" cm="1">
        <f t="array" ref="M129">SUMPRODUCT((H_Rate_Class=$B129)*'[5]Demand - D'!M$369:M$478)</f>
        <v>0</v>
      </c>
      <c r="N129" s="177" cm="1">
        <f t="array" ref="N129">SUMPRODUCT((H_Rate_Class=$B129)*'[5]Demand - D'!N$369:N$478)</f>
        <v>0</v>
      </c>
      <c r="O129" s="177" cm="1">
        <f t="array" ref="O129">SUMPRODUCT((H_Rate_Class=$B129)*'[5]Demand - D'!O$369:O$478)</f>
        <v>0</v>
      </c>
      <c r="P129" s="158">
        <f>SUM(D129:O129)</f>
        <v>0</v>
      </c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</row>
    <row r="130" spans="1:144" s="4" customFormat="1" ht="11.25">
      <c r="A130" s="386"/>
      <c r="B130" s="87"/>
      <c r="C130" s="99"/>
      <c r="D130" s="177"/>
      <c r="E130" s="177"/>
      <c r="F130" s="177"/>
      <c r="G130" s="177"/>
      <c r="H130" s="177"/>
      <c r="I130" s="177"/>
      <c r="J130" s="177"/>
      <c r="K130" s="177"/>
      <c r="L130" s="177"/>
      <c r="M130" s="177"/>
      <c r="N130" s="177"/>
      <c r="O130" s="177"/>
      <c r="P130" s="158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</row>
    <row r="131" spans="1:144" s="4" customFormat="1" ht="11.25">
      <c r="A131" s="386">
        <v>13</v>
      </c>
      <c r="B131" s="393" t="s">
        <v>22</v>
      </c>
      <c r="C131" s="362"/>
      <c r="D131" s="394">
        <f t="shared" ref="D131:P131" si="24">D129+D127+D125+D119+D115+D113</f>
        <v>0</v>
      </c>
      <c r="E131" s="394">
        <f t="shared" si="24"/>
        <v>0</v>
      </c>
      <c r="F131" s="394">
        <f t="shared" si="24"/>
        <v>0</v>
      </c>
      <c r="G131" s="394">
        <f t="shared" si="24"/>
        <v>0</v>
      </c>
      <c r="H131" s="394">
        <f t="shared" si="24"/>
        <v>0</v>
      </c>
      <c r="I131" s="394">
        <f t="shared" si="24"/>
        <v>0</v>
      </c>
      <c r="J131" s="394">
        <f t="shared" si="24"/>
        <v>0</v>
      </c>
      <c r="K131" s="394">
        <f t="shared" si="24"/>
        <v>0</v>
      </c>
      <c r="L131" s="394">
        <f t="shared" si="24"/>
        <v>0</v>
      </c>
      <c r="M131" s="394">
        <f t="shared" si="24"/>
        <v>0</v>
      </c>
      <c r="N131" s="394">
        <f t="shared" si="24"/>
        <v>0</v>
      </c>
      <c r="O131" s="394">
        <f t="shared" si="24"/>
        <v>0</v>
      </c>
      <c r="P131" s="394">
        <f t="shared" si="24"/>
        <v>0</v>
      </c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</row>
    <row r="132" spans="1:144" s="4" customFormat="1" ht="11.25">
      <c r="B132" s="362"/>
      <c r="C132" s="362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58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</row>
    <row r="133" spans="1:144" s="4" customFormat="1" ht="11.25">
      <c r="A133" s="386">
        <v>14</v>
      </c>
      <c r="B133" s="89" t="s">
        <v>69</v>
      </c>
      <c r="C133" s="157" t="s">
        <v>5</v>
      </c>
      <c r="D133" s="177"/>
      <c r="E133" s="177"/>
      <c r="F133" s="177"/>
      <c r="G133" s="177"/>
      <c r="H133" s="177"/>
      <c r="I133" s="177"/>
      <c r="J133" s="177"/>
      <c r="K133" s="177"/>
      <c r="L133" s="177"/>
      <c r="M133" s="177"/>
      <c r="N133" s="177"/>
      <c r="O133" s="177"/>
      <c r="P133" s="158">
        <f>SUM(D133:O133)</f>
        <v>0</v>
      </c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</row>
    <row r="134" spans="1:144" s="4" customFormat="1" ht="11.25">
      <c r="A134" s="386">
        <v>15</v>
      </c>
      <c r="B134" s="89" t="s">
        <v>70</v>
      </c>
      <c r="C134" s="157" t="s">
        <v>6</v>
      </c>
      <c r="D134" s="388"/>
      <c r="E134" s="388"/>
      <c r="F134" s="388"/>
      <c r="G134" s="388"/>
      <c r="H134" s="388"/>
      <c r="I134" s="388"/>
      <c r="J134" s="388"/>
      <c r="K134" s="388"/>
      <c r="L134" s="388"/>
      <c r="M134" s="388"/>
      <c r="N134" s="388"/>
      <c r="O134" s="388"/>
      <c r="P134" s="425">
        <f>SUM(D134:O134)</f>
        <v>0</v>
      </c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</row>
    <row r="135" spans="1:144" s="4" customFormat="1" ht="11.25">
      <c r="A135" s="386">
        <v>16</v>
      </c>
      <c r="B135" s="393" t="s">
        <v>23</v>
      </c>
      <c r="C135" s="361"/>
      <c r="D135" s="101">
        <f t="shared" ref="D135:P135" si="25">SUM(D133:D134)</f>
        <v>0</v>
      </c>
      <c r="E135" s="101">
        <f t="shared" si="25"/>
        <v>0</v>
      </c>
      <c r="F135" s="101">
        <f t="shared" si="25"/>
        <v>0</v>
      </c>
      <c r="G135" s="101">
        <f t="shared" si="25"/>
        <v>0</v>
      </c>
      <c r="H135" s="101">
        <f t="shared" si="25"/>
        <v>0</v>
      </c>
      <c r="I135" s="101">
        <f t="shared" si="25"/>
        <v>0</v>
      </c>
      <c r="J135" s="101">
        <f t="shared" si="25"/>
        <v>0</v>
      </c>
      <c r="K135" s="101">
        <f t="shared" si="25"/>
        <v>0</v>
      </c>
      <c r="L135" s="101">
        <f t="shared" si="25"/>
        <v>0</v>
      </c>
      <c r="M135" s="101">
        <f t="shared" si="25"/>
        <v>0</v>
      </c>
      <c r="N135" s="101">
        <f t="shared" si="25"/>
        <v>0</v>
      </c>
      <c r="O135" s="101">
        <f t="shared" si="25"/>
        <v>0</v>
      </c>
      <c r="P135" s="101">
        <f t="shared" si="25"/>
        <v>0</v>
      </c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</row>
    <row r="136" spans="1:144" s="4" customFormat="1" ht="11.25">
      <c r="A136" s="386"/>
      <c r="B136" s="87"/>
      <c r="C136" s="396"/>
      <c r="D136" s="177"/>
      <c r="E136" s="177"/>
      <c r="F136" s="177"/>
      <c r="G136" s="177"/>
      <c r="H136" s="177"/>
      <c r="I136" s="177"/>
      <c r="J136" s="177"/>
      <c r="K136" s="177"/>
      <c r="L136" s="177"/>
      <c r="M136" s="177"/>
      <c r="N136" s="177"/>
      <c r="O136" s="177"/>
      <c r="P136" s="158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</row>
    <row r="137" spans="1:144" s="4" customFormat="1" ht="12" thickBot="1">
      <c r="A137" s="386">
        <v>17</v>
      </c>
      <c r="B137" s="147" t="s">
        <v>92</v>
      </c>
      <c r="C137" s="361"/>
      <c r="D137" s="397">
        <f t="shared" ref="D137:P137" si="26">+D135+D131</f>
        <v>0</v>
      </c>
      <c r="E137" s="397">
        <f t="shared" si="26"/>
        <v>0</v>
      </c>
      <c r="F137" s="397">
        <f t="shared" si="26"/>
        <v>0</v>
      </c>
      <c r="G137" s="397">
        <f t="shared" si="26"/>
        <v>0</v>
      </c>
      <c r="H137" s="397">
        <f t="shared" si="26"/>
        <v>0</v>
      </c>
      <c r="I137" s="397">
        <f t="shared" si="26"/>
        <v>0</v>
      </c>
      <c r="J137" s="397">
        <f t="shared" si="26"/>
        <v>0</v>
      </c>
      <c r="K137" s="397">
        <f t="shared" si="26"/>
        <v>0</v>
      </c>
      <c r="L137" s="397">
        <f t="shared" si="26"/>
        <v>0</v>
      </c>
      <c r="M137" s="397">
        <f t="shared" si="26"/>
        <v>0</v>
      </c>
      <c r="N137" s="397">
        <f t="shared" si="26"/>
        <v>0</v>
      </c>
      <c r="O137" s="397">
        <f t="shared" si="26"/>
        <v>0</v>
      </c>
      <c r="P137" s="397">
        <f t="shared" si="26"/>
        <v>0</v>
      </c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</row>
    <row r="138" spans="1:144" ht="8.25" customHeight="1" thickTop="1">
      <c r="A138" s="5"/>
      <c r="B138" s="131"/>
      <c r="C138" s="99"/>
      <c r="D138" s="458"/>
      <c r="E138" s="458"/>
      <c r="F138" s="458"/>
      <c r="G138" s="458"/>
      <c r="H138" s="458"/>
      <c r="I138" s="458"/>
      <c r="J138" s="458"/>
      <c r="K138" s="458"/>
      <c r="L138" s="458"/>
      <c r="M138" s="458"/>
      <c r="N138" s="458"/>
      <c r="O138" s="458"/>
      <c r="P138" s="458"/>
    </row>
    <row r="139" spans="1:144">
      <c r="A139" s="5"/>
      <c r="B139" s="371" t="str">
        <f>B8</f>
        <v>AEP TEXAS</v>
      </c>
      <c r="C139" s="371"/>
      <c r="D139" s="371"/>
      <c r="E139" s="371"/>
      <c r="F139" s="371"/>
      <c r="G139" s="371"/>
      <c r="H139" s="371"/>
      <c r="I139" s="371"/>
      <c r="J139" s="371"/>
      <c r="K139" s="371"/>
      <c r="L139" s="371"/>
      <c r="M139" s="371"/>
      <c r="N139" s="371"/>
      <c r="O139" s="371"/>
      <c r="P139" s="371"/>
    </row>
    <row r="140" spans="1:144">
      <c r="B140" s="371" t="s">
        <v>40</v>
      </c>
      <c r="C140" s="371"/>
      <c r="D140" s="371"/>
      <c r="E140" s="371"/>
      <c r="F140" s="371"/>
      <c r="G140" s="371"/>
      <c r="H140" s="371"/>
      <c r="I140" s="371"/>
      <c r="J140" s="371"/>
      <c r="K140" s="371"/>
      <c r="L140" s="371"/>
      <c r="M140" s="371"/>
      <c r="N140" s="371"/>
      <c r="O140" s="371"/>
      <c r="P140" s="371"/>
    </row>
    <row r="141" spans="1:144">
      <c r="B141" s="371" t="str">
        <f>B108</f>
        <v>FOR TEST YEAR ENDED SEPTEMBER 30, 2023</v>
      </c>
      <c r="C141" s="371"/>
      <c r="D141" s="371"/>
      <c r="E141" s="371"/>
      <c r="F141" s="371"/>
      <c r="G141" s="371"/>
      <c r="H141" s="371"/>
      <c r="I141" s="371"/>
      <c r="J141" s="371"/>
      <c r="K141" s="371"/>
      <c r="L141" s="371"/>
      <c r="M141" s="371"/>
      <c r="N141" s="371"/>
      <c r="O141" s="371"/>
      <c r="P141" s="371"/>
    </row>
    <row r="142" spans="1:144">
      <c r="B142" s="371"/>
      <c r="C142" s="371"/>
      <c r="D142" s="371"/>
      <c r="E142" s="371"/>
      <c r="F142" s="371"/>
      <c r="G142" s="371"/>
      <c r="H142" s="371"/>
      <c r="I142" s="371"/>
      <c r="J142" s="371"/>
      <c r="K142" s="371"/>
      <c r="L142" s="371"/>
      <c r="M142" s="371"/>
      <c r="N142" s="371"/>
      <c r="O142" s="371"/>
      <c r="P142" s="371"/>
    </row>
    <row r="143" spans="1:144">
      <c r="B143" s="147"/>
      <c r="C143" s="99"/>
      <c r="D143" s="404"/>
      <c r="E143" s="405"/>
      <c r="F143" s="405"/>
      <c r="G143" s="404"/>
      <c r="H143" s="405"/>
      <c r="I143" s="405"/>
      <c r="J143" s="457"/>
      <c r="K143" s="405"/>
      <c r="L143" s="405"/>
      <c r="M143" s="405"/>
      <c r="N143" s="405"/>
      <c r="O143" s="405"/>
      <c r="P143" s="405"/>
    </row>
    <row r="144" spans="1:144">
      <c r="A144" s="359" t="s">
        <v>8</v>
      </c>
      <c r="B144" s="361" t="s">
        <v>0</v>
      </c>
      <c r="C144" s="361" t="s">
        <v>7</v>
      </c>
      <c r="D144" s="406" t="str">
        <f>D13</f>
        <v>Oct-22</v>
      </c>
      <c r="E144" s="406" t="str">
        <f>E13</f>
        <v>Nov-22</v>
      </c>
      <c r="F144" s="406" t="str">
        <f>F13</f>
        <v>Dec-22</v>
      </c>
      <c r="G144" s="406" t="str">
        <f>G13</f>
        <v>Jan-23</v>
      </c>
      <c r="H144" s="406" t="str">
        <f t="shared" ref="H144:O144" si="27">H13</f>
        <v>Feb-23</v>
      </c>
      <c r="I144" s="406" t="str">
        <f t="shared" si="27"/>
        <v>Mar-23</v>
      </c>
      <c r="J144" s="406" t="str">
        <f t="shared" si="27"/>
        <v>Apr-23</v>
      </c>
      <c r="K144" s="406" t="str">
        <f t="shared" si="27"/>
        <v>May-23</v>
      </c>
      <c r="L144" s="406" t="str">
        <f t="shared" si="27"/>
        <v>Jun-23</v>
      </c>
      <c r="M144" s="406" t="str">
        <f t="shared" si="27"/>
        <v>Jul-23</v>
      </c>
      <c r="N144" s="406" t="str">
        <f t="shared" si="27"/>
        <v>Aug-23</v>
      </c>
      <c r="O144" s="406" t="str">
        <f t="shared" si="27"/>
        <v>Sep-23</v>
      </c>
      <c r="P144" s="406" t="s">
        <v>2</v>
      </c>
    </row>
    <row r="145" spans="1:144">
      <c r="A145" s="359"/>
      <c r="B145" s="361"/>
      <c r="C145" s="361"/>
      <c r="D145" s="406"/>
      <c r="E145" s="406"/>
      <c r="F145" s="406"/>
      <c r="G145" s="406"/>
      <c r="H145" s="406"/>
      <c r="I145" s="406"/>
      <c r="J145" s="406"/>
      <c r="K145" s="406"/>
      <c r="L145" s="406"/>
      <c r="M145" s="406"/>
      <c r="N145" s="406"/>
      <c r="O145" s="406"/>
      <c r="P145" s="406"/>
    </row>
    <row r="146" spans="1:144" s="4" customFormat="1" ht="11.25">
      <c r="A146" s="386" t="s">
        <v>9</v>
      </c>
      <c r="B146" s="87" t="s">
        <v>17</v>
      </c>
      <c r="C146" s="99" t="s">
        <v>4</v>
      </c>
      <c r="D146" s="177">
        <f t="shared" ref="D146:O146" si="28">D113+D80+D48+D15</f>
        <v>0</v>
      </c>
      <c r="E146" s="177">
        <f t="shared" si="28"/>
        <v>0</v>
      </c>
      <c r="F146" s="177">
        <f t="shared" si="28"/>
        <v>0</v>
      </c>
      <c r="G146" s="177">
        <f t="shared" si="28"/>
        <v>0</v>
      </c>
      <c r="H146" s="177">
        <f t="shared" si="28"/>
        <v>0</v>
      </c>
      <c r="I146" s="177">
        <f t="shared" si="28"/>
        <v>0</v>
      </c>
      <c r="J146" s="177">
        <f t="shared" si="28"/>
        <v>0</v>
      </c>
      <c r="K146" s="177">
        <f t="shared" si="28"/>
        <v>0</v>
      </c>
      <c r="L146" s="177">
        <f t="shared" si="28"/>
        <v>0</v>
      </c>
      <c r="M146" s="177">
        <f t="shared" si="28"/>
        <v>0</v>
      </c>
      <c r="N146" s="177">
        <f t="shared" si="28"/>
        <v>0</v>
      </c>
      <c r="O146" s="177">
        <f t="shared" si="28"/>
        <v>0</v>
      </c>
      <c r="P146" s="158">
        <f>SUM(D146:O146)</f>
        <v>0</v>
      </c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</row>
    <row r="147" spans="1:144" s="4" customFormat="1" ht="11.25">
      <c r="B147" s="87"/>
      <c r="C147" s="99"/>
      <c r="D147" s="177"/>
      <c r="E147" s="177"/>
      <c r="F147" s="177"/>
      <c r="G147" s="177"/>
      <c r="H147" s="177"/>
      <c r="I147" s="177"/>
      <c r="J147" s="177"/>
      <c r="K147" s="177"/>
      <c r="L147" s="177"/>
      <c r="M147" s="177"/>
      <c r="N147" s="177"/>
      <c r="O147" s="177"/>
      <c r="P147" s="158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</row>
    <row r="148" spans="1:144" s="4" customFormat="1" ht="11.25">
      <c r="A148" s="386">
        <v>2</v>
      </c>
      <c r="B148" s="87" t="s">
        <v>20</v>
      </c>
      <c r="C148" s="99" t="s">
        <v>4</v>
      </c>
      <c r="D148" s="177">
        <f t="shared" ref="D148:O148" si="29">D115+D82+D50+D17</f>
        <v>0</v>
      </c>
      <c r="E148" s="177">
        <f t="shared" si="29"/>
        <v>0</v>
      </c>
      <c r="F148" s="177">
        <f t="shared" si="29"/>
        <v>0</v>
      </c>
      <c r="G148" s="177">
        <f t="shared" si="29"/>
        <v>0</v>
      </c>
      <c r="H148" s="177">
        <f t="shared" si="29"/>
        <v>0</v>
      </c>
      <c r="I148" s="177">
        <f t="shared" si="29"/>
        <v>0</v>
      </c>
      <c r="J148" s="177">
        <f t="shared" si="29"/>
        <v>0</v>
      </c>
      <c r="K148" s="177">
        <f t="shared" si="29"/>
        <v>0</v>
      </c>
      <c r="L148" s="177">
        <f t="shared" si="29"/>
        <v>0</v>
      </c>
      <c r="M148" s="177">
        <f t="shared" si="29"/>
        <v>0</v>
      </c>
      <c r="N148" s="177">
        <f t="shared" si="29"/>
        <v>0</v>
      </c>
      <c r="O148" s="177">
        <f t="shared" si="29"/>
        <v>0</v>
      </c>
      <c r="P148" s="158">
        <f>SUM(D148:O148)</f>
        <v>0</v>
      </c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</row>
    <row r="149" spans="1:144" s="4" customFormat="1" ht="11.25">
      <c r="A149" s="386"/>
      <c r="B149" s="87"/>
      <c r="C149" s="99"/>
      <c r="D149" s="177"/>
      <c r="E149" s="177"/>
      <c r="F149" s="177"/>
      <c r="G149" s="177"/>
      <c r="H149" s="177"/>
      <c r="I149" s="177"/>
      <c r="J149" s="177"/>
      <c r="K149" s="177"/>
      <c r="L149" s="177"/>
      <c r="M149" s="177"/>
      <c r="N149" s="177"/>
      <c r="O149" s="177"/>
      <c r="P149" s="158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</row>
    <row r="150" spans="1:144" s="4" customFormat="1" ht="11.25">
      <c r="A150" s="386">
        <v>3</v>
      </c>
      <c r="B150" s="87" t="s">
        <v>81</v>
      </c>
      <c r="C150" s="157" t="s">
        <v>4</v>
      </c>
      <c r="D150" s="177">
        <f t="shared" ref="D150:O150" si="30">D117+D84+D52+D19</f>
        <v>2346122.2187606916</v>
      </c>
      <c r="E150" s="177">
        <f t="shared" si="30"/>
        <v>2311434.7155043939</v>
      </c>
      <c r="F150" s="177">
        <f t="shared" si="30"/>
        <v>2348065.5211640429</v>
      </c>
      <c r="G150" s="177">
        <f t="shared" si="30"/>
        <v>2353594.8200223786</v>
      </c>
      <c r="H150" s="177">
        <f t="shared" si="30"/>
        <v>2355109.3273512828</v>
      </c>
      <c r="I150" s="177">
        <f t="shared" si="30"/>
        <v>2227586.9046110697</v>
      </c>
      <c r="J150" s="177">
        <f t="shared" si="30"/>
        <v>2236482.8068328989</v>
      </c>
      <c r="K150" s="177">
        <f t="shared" si="30"/>
        <v>2279664.7150975689</v>
      </c>
      <c r="L150" s="177">
        <f t="shared" si="30"/>
        <v>2370581.8042304735</v>
      </c>
      <c r="M150" s="177">
        <f t="shared" si="30"/>
        <v>2347197.7075133137</v>
      </c>
      <c r="N150" s="177">
        <f t="shared" si="30"/>
        <v>2381502.573853822</v>
      </c>
      <c r="O150" s="177">
        <f t="shared" si="30"/>
        <v>2396730.6721126633</v>
      </c>
      <c r="P150" s="158">
        <f>SUM(D150:O150)</f>
        <v>27954073.787054598</v>
      </c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</row>
    <row r="151" spans="1:144" s="4" customFormat="1" ht="11.25">
      <c r="A151" s="386">
        <v>4</v>
      </c>
      <c r="B151" s="87" t="s">
        <v>85</v>
      </c>
      <c r="C151" s="157" t="s">
        <v>4</v>
      </c>
      <c r="D151" s="388">
        <f t="shared" ref="D151:O151" si="31">D118+D85+D53+D20</f>
        <v>322554.79649115988</v>
      </c>
      <c r="E151" s="388">
        <f t="shared" si="31"/>
        <v>311460.82425634016</v>
      </c>
      <c r="F151" s="388">
        <f t="shared" si="31"/>
        <v>299771.7128346925</v>
      </c>
      <c r="G151" s="388">
        <f t="shared" si="31"/>
        <v>294901.42995051283</v>
      </c>
      <c r="H151" s="388">
        <f t="shared" si="31"/>
        <v>276703.41790698998</v>
      </c>
      <c r="I151" s="388">
        <f t="shared" si="31"/>
        <v>274600.8761462752</v>
      </c>
      <c r="J151" s="388">
        <f t="shared" si="31"/>
        <v>280162.97842606751</v>
      </c>
      <c r="K151" s="388">
        <f t="shared" si="31"/>
        <v>294659.39366386383</v>
      </c>
      <c r="L151" s="388">
        <f t="shared" si="31"/>
        <v>307178.02591709711</v>
      </c>
      <c r="M151" s="388">
        <f t="shared" si="31"/>
        <v>311618.45121891965</v>
      </c>
      <c r="N151" s="388">
        <f t="shared" si="31"/>
        <v>331895.19028095977</v>
      </c>
      <c r="O151" s="388">
        <f t="shared" si="31"/>
        <v>342289.63663674169</v>
      </c>
      <c r="P151" s="425">
        <f>SUM(D151:O151)</f>
        <v>3647796.7337296205</v>
      </c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</row>
    <row r="152" spans="1:144" s="4" customFormat="1" ht="11.25">
      <c r="A152" s="386">
        <v>5</v>
      </c>
      <c r="B152" s="131" t="s">
        <v>18</v>
      </c>
      <c r="C152" s="99"/>
      <c r="D152" s="177">
        <f t="shared" ref="D152:P152" si="32">SUM(D150:D151)</f>
        <v>2668677.0152518516</v>
      </c>
      <c r="E152" s="177">
        <f t="shared" si="32"/>
        <v>2622895.539760734</v>
      </c>
      <c r="F152" s="177">
        <f t="shared" si="32"/>
        <v>2647837.2339987354</v>
      </c>
      <c r="G152" s="177">
        <f t="shared" si="32"/>
        <v>2648496.2499728915</v>
      </c>
      <c r="H152" s="177">
        <f t="shared" si="32"/>
        <v>2631812.7452582726</v>
      </c>
      <c r="I152" s="177">
        <f t="shared" si="32"/>
        <v>2502187.7807573448</v>
      </c>
      <c r="J152" s="177">
        <f t="shared" si="32"/>
        <v>2516645.7852589665</v>
      </c>
      <c r="K152" s="177">
        <f t="shared" si="32"/>
        <v>2574324.1087614326</v>
      </c>
      <c r="L152" s="177">
        <f t="shared" si="32"/>
        <v>2677759.8301475705</v>
      </c>
      <c r="M152" s="177">
        <f t="shared" si="32"/>
        <v>2658816.1587322336</v>
      </c>
      <c r="N152" s="177">
        <f t="shared" si="32"/>
        <v>2713397.7641347819</v>
      </c>
      <c r="O152" s="177">
        <f t="shared" si="32"/>
        <v>2739020.3087494047</v>
      </c>
      <c r="P152" s="177">
        <f t="shared" si="32"/>
        <v>31601870.520784218</v>
      </c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</row>
    <row r="153" spans="1:144" s="4" customFormat="1" ht="11.25">
      <c r="B153" s="147"/>
      <c r="C153" s="99"/>
      <c r="D153" s="177"/>
      <c r="E153" s="177"/>
      <c r="F153" s="177"/>
      <c r="G153" s="177"/>
      <c r="H153" s="177"/>
      <c r="I153" s="177"/>
      <c r="J153" s="177"/>
      <c r="K153" s="177"/>
      <c r="L153" s="177"/>
      <c r="M153" s="177"/>
      <c r="N153" s="177"/>
      <c r="O153" s="177"/>
      <c r="P153" s="158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</row>
    <row r="154" spans="1:144" s="4" customFormat="1" ht="11.25">
      <c r="A154" s="386">
        <v>6</v>
      </c>
      <c r="B154" s="87" t="s">
        <v>82</v>
      </c>
      <c r="C154" s="157" t="s">
        <v>5</v>
      </c>
      <c r="D154" s="177">
        <f t="shared" ref="D154:O154" si="33">D121+D88+D56+D23</f>
        <v>56923.246167729667</v>
      </c>
      <c r="E154" s="177">
        <f t="shared" si="33"/>
        <v>59150.071695247221</v>
      </c>
      <c r="F154" s="177">
        <f t="shared" si="33"/>
        <v>60629.246099498931</v>
      </c>
      <c r="G154" s="177">
        <f t="shared" si="33"/>
        <v>58950.81756446584</v>
      </c>
      <c r="H154" s="177">
        <f t="shared" si="33"/>
        <v>59660.275978710626</v>
      </c>
      <c r="I154" s="177">
        <f t="shared" si="33"/>
        <v>62495.451947005269</v>
      </c>
      <c r="J154" s="177">
        <f t="shared" si="33"/>
        <v>65316.305681207843</v>
      </c>
      <c r="K154" s="177">
        <f t="shared" si="33"/>
        <v>67717.923224201077</v>
      </c>
      <c r="L154" s="177">
        <f t="shared" si="33"/>
        <v>62214.501279975921</v>
      </c>
      <c r="M154" s="177">
        <f t="shared" si="33"/>
        <v>66964.479292208198</v>
      </c>
      <c r="N154" s="177">
        <f t="shared" si="33"/>
        <v>62542.404310846032</v>
      </c>
      <c r="O154" s="177">
        <f t="shared" si="33"/>
        <v>63639.603107810188</v>
      </c>
      <c r="P154" s="158">
        <f>SUM(D154:O154)</f>
        <v>746204.32634890673</v>
      </c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</row>
    <row r="155" spans="1:144" s="4" customFormat="1" ht="11.25">
      <c r="A155" s="386">
        <v>7</v>
      </c>
      <c r="B155" s="87" t="s">
        <v>83</v>
      </c>
      <c r="C155" s="157" t="s">
        <v>5</v>
      </c>
      <c r="D155" s="390">
        <f>D122+D89+D57+D24</f>
        <v>717993.76908400841</v>
      </c>
      <c r="E155" s="390">
        <f t="shared" ref="E155:O155" si="34">E122+E89+E57+E24</f>
        <v>671321.83818441303</v>
      </c>
      <c r="F155" s="390">
        <f t="shared" si="34"/>
        <v>660760.81890543539</v>
      </c>
      <c r="G155" s="390">
        <f t="shared" si="34"/>
        <v>637601.33016381774</v>
      </c>
      <c r="H155" s="390">
        <f t="shared" si="34"/>
        <v>639199.21136490861</v>
      </c>
      <c r="I155" s="390">
        <f t="shared" si="34"/>
        <v>674526.45434149192</v>
      </c>
      <c r="J155" s="390">
        <f t="shared" si="34"/>
        <v>648461.71389020537</v>
      </c>
      <c r="K155" s="390">
        <f t="shared" si="34"/>
        <v>701354.31117661193</v>
      </c>
      <c r="L155" s="390">
        <f t="shared" si="34"/>
        <v>705043.71296872303</v>
      </c>
      <c r="M155" s="390">
        <f t="shared" si="34"/>
        <v>709374.10477807466</v>
      </c>
      <c r="N155" s="390">
        <f t="shared" si="34"/>
        <v>688845.19262089557</v>
      </c>
      <c r="O155" s="390">
        <f t="shared" si="34"/>
        <v>665080.7458511875</v>
      </c>
      <c r="P155" s="158">
        <f>SUM(D155:O155)</f>
        <v>8119563.2033297736</v>
      </c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</row>
    <row r="156" spans="1:144" s="4" customFormat="1" ht="11.25">
      <c r="A156" s="386">
        <v>8</v>
      </c>
      <c r="B156" s="87" t="s">
        <v>148</v>
      </c>
      <c r="C156" s="157" t="s">
        <v>5</v>
      </c>
      <c r="D156" s="390">
        <f>D123+D90+D58+D25</f>
        <v>1621.4</v>
      </c>
      <c r="E156" s="390">
        <f t="shared" ref="E156:O156" si="35">E123+E90+E58+E25</f>
        <v>1597.5</v>
      </c>
      <c r="F156" s="390">
        <f t="shared" si="35"/>
        <v>1529.8000000000002</v>
      </c>
      <c r="G156" s="390">
        <f t="shared" si="35"/>
        <v>1499.7</v>
      </c>
      <c r="H156" s="390">
        <f t="shared" si="35"/>
        <v>1507.8</v>
      </c>
      <c r="I156" s="390">
        <f t="shared" si="35"/>
        <v>1475.4</v>
      </c>
      <c r="J156" s="390">
        <f t="shared" si="35"/>
        <v>1500.7999999999997</v>
      </c>
      <c r="K156" s="390">
        <f t="shared" si="35"/>
        <v>1606.8</v>
      </c>
      <c r="L156" s="390">
        <f t="shared" si="35"/>
        <v>1619.6</v>
      </c>
      <c r="M156" s="390">
        <f t="shared" si="35"/>
        <v>1595.4</v>
      </c>
      <c r="N156" s="390">
        <f t="shared" si="35"/>
        <v>1600.5999999999997</v>
      </c>
      <c r="O156" s="390">
        <f t="shared" si="35"/>
        <v>1535.5000000000002</v>
      </c>
      <c r="P156" s="158">
        <f t="shared" ref="P156:P157" si="36">SUM(D156:O156)</f>
        <v>18690.3</v>
      </c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</row>
    <row r="157" spans="1:144" s="4" customFormat="1" ht="11.25">
      <c r="A157" s="386">
        <v>9</v>
      </c>
      <c r="B157" s="87" t="s">
        <v>149</v>
      </c>
      <c r="C157" s="157" t="s">
        <v>5</v>
      </c>
      <c r="D157" s="390">
        <f>D124+D91+D59+D26</f>
        <v>180128.5</v>
      </c>
      <c r="E157" s="390">
        <f t="shared" ref="E157:O157" si="37">E124+E91+E59+E26</f>
        <v>180212.4</v>
      </c>
      <c r="F157" s="390">
        <f t="shared" si="37"/>
        <v>178269.7</v>
      </c>
      <c r="G157" s="390">
        <f t="shared" si="37"/>
        <v>180111.4</v>
      </c>
      <c r="H157" s="390">
        <f t="shared" si="37"/>
        <v>178712.1</v>
      </c>
      <c r="I157" s="390">
        <f t="shared" si="37"/>
        <v>179020.5</v>
      </c>
      <c r="J157" s="390">
        <f t="shared" si="37"/>
        <v>176448.3</v>
      </c>
      <c r="K157" s="390">
        <f t="shared" si="37"/>
        <v>175121.19999999995</v>
      </c>
      <c r="L157" s="390">
        <f t="shared" si="37"/>
        <v>178065.9</v>
      </c>
      <c r="M157" s="390">
        <f t="shared" si="37"/>
        <v>169880.69999999998</v>
      </c>
      <c r="N157" s="390">
        <f t="shared" si="37"/>
        <v>169989.09999999995</v>
      </c>
      <c r="O157" s="390">
        <f t="shared" si="37"/>
        <v>172026.9</v>
      </c>
      <c r="P157" s="158">
        <f t="shared" si="36"/>
        <v>2117986.6999999997</v>
      </c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</row>
    <row r="158" spans="1:144" s="4" customFormat="1" ht="11.25">
      <c r="A158" s="386">
        <v>10</v>
      </c>
      <c r="B158" s="87" t="s">
        <v>19</v>
      </c>
      <c r="C158" s="157"/>
      <c r="D158" s="391">
        <f>SUM(D154:D157)</f>
        <v>956666.91525173804</v>
      </c>
      <c r="E158" s="391">
        <f t="shared" ref="E158:P158" si="38">SUM(E154:E157)</f>
        <v>912281.80987966026</v>
      </c>
      <c r="F158" s="391">
        <f t="shared" si="38"/>
        <v>901189.56500493432</v>
      </c>
      <c r="G158" s="391">
        <f t="shared" si="38"/>
        <v>878163.24772828352</v>
      </c>
      <c r="H158" s="391">
        <f t="shared" si="38"/>
        <v>879079.38734361925</v>
      </c>
      <c r="I158" s="391">
        <f t="shared" si="38"/>
        <v>917517.80628849717</v>
      </c>
      <c r="J158" s="391">
        <f t="shared" si="38"/>
        <v>891727.11957141315</v>
      </c>
      <c r="K158" s="391">
        <f t="shared" si="38"/>
        <v>945800.234400813</v>
      </c>
      <c r="L158" s="391">
        <f t="shared" si="38"/>
        <v>946943.7142486989</v>
      </c>
      <c r="M158" s="391">
        <f t="shared" si="38"/>
        <v>947814.68407028285</v>
      </c>
      <c r="N158" s="391">
        <f t="shared" si="38"/>
        <v>922977.29693174153</v>
      </c>
      <c r="O158" s="391">
        <f t="shared" si="38"/>
        <v>902282.74895899766</v>
      </c>
      <c r="P158" s="391">
        <f t="shared" si="38"/>
        <v>11002444.52967868</v>
      </c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</row>
    <row r="159" spans="1:144" s="4" customFormat="1" ht="11.25">
      <c r="A159" s="386"/>
      <c r="B159" s="87"/>
      <c r="C159" s="157"/>
      <c r="D159" s="177"/>
      <c r="E159" s="177"/>
      <c r="F159" s="177"/>
      <c r="G159" s="177"/>
      <c r="H159" s="177"/>
      <c r="I159" s="177"/>
      <c r="J159" s="177"/>
      <c r="K159" s="177"/>
      <c r="L159" s="177"/>
      <c r="M159" s="177"/>
      <c r="N159" s="177"/>
      <c r="O159" s="177"/>
      <c r="P159" s="158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</row>
    <row r="160" spans="1:144" s="4" customFormat="1" ht="11.25">
      <c r="A160" s="386">
        <v>11</v>
      </c>
      <c r="B160" s="131" t="s">
        <v>86</v>
      </c>
      <c r="C160" s="157" t="s">
        <v>6</v>
      </c>
      <c r="D160" s="177">
        <f t="shared" ref="D160:O160" si="39">D127+D94+D62+D29</f>
        <v>2349800.8287308388</v>
      </c>
      <c r="E160" s="177">
        <f t="shared" si="39"/>
        <v>2545547.9164276184</v>
      </c>
      <c r="F160" s="177">
        <f t="shared" si="39"/>
        <v>2733238.1684588329</v>
      </c>
      <c r="G160" s="177">
        <f t="shared" si="39"/>
        <v>2540730.9381967713</v>
      </c>
      <c r="H160" s="177">
        <f t="shared" si="39"/>
        <v>2524003.048373505</v>
      </c>
      <c r="I160" s="177">
        <f t="shared" si="39"/>
        <v>3050166.4635282275</v>
      </c>
      <c r="J160" s="177">
        <f t="shared" si="39"/>
        <v>2449349.8872660724</v>
      </c>
      <c r="K160" s="177">
        <f t="shared" si="39"/>
        <v>3134823.6161724394</v>
      </c>
      <c r="L160" s="177">
        <f t="shared" si="39"/>
        <v>2715211.6157850996</v>
      </c>
      <c r="M160" s="177">
        <f t="shared" si="39"/>
        <v>2852787.3140196833</v>
      </c>
      <c r="N160" s="177">
        <f t="shared" si="39"/>
        <v>2643736.9150815322</v>
      </c>
      <c r="O160" s="177">
        <f t="shared" si="39"/>
        <v>2552509.2693819748</v>
      </c>
      <c r="P160" s="158">
        <f>SUM(D160:O160)</f>
        <v>32091905.981422596</v>
      </c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</row>
    <row r="161" spans="1:144" s="4" customFormat="1" ht="11.25">
      <c r="B161" s="87"/>
      <c r="C161" s="99"/>
      <c r="D161" s="177"/>
      <c r="E161" s="177"/>
      <c r="F161" s="177"/>
      <c r="G161" s="177"/>
      <c r="H161" s="177"/>
      <c r="I161" s="177"/>
      <c r="J161" s="177"/>
      <c r="K161" s="177"/>
      <c r="L161" s="177"/>
      <c r="M161" s="177"/>
      <c r="N161" s="177"/>
      <c r="O161" s="177"/>
      <c r="P161" s="158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</row>
    <row r="162" spans="1:144" s="4" customFormat="1" ht="11.25">
      <c r="A162" s="386">
        <v>12</v>
      </c>
      <c r="B162" s="89" t="s">
        <v>21</v>
      </c>
      <c r="C162" s="157" t="s">
        <v>4</v>
      </c>
      <c r="D162" s="177">
        <f t="shared" ref="D162:O162" si="40">D129+D96+D64+D31</f>
        <v>0</v>
      </c>
      <c r="E162" s="177">
        <f t="shared" si="40"/>
        <v>0</v>
      </c>
      <c r="F162" s="177">
        <f t="shared" si="40"/>
        <v>0</v>
      </c>
      <c r="G162" s="177">
        <f t="shared" si="40"/>
        <v>0</v>
      </c>
      <c r="H162" s="177">
        <f t="shared" si="40"/>
        <v>0</v>
      </c>
      <c r="I162" s="177">
        <f t="shared" si="40"/>
        <v>0</v>
      </c>
      <c r="J162" s="177">
        <f t="shared" si="40"/>
        <v>0</v>
      </c>
      <c r="K162" s="177">
        <f t="shared" si="40"/>
        <v>0</v>
      </c>
      <c r="L162" s="177">
        <f t="shared" si="40"/>
        <v>0</v>
      </c>
      <c r="M162" s="177">
        <f t="shared" si="40"/>
        <v>0</v>
      </c>
      <c r="N162" s="177">
        <f t="shared" si="40"/>
        <v>0</v>
      </c>
      <c r="O162" s="177">
        <f t="shared" si="40"/>
        <v>0</v>
      </c>
      <c r="P162" s="158">
        <f>SUM(D162:O162)</f>
        <v>0</v>
      </c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</row>
    <row r="163" spans="1:144" s="4" customFormat="1" ht="11.25">
      <c r="A163" s="386"/>
      <c r="B163" s="87"/>
      <c r="C163" s="99"/>
      <c r="D163" s="177"/>
      <c r="E163" s="177"/>
      <c r="F163" s="177"/>
      <c r="G163" s="177"/>
      <c r="H163" s="177"/>
      <c r="I163" s="177"/>
      <c r="J163" s="177"/>
      <c r="K163" s="177"/>
      <c r="L163" s="177"/>
      <c r="M163" s="177"/>
      <c r="N163" s="177"/>
      <c r="O163" s="177"/>
      <c r="P163" s="158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</row>
    <row r="164" spans="1:144" s="4" customFormat="1" ht="11.25">
      <c r="A164" s="386">
        <v>13</v>
      </c>
      <c r="B164" s="393" t="s">
        <v>22</v>
      </c>
      <c r="C164" s="362"/>
      <c r="D164" s="394">
        <f t="shared" ref="D164:N164" si="41">D162+D160+D158+D152+D148+D146</f>
        <v>5975144.7592344284</v>
      </c>
      <c r="E164" s="394">
        <f t="shared" si="41"/>
        <v>6080725.2660680125</v>
      </c>
      <c r="F164" s="394">
        <f t="shared" si="41"/>
        <v>6282264.9674625024</v>
      </c>
      <c r="G164" s="394">
        <f t="shared" si="41"/>
        <v>6067390.4358979464</v>
      </c>
      <c r="H164" s="394">
        <f t="shared" si="41"/>
        <v>6034895.1809753971</v>
      </c>
      <c r="I164" s="394">
        <f t="shared" si="41"/>
        <v>6469872.0505740698</v>
      </c>
      <c r="J164" s="394">
        <f t="shared" si="41"/>
        <v>5857722.7920964519</v>
      </c>
      <c r="K164" s="394">
        <f t="shared" si="41"/>
        <v>6654947.9593346845</v>
      </c>
      <c r="L164" s="394">
        <f t="shared" si="41"/>
        <v>6339915.1601813696</v>
      </c>
      <c r="M164" s="394">
        <f t="shared" si="41"/>
        <v>6459418.1568221999</v>
      </c>
      <c r="N164" s="394">
        <f t="shared" si="41"/>
        <v>6280111.9761480559</v>
      </c>
      <c r="O164" s="394">
        <f>O162+O160+O158+O152+O148+O146</f>
        <v>6193812.327090377</v>
      </c>
      <c r="P164" s="394">
        <f>P162+P160+P158+P152+P148+P146</f>
        <v>74696221.03188549</v>
      </c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</row>
    <row r="165" spans="1:144" s="4" customFormat="1" ht="11.25">
      <c r="B165" s="362"/>
      <c r="C165" s="362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58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</row>
    <row r="166" spans="1:144" s="4" customFormat="1" ht="11.25">
      <c r="A166" s="386">
        <v>14</v>
      </c>
      <c r="B166" s="89" t="s">
        <v>69</v>
      </c>
      <c r="C166" s="157" t="s">
        <v>5</v>
      </c>
      <c r="D166" s="177">
        <f t="shared" ref="D166:O166" si="42">D133+D100+D68+D35</f>
        <v>0</v>
      </c>
      <c r="E166" s="177">
        <f t="shared" si="42"/>
        <v>0</v>
      </c>
      <c r="F166" s="177">
        <f t="shared" si="42"/>
        <v>0</v>
      </c>
      <c r="G166" s="177">
        <f t="shared" si="42"/>
        <v>0</v>
      </c>
      <c r="H166" s="177">
        <f t="shared" si="42"/>
        <v>0</v>
      </c>
      <c r="I166" s="177">
        <f t="shared" si="42"/>
        <v>0</v>
      </c>
      <c r="J166" s="177">
        <f t="shared" si="42"/>
        <v>0</v>
      </c>
      <c r="K166" s="177">
        <f t="shared" si="42"/>
        <v>0</v>
      </c>
      <c r="L166" s="177">
        <f t="shared" si="42"/>
        <v>0</v>
      </c>
      <c r="M166" s="177">
        <f t="shared" si="42"/>
        <v>0</v>
      </c>
      <c r="N166" s="177">
        <f t="shared" si="42"/>
        <v>0</v>
      </c>
      <c r="O166" s="177">
        <f t="shared" si="42"/>
        <v>0</v>
      </c>
      <c r="P166" s="158">
        <f>SUM(D166:O166)</f>
        <v>0</v>
      </c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</row>
    <row r="167" spans="1:144" s="4" customFormat="1" ht="11.25">
      <c r="A167" s="386">
        <v>15</v>
      </c>
      <c r="B167" s="89" t="s">
        <v>70</v>
      </c>
      <c r="C167" s="157" t="s">
        <v>6</v>
      </c>
      <c r="D167" s="388">
        <f t="shared" ref="D167:O167" si="43">D134+D101+D69+D36</f>
        <v>0</v>
      </c>
      <c r="E167" s="388">
        <f t="shared" si="43"/>
        <v>0</v>
      </c>
      <c r="F167" s="388">
        <f t="shared" si="43"/>
        <v>0</v>
      </c>
      <c r="G167" s="388">
        <f t="shared" si="43"/>
        <v>0</v>
      </c>
      <c r="H167" s="388">
        <f t="shared" si="43"/>
        <v>0</v>
      </c>
      <c r="I167" s="388">
        <f t="shared" si="43"/>
        <v>0</v>
      </c>
      <c r="J167" s="388">
        <f t="shared" si="43"/>
        <v>0</v>
      </c>
      <c r="K167" s="388">
        <f t="shared" si="43"/>
        <v>0</v>
      </c>
      <c r="L167" s="388">
        <f t="shared" si="43"/>
        <v>0</v>
      </c>
      <c r="M167" s="388">
        <f t="shared" si="43"/>
        <v>0</v>
      </c>
      <c r="N167" s="388">
        <f t="shared" si="43"/>
        <v>0</v>
      </c>
      <c r="O167" s="388">
        <f t="shared" si="43"/>
        <v>0</v>
      </c>
      <c r="P167" s="425">
        <f>SUM(D167:O167)</f>
        <v>0</v>
      </c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</row>
    <row r="168" spans="1:144" s="4" customFormat="1" ht="11.25">
      <c r="A168" s="386">
        <v>16</v>
      </c>
      <c r="B168" s="393" t="s">
        <v>23</v>
      </c>
      <c r="C168" s="361"/>
      <c r="D168" s="101">
        <f t="shared" ref="D168:P168" si="44">SUM(D166:D167)</f>
        <v>0</v>
      </c>
      <c r="E168" s="101">
        <f t="shared" si="44"/>
        <v>0</v>
      </c>
      <c r="F168" s="101">
        <f t="shared" si="44"/>
        <v>0</v>
      </c>
      <c r="G168" s="101">
        <f t="shared" si="44"/>
        <v>0</v>
      </c>
      <c r="H168" s="101">
        <f t="shared" si="44"/>
        <v>0</v>
      </c>
      <c r="I168" s="101">
        <f t="shared" si="44"/>
        <v>0</v>
      </c>
      <c r="J168" s="101">
        <f t="shared" si="44"/>
        <v>0</v>
      </c>
      <c r="K168" s="101">
        <f t="shared" si="44"/>
        <v>0</v>
      </c>
      <c r="L168" s="101">
        <f t="shared" si="44"/>
        <v>0</v>
      </c>
      <c r="M168" s="101">
        <f t="shared" si="44"/>
        <v>0</v>
      </c>
      <c r="N168" s="101">
        <f t="shared" si="44"/>
        <v>0</v>
      </c>
      <c r="O168" s="101">
        <f t="shared" si="44"/>
        <v>0</v>
      </c>
      <c r="P168" s="101">
        <f t="shared" si="44"/>
        <v>0</v>
      </c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</row>
    <row r="169" spans="1:144" s="4" customFormat="1" ht="11.25">
      <c r="A169" s="386"/>
      <c r="B169" s="87"/>
      <c r="C169" s="396"/>
      <c r="D169" s="177"/>
      <c r="E169" s="177"/>
      <c r="F169" s="177"/>
      <c r="G169" s="177"/>
      <c r="H169" s="177"/>
      <c r="I169" s="177"/>
      <c r="J169" s="177"/>
      <c r="K169" s="177"/>
      <c r="L169" s="177"/>
      <c r="M169" s="177"/>
      <c r="N169" s="177"/>
      <c r="O169" s="177"/>
      <c r="P169" s="158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</row>
    <row r="170" spans="1:144" s="4" customFormat="1" ht="12" thickBot="1">
      <c r="A170" s="386">
        <v>17</v>
      </c>
      <c r="B170" s="147" t="s">
        <v>92</v>
      </c>
      <c r="C170" s="361"/>
      <c r="D170" s="397">
        <f t="shared" ref="D170:P170" si="45">+D168+D164</f>
        <v>5975144.7592344284</v>
      </c>
      <c r="E170" s="397">
        <f t="shared" si="45"/>
        <v>6080725.2660680125</v>
      </c>
      <c r="F170" s="397">
        <f t="shared" si="45"/>
        <v>6282264.9674625024</v>
      </c>
      <c r="G170" s="397">
        <f t="shared" si="45"/>
        <v>6067390.4358979464</v>
      </c>
      <c r="H170" s="397">
        <f t="shared" si="45"/>
        <v>6034895.1809753971</v>
      </c>
      <c r="I170" s="397">
        <f t="shared" si="45"/>
        <v>6469872.0505740698</v>
      </c>
      <c r="J170" s="397">
        <f t="shared" si="45"/>
        <v>5857722.7920964519</v>
      </c>
      <c r="K170" s="397">
        <f t="shared" si="45"/>
        <v>6654947.9593346845</v>
      </c>
      <c r="L170" s="397">
        <f t="shared" si="45"/>
        <v>6339915.1601813696</v>
      </c>
      <c r="M170" s="397">
        <f t="shared" si="45"/>
        <v>6459418.1568221999</v>
      </c>
      <c r="N170" s="397">
        <f t="shared" si="45"/>
        <v>6280111.9761480559</v>
      </c>
      <c r="O170" s="397">
        <f t="shared" si="45"/>
        <v>6193812.327090377</v>
      </c>
      <c r="P170" s="397">
        <f t="shared" si="45"/>
        <v>74696221.03188549</v>
      </c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</row>
    <row r="171" spans="1:144" ht="13.5" thickTop="1">
      <c r="B171" s="70"/>
      <c r="C171" s="70"/>
      <c r="D171" s="456"/>
      <c r="E171" s="456"/>
      <c r="F171" s="456"/>
      <c r="G171" s="456"/>
      <c r="H171" s="456"/>
      <c r="I171" s="457"/>
      <c r="J171" s="457"/>
      <c r="K171" s="457"/>
      <c r="L171" s="457"/>
      <c r="M171" s="457"/>
      <c r="N171" s="457"/>
      <c r="O171" s="70"/>
      <c r="P171" s="464"/>
    </row>
    <row r="172" spans="1:144">
      <c r="B172" s="70"/>
      <c r="C172" s="70"/>
      <c r="D172" s="456"/>
      <c r="E172" s="456"/>
      <c r="F172" s="456"/>
      <c r="G172" s="456"/>
      <c r="H172" s="456"/>
      <c r="I172" s="457"/>
      <c r="J172" s="457"/>
      <c r="K172" s="457"/>
      <c r="L172" s="457"/>
      <c r="M172" s="457"/>
      <c r="N172" s="457"/>
      <c r="O172" s="70"/>
      <c r="P172" s="458"/>
    </row>
    <row r="173" spans="1:144">
      <c r="B173" s="70"/>
      <c r="C173" s="70"/>
      <c r="D173" s="456"/>
      <c r="E173" s="456"/>
      <c r="F173" s="456"/>
      <c r="G173" s="456"/>
      <c r="H173" s="456"/>
      <c r="I173" s="457"/>
      <c r="J173" s="457"/>
      <c r="K173" s="457"/>
      <c r="L173" s="457"/>
      <c r="M173" s="457"/>
      <c r="N173" s="457"/>
      <c r="O173" s="70"/>
      <c r="P173" s="458"/>
    </row>
    <row r="174" spans="1:144">
      <c r="B174" s="70"/>
      <c r="C174" s="70"/>
      <c r="D174" s="456"/>
      <c r="E174" s="456"/>
      <c r="F174" s="456"/>
      <c r="G174" s="456"/>
      <c r="H174" s="456"/>
      <c r="I174" s="457"/>
      <c r="J174" s="457"/>
      <c r="K174" s="457"/>
      <c r="L174" s="457"/>
      <c r="M174" s="457"/>
      <c r="N174" s="457"/>
      <c r="O174" s="70"/>
      <c r="P174" s="458"/>
    </row>
    <row r="175" spans="1:144">
      <c r="B175" s="70"/>
      <c r="C175" s="70"/>
      <c r="D175" s="456"/>
      <c r="E175" s="456"/>
      <c r="F175" s="456"/>
      <c r="G175" s="456"/>
      <c r="H175" s="456"/>
      <c r="I175" s="457"/>
      <c r="J175" s="457"/>
      <c r="K175" s="457"/>
      <c r="L175" s="457"/>
      <c r="M175" s="457"/>
      <c r="N175" s="457"/>
      <c r="O175" s="70"/>
      <c r="P175" s="458"/>
    </row>
    <row r="176" spans="1:144">
      <c r="B176" s="70"/>
      <c r="C176" s="70"/>
      <c r="D176" s="456"/>
      <c r="E176" s="456"/>
      <c r="F176" s="456"/>
      <c r="G176" s="456"/>
      <c r="H176" s="456"/>
      <c r="I176" s="457"/>
      <c r="J176" s="457"/>
      <c r="K176" s="457"/>
      <c r="L176" s="457"/>
      <c r="M176" s="457"/>
      <c r="N176" s="457"/>
      <c r="O176" s="70"/>
      <c r="P176" s="458"/>
    </row>
    <row r="177" spans="2:16">
      <c r="B177" s="70"/>
      <c r="C177" s="70"/>
      <c r="D177" s="456"/>
      <c r="E177" s="456"/>
      <c r="F177" s="456"/>
      <c r="G177" s="456"/>
      <c r="H177" s="456"/>
      <c r="I177" s="457"/>
      <c r="J177" s="457"/>
      <c r="K177" s="457"/>
      <c r="L177" s="457"/>
      <c r="M177" s="457"/>
      <c r="N177" s="457"/>
      <c r="O177" s="70"/>
      <c r="P177" s="458"/>
    </row>
    <row r="178" spans="2:16">
      <c r="B178" s="70"/>
      <c r="C178" s="70"/>
      <c r="D178" s="456"/>
      <c r="E178" s="456"/>
      <c r="F178" s="456"/>
      <c r="G178" s="456"/>
      <c r="H178" s="456"/>
      <c r="I178" s="457"/>
      <c r="J178" s="457"/>
      <c r="K178" s="457"/>
      <c r="L178" s="457"/>
      <c r="M178" s="457"/>
      <c r="N178" s="457"/>
      <c r="O178" s="70"/>
      <c r="P178" s="458"/>
    </row>
    <row r="179" spans="2:16">
      <c r="B179" s="70"/>
      <c r="C179" s="70"/>
      <c r="D179" s="456"/>
      <c r="E179" s="456"/>
      <c r="F179" s="456"/>
      <c r="G179" s="456"/>
      <c r="H179" s="456"/>
      <c r="I179" s="457"/>
      <c r="J179" s="457"/>
      <c r="K179" s="457"/>
      <c r="L179" s="457"/>
      <c r="M179" s="457"/>
      <c r="N179" s="457"/>
      <c r="O179" s="70"/>
      <c r="P179" s="458"/>
    </row>
    <row r="180" spans="2:16">
      <c r="B180" s="70"/>
      <c r="C180" s="70"/>
      <c r="D180" s="456"/>
      <c r="E180" s="456"/>
      <c r="F180" s="456"/>
      <c r="G180" s="456"/>
      <c r="H180" s="456"/>
      <c r="I180" s="457"/>
      <c r="J180" s="457"/>
      <c r="K180" s="457"/>
      <c r="L180" s="457"/>
      <c r="M180" s="457"/>
      <c r="N180" s="457"/>
      <c r="O180" s="70"/>
      <c r="P180" s="458"/>
    </row>
    <row r="181" spans="2:16">
      <c r="B181" s="70"/>
      <c r="C181" s="70"/>
      <c r="D181" s="456"/>
      <c r="E181" s="456"/>
      <c r="F181" s="456"/>
      <c r="G181" s="456"/>
      <c r="H181" s="456"/>
      <c r="I181" s="457"/>
      <c r="J181" s="457"/>
      <c r="K181" s="457"/>
      <c r="L181" s="457"/>
      <c r="M181" s="457"/>
      <c r="N181" s="457"/>
      <c r="O181" s="70"/>
      <c r="P181" s="458"/>
    </row>
    <row r="182" spans="2:16">
      <c r="B182" s="70"/>
      <c r="C182" s="70"/>
      <c r="D182" s="456"/>
      <c r="E182" s="456"/>
      <c r="F182" s="456"/>
      <c r="G182" s="456"/>
      <c r="H182" s="456"/>
      <c r="I182" s="457"/>
      <c r="J182" s="457"/>
      <c r="K182" s="457"/>
      <c r="L182" s="457"/>
      <c r="M182" s="457"/>
      <c r="N182" s="457"/>
      <c r="O182" s="70"/>
      <c r="P182" s="458"/>
    </row>
    <row r="183" spans="2:16">
      <c r="B183" s="70"/>
      <c r="C183" s="70"/>
      <c r="D183" s="456"/>
      <c r="E183" s="456"/>
      <c r="F183" s="456"/>
      <c r="G183" s="456"/>
      <c r="H183" s="456"/>
      <c r="I183" s="457"/>
      <c r="J183" s="457"/>
      <c r="K183" s="457"/>
      <c r="L183" s="457"/>
      <c r="M183" s="457"/>
      <c r="N183" s="457"/>
      <c r="O183" s="70"/>
      <c r="P183" s="458"/>
    </row>
    <row r="184" spans="2:16">
      <c r="B184" s="70"/>
      <c r="C184" s="70"/>
      <c r="D184" s="456"/>
      <c r="E184" s="456"/>
      <c r="F184" s="456"/>
      <c r="G184" s="456"/>
      <c r="H184" s="456"/>
      <c r="I184" s="457"/>
      <c r="J184" s="457"/>
      <c r="K184" s="457"/>
      <c r="L184" s="457"/>
      <c r="M184" s="457"/>
      <c r="N184" s="457"/>
      <c r="O184" s="70"/>
      <c r="P184" s="458"/>
    </row>
    <row r="185" spans="2:16">
      <c r="B185" s="70"/>
      <c r="C185" s="70"/>
      <c r="D185" s="456"/>
      <c r="E185" s="456"/>
      <c r="F185" s="456"/>
      <c r="G185" s="456"/>
      <c r="H185" s="456"/>
      <c r="I185" s="457"/>
      <c r="J185" s="457"/>
      <c r="K185" s="457"/>
      <c r="L185" s="457"/>
      <c r="M185" s="457"/>
      <c r="N185" s="457"/>
      <c r="O185" s="70"/>
      <c r="P185" s="458"/>
    </row>
    <row r="186" spans="2:16">
      <c r="B186" s="70"/>
      <c r="C186" s="70"/>
      <c r="D186" s="456"/>
      <c r="E186" s="456"/>
      <c r="F186" s="456"/>
      <c r="G186" s="456"/>
      <c r="H186" s="456"/>
      <c r="I186" s="457"/>
      <c r="J186" s="457"/>
      <c r="K186" s="457"/>
      <c r="L186" s="457"/>
      <c r="M186" s="457"/>
      <c r="N186" s="457"/>
      <c r="O186" s="70"/>
      <c r="P186" s="458"/>
    </row>
    <row r="187" spans="2:16">
      <c r="B187" s="70"/>
      <c r="C187" s="70"/>
      <c r="D187" s="456"/>
      <c r="E187" s="456"/>
      <c r="F187" s="456"/>
      <c r="G187" s="456"/>
      <c r="H187" s="456"/>
      <c r="I187" s="457"/>
      <c r="J187" s="457"/>
      <c r="K187" s="457"/>
      <c r="L187" s="457"/>
      <c r="M187" s="457"/>
      <c r="N187" s="457"/>
      <c r="O187" s="70"/>
      <c r="P187" s="458"/>
    </row>
    <row r="188" spans="2:16">
      <c r="B188" s="70"/>
      <c r="C188" s="70"/>
      <c r="D188" s="456"/>
      <c r="E188" s="456"/>
      <c r="F188" s="456"/>
      <c r="G188" s="456"/>
      <c r="H188" s="456"/>
      <c r="I188" s="457"/>
      <c r="J188" s="457"/>
      <c r="K188" s="457"/>
      <c r="L188" s="457"/>
      <c r="M188" s="457"/>
      <c r="N188" s="457"/>
      <c r="O188" s="70"/>
      <c r="P188" s="458"/>
    </row>
    <row r="189" spans="2:16">
      <c r="B189" s="70"/>
      <c r="C189" s="70"/>
      <c r="D189" s="456"/>
      <c r="E189" s="456"/>
      <c r="F189" s="456"/>
      <c r="G189" s="456"/>
      <c r="H189" s="456"/>
      <c r="I189" s="457"/>
      <c r="J189" s="457"/>
      <c r="K189" s="457"/>
      <c r="L189" s="457"/>
      <c r="M189" s="457"/>
      <c r="N189" s="457"/>
      <c r="O189" s="70"/>
      <c r="P189" s="458"/>
    </row>
    <row r="190" spans="2:16">
      <c r="B190" s="70"/>
      <c r="C190" s="70"/>
      <c r="D190" s="456"/>
      <c r="E190" s="456"/>
      <c r="F190" s="456"/>
      <c r="G190" s="456"/>
      <c r="H190" s="456"/>
      <c r="I190" s="457"/>
      <c r="J190" s="457"/>
      <c r="K190" s="457"/>
      <c r="L190" s="457"/>
      <c r="M190" s="457"/>
      <c r="N190" s="457"/>
      <c r="O190" s="70"/>
      <c r="P190" s="458"/>
    </row>
    <row r="191" spans="2:16">
      <c r="B191" s="70"/>
      <c r="C191" s="70"/>
      <c r="D191" s="456"/>
      <c r="E191" s="456"/>
      <c r="F191" s="456"/>
      <c r="G191" s="456"/>
      <c r="H191" s="456"/>
      <c r="I191" s="457"/>
      <c r="J191" s="457"/>
      <c r="K191" s="457"/>
      <c r="L191" s="457"/>
      <c r="M191" s="457"/>
      <c r="N191" s="457"/>
      <c r="O191" s="70"/>
      <c r="P191" s="458"/>
    </row>
    <row r="192" spans="2:16">
      <c r="B192" s="70"/>
      <c r="C192" s="70"/>
      <c r="D192" s="456"/>
      <c r="E192" s="456"/>
      <c r="F192" s="456"/>
      <c r="G192" s="456"/>
      <c r="H192" s="456"/>
      <c r="I192" s="457"/>
      <c r="J192" s="457"/>
      <c r="K192" s="457"/>
      <c r="L192" s="457"/>
      <c r="M192" s="457"/>
      <c r="N192" s="457"/>
      <c r="O192" s="70"/>
      <c r="P192" s="458"/>
    </row>
    <row r="193" spans="2:16">
      <c r="B193" s="70"/>
      <c r="C193" s="70"/>
      <c r="D193" s="456"/>
      <c r="E193" s="456"/>
      <c r="F193" s="456"/>
      <c r="G193" s="456"/>
      <c r="H193" s="456"/>
      <c r="I193" s="457"/>
      <c r="J193" s="457"/>
      <c r="K193" s="457"/>
      <c r="L193" s="457"/>
      <c r="M193" s="457"/>
      <c r="N193" s="457"/>
      <c r="O193" s="70"/>
      <c r="P193" s="458"/>
    </row>
    <row r="194" spans="2:16">
      <c r="B194" s="70"/>
      <c r="C194" s="70"/>
      <c r="D194" s="456"/>
      <c r="E194" s="456"/>
      <c r="F194" s="456"/>
      <c r="G194" s="456"/>
      <c r="H194" s="456"/>
      <c r="I194" s="457"/>
      <c r="J194" s="457"/>
      <c r="K194" s="457"/>
      <c r="L194" s="457"/>
      <c r="M194" s="457"/>
      <c r="N194" s="457"/>
      <c r="O194" s="70"/>
      <c r="P194" s="458"/>
    </row>
    <row r="195" spans="2:16">
      <c r="B195" s="70"/>
      <c r="C195" s="70"/>
      <c r="D195" s="456"/>
      <c r="E195" s="456"/>
      <c r="F195" s="456"/>
      <c r="G195" s="456"/>
      <c r="H195" s="456"/>
      <c r="I195" s="457"/>
      <c r="J195" s="457"/>
      <c r="K195" s="457"/>
      <c r="L195" s="457"/>
      <c r="M195" s="457"/>
      <c r="N195" s="457"/>
      <c r="O195" s="70"/>
      <c r="P195" s="458"/>
    </row>
    <row r="196" spans="2:16">
      <c r="B196" s="70"/>
      <c r="C196" s="70"/>
      <c r="D196" s="456"/>
      <c r="E196" s="456"/>
      <c r="F196" s="456"/>
      <c r="G196" s="456"/>
      <c r="H196" s="456"/>
      <c r="I196" s="457"/>
      <c r="J196" s="457"/>
      <c r="K196" s="457"/>
      <c r="L196" s="457"/>
      <c r="M196" s="457"/>
      <c r="N196" s="457"/>
      <c r="O196" s="70"/>
      <c r="P196" s="458"/>
    </row>
    <row r="197" spans="2:16">
      <c r="B197" s="70"/>
      <c r="C197" s="70"/>
      <c r="D197" s="456"/>
      <c r="E197" s="456"/>
      <c r="F197" s="456"/>
      <c r="G197" s="456"/>
      <c r="H197" s="456"/>
      <c r="I197" s="457"/>
      <c r="J197" s="457"/>
      <c r="K197" s="457"/>
      <c r="L197" s="457"/>
      <c r="M197" s="457"/>
      <c r="N197" s="457"/>
      <c r="O197" s="70"/>
      <c r="P197" s="458"/>
    </row>
    <row r="198" spans="2:16">
      <c r="B198" s="70"/>
      <c r="C198" s="70"/>
      <c r="D198" s="456"/>
      <c r="E198" s="456"/>
      <c r="F198" s="456"/>
      <c r="G198" s="456"/>
      <c r="H198" s="456"/>
      <c r="I198" s="457"/>
      <c r="J198" s="457"/>
      <c r="K198" s="457"/>
      <c r="L198" s="457"/>
      <c r="M198" s="457"/>
      <c r="N198" s="457"/>
      <c r="O198" s="70"/>
      <c r="P198" s="458"/>
    </row>
    <row r="199" spans="2:16">
      <c r="B199" s="70"/>
      <c r="C199" s="70"/>
      <c r="D199" s="456"/>
      <c r="E199" s="456"/>
      <c r="F199" s="456"/>
      <c r="G199" s="456"/>
      <c r="H199" s="456"/>
      <c r="I199" s="457"/>
      <c r="J199" s="457"/>
      <c r="K199" s="457"/>
      <c r="L199" s="457"/>
      <c r="M199" s="457"/>
      <c r="N199" s="457"/>
      <c r="O199" s="70"/>
      <c r="P199" s="458"/>
    </row>
    <row r="200" spans="2:16">
      <c r="B200" s="70"/>
      <c r="C200" s="70"/>
      <c r="D200" s="456"/>
      <c r="E200" s="456"/>
      <c r="F200" s="456"/>
      <c r="G200" s="456"/>
      <c r="H200" s="456"/>
      <c r="I200" s="457"/>
      <c r="J200" s="457"/>
      <c r="K200" s="457"/>
      <c r="L200" s="457"/>
      <c r="M200" s="457"/>
      <c r="N200" s="457"/>
      <c r="O200" s="70"/>
      <c r="P200" s="458"/>
    </row>
    <row r="201" spans="2:16">
      <c r="B201" s="70"/>
      <c r="C201" s="70"/>
      <c r="D201" s="456"/>
      <c r="E201" s="456"/>
      <c r="F201" s="456"/>
      <c r="G201" s="456"/>
      <c r="H201" s="456"/>
      <c r="I201" s="457"/>
      <c r="J201" s="457"/>
      <c r="K201" s="457"/>
      <c r="L201" s="457"/>
      <c r="M201" s="457"/>
      <c r="N201" s="457"/>
      <c r="O201" s="70"/>
      <c r="P201" s="458"/>
    </row>
    <row r="202" spans="2:16">
      <c r="B202" s="70"/>
      <c r="C202" s="70"/>
      <c r="D202" s="456"/>
      <c r="E202" s="456"/>
      <c r="F202" s="456"/>
      <c r="G202" s="456"/>
      <c r="H202" s="456"/>
      <c r="I202" s="457"/>
      <c r="J202" s="457"/>
      <c r="K202" s="457"/>
      <c r="L202" s="457"/>
      <c r="M202" s="457"/>
      <c r="N202" s="457"/>
      <c r="O202" s="70"/>
      <c r="P202" s="458"/>
    </row>
    <row r="203" spans="2:16">
      <c r="B203" s="70"/>
      <c r="C203" s="70"/>
      <c r="D203" s="456"/>
      <c r="E203" s="456"/>
      <c r="F203" s="456"/>
      <c r="G203" s="456"/>
      <c r="H203" s="456"/>
      <c r="I203" s="457"/>
      <c r="J203" s="457"/>
      <c r="K203" s="457"/>
      <c r="L203" s="457"/>
      <c r="M203" s="457"/>
      <c r="N203" s="457"/>
      <c r="O203" s="70"/>
      <c r="P203" s="458"/>
    </row>
    <row r="204" spans="2:16">
      <c r="B204" s="70"/>
      <c r="C204" s="70"/>
      <c r="D204" s="456"/>
      <c r="E204" s="456"/>
      <c r="F204" s="456"/>
      <c r="G204" s="456"/>
      <c r="H204" s="456"/>
      <c r="I204" s="457"/>
      <c r="J204" s="457"/>
      <c r="K204" s="457"/>
      <c r="L204" s="457"/>
      <c r="M204" s="457"/>
      <c r="N204" s="457"/>
      <c r="O204" s="70"/>
      <c r="P204" s="458"/>
    </row>
    <row r="205" spans="2:16">
      <c r="B205" s="70"/>
      <c r="C205" s="70"/>
      <c r="D205" s="456"/>
      <c r="E205" s="456"/>
      <c r="F205" s="456"/>
      <c r="G205" s="456"/>
      <c r="H205" s="456"/>
      <c r="I205" s="457"/>
      <c r="J205" s="457"/>
      <c r="K205" s="457"/>
      <c r="L205" s="457"/>
      <c r="M205" s="457"/>
      <c r="N205" s="457"/>
      <c r="O205" s="70"/>
      <c r="P205" s="458"/>
    </row>
    <row r="206" spans="2:16">
      <c r="B206" s="70"/>
      <c r="C206" s="70"/>
      <c r="D206" s="456"/>
      <c r="E206" s="456"/>
      <c r="F206" s="456"/>
      <c r="G206" s="456"/>
      <c r="H206" s="456"/>
      <c r="I206" s="457"/>
      <c r="J206" s="457"/>
      <c r="K206" s="457"/>
      <c r="L206" s="457"/>
      <c r="M206" s="457"/>
      <c r="N206" s="457"/>
      <c r="O206" s="70"/>
      <c r="P206" s="458"/>
    </row>
    <row r="207" spans="2:16">
      <c r="B207" s="70"/>
      <c r="C207" s="70"/>
      <c r="D207" s="456"/>
      <c r="E207" s="456"/>
      <c r="F207" s="456"/>
      <c r="G207" s="456"/>
      <c r="H207" s="456"/>
      <c r="I207" s="457"/>
      <c r="J207" s="457"/>
      <c r="K207" s="457"/>
      <c r="L207" s="457"/>
      <c r="M207" s="457"/>
      <c r="N207" s="457"/>
      <c r="O207" s="70"/>
      <c r="P207" s="458"/>
    </row>
    <row r="208" spans="2:16">
      <c r="B208" s="70"/>
      <c r="C208" s="70"/>
      <c r="D208" s="456"/>
      <c r="E208" s="456"/>
      <c r="F208" s="456"/>
      <c r="G208" s="456"/>
      <c r="H208" s="456"/>
      <c r="I208" s="457"/>
      <c r="J208" s="457"/>
      <c r="K208" s="457"/>
      <c r="L208" s="457"/>
      <c r="M208" s="457"/>
      <c r="N208" s="457"/>
      <c r="O208" s="70"/>
      <c r="P208" s="458"/>
    </row>
    <row r="209" spans="2:16">
      <c r="B209" s="70"/>
      <c r="C209" s="70"/>
      <c r="D209" s="456"/>
      <c r="E209" s="456"/>
      <c r="F209" s="456"/>
      <c r="G209" s="456"/>
      <c r="H209" s="456"/>
      <c r="I209" s="457"/>
      <c r="J209" s="457"/>
      <c r="K209" s="457"/>
      <c r="L209" s="457"/>
      <c r="M209" s="457"/>
      <c r="N209" s="457"/>
      <c r="O209" s="70"/>
      <c r="P209" s="458"/>
    </row>
    <row r="210" spans="2:16">
      <c r="B210" s="70"/>
      <c r="C210" s="70"/>
      <c r="D210" s="456"/>
      <c r="E210" s="456"/>
      <c r="F210" s="456"/>
      <c r="G210" s="456"/>
      <c r="H210" s="456"/>
      <c r="I210" s="457"/>
      <c r="J210" s="457"/>
      <c r="K210" s="457"/>
      <c r="L210" s="457"/>
      <c r="M210" s="457"/>
      <c r="N210" s="457"/>
      <c r="O210" s="70"/>
      <c r="P210" s="458"/>
    </row>
    <row r="211" spans="2:16">
      <c r="B211" s="70"/>
      <c r="C211" s="70"/>
      <c r="D211" s="456"/>
      <c r="E211" s="456"/>
      <c r="F211" s="456"/>
      <c r="G211" s="456"/>
      <c r="H211" s="456"/>
      <c r="I211" s="457"/>
      <c r="J211" s="457"/>
      <c r="K211" s="457"/>
      <c r="L211" s="457"/>
      <c r="M211" s="457"/>
      <c r="N211" s="457"/>
      <c r="O211" s="70"/>
      <c r="P211" s="458"/>
    </row>
    <row r="212" spans="2:16">
      <c r="B212" s="70"/>
      <c r="C212" s="70"/>
      <c r="D212" s="456"/>
      <c r="E212" s="456"/>
      <c r="F212" s="456"/>
      <c r="G212" s="456"/>
      <c r="H212" s="456"/>
      <c r="I212" s="457"/>
      <c r="J212" s="457"/>
      <c r="K212" s="457"/>
      <c r="L212" s="457"/>
      <c r="M212" s="457"/>
      <c r="N212" s="457"/>
      <c r="O212" s="70"/>
      <c r="P212" s="458"/>
    </row>
    <row r="213" spans="2:16">
      <c r="B213" s="70"/>
      <c r="C213" s="70"/>
      <c r="D213" s="456"/>
      <c r="E213" s="456"/>
      <c r="F213" s="456"/>
      <c r="G213" s="456"/>
      <c r="H213" s="456"/>
      <c r="I213" s="457"/>
      <c r="J213" s="457"/>
      <c r="K213" s="457"/>
      <c r="L213" s="457"/>
      <c r="M213" s="457"/>
      <c r="N213" s="457"/>
      <c r="O213" s="70"/>
      <c r="P213" s="458"/>
    </row>
    <row r="214" spans="2:16">
      <c r="B214" s="70"/>
      <c r="C214" s="70"/>
      <c r="D214" s="456"/>
      <c r="E214" s="456"/>
      <c r="F214" s="456"/>
      <c r="G214" s="456"/>
      <c r="H214" s="456"/>
      <c r="I214" s="457"/>
      <c r="J214" s="457"/>
      <c r="K214" s="457"/>
      <c r="L214" s="457"/>
      <c r="M214" s="457"/>
      <c r="N214" s="457"/>
      <c r="O214" s="70"/>
      <c r="P214" s="458"/>
    </row>
    <row r="215" spans="2:16">
      <c r="B215" s="70"/>
      <c r="C215" s="70"/>
      <c r="D215" s="456"/>
      <c r="E215" s="456"/>
      <c r="F215" s="456"/>
      <c r="G215" s="456"/>
      <c r="H215" s="456"/>
      <c r="I215" s="457"/>
      <c r="J215" s="457"/>
      <c r="K215" s="457"/>
      <c r="L215" s="457"/>
      <c r="M215" s="457"/>
      <c r="N215" s="457"/>
      <c r="O215" s="70"/>
      <c r="P215" s="458"/>
    </row>
    <row r="216" spans="2:16">
      <c r="B216" s="70"/>
      <c r="C216" s="70"/>
      <c r="D216" s="456"/>
      <c r="E216" s="456"/>
      <c r="F216" s="456"/>
      <c r="G216" s="456"/>
      <c r="H216" s="456"/>
      <c r="I216" s="457"/>
      <c r="J216" s="457"/>
      <c r="K216" s="457"/>
      <c r="L216" s="457"/>
      <c r="M216" s="457"/>
      <c r="N216" s="457"/>
      <c r="O216" s="70"/>
      <c r="P216" s="458"/>
    </row>
    <row r="217" spans="2:16">
      <c r="B217" s="70"/>
      <c r="C217" s="70"/>
      <c r="D217" s="456"/>
      <c r="E217" s="456"/>
      <c r="F217" s="456"/>
      <c r="G217" s="456"/>
      <c r="H217" s="456"/>
      <c r="I217" s="457"/>
      <c r="J217" s="457"/>
      <c r="K217" s="457"/>
      <c r="L217" s="457"/>
      <c r="M217" s="457"/>
      <c r="N217" s="457"/>
      <c r="O217" s="70"/>
      <c r="P217" s="458"/>
    </row>
    <row r="218" spans="2:16">
      <c r="B218" s="70"/>
      <c r="C218" s="70"/>
      <c r="D218" s="456"/>
      <c r="E218" s="456"/>
      <c r="F218" s="456"/>
      <c r="G218" s="456"/>
      <c r="H218" s="456"/>
      <c r="I218" s="457"/>
      <c r="J218" s="457"/>
      <c r="K218" s="457"/>
      <c r="L218" s="457"/>
      <c r="M218" s="457"/>
      <c r="N218" s="457"/>
      <c r="O218" s="70"/>
      <c r="P218" s="458"/>
    </row>
    <row r="219" spans="2:16">
      <c r="B219" s="70"/>
      <c r="C219" s="70"/>
      <c r="D219" s="456"/>
      <c r="E219" s="456"/>
      <c r="F219" s="456"/>
      <c r="G219" s="456"/>
      <c r="H219" s="456"/>
      <c r="I219" s="457"/>
      <c r="J219" s="457"/>
      <c r="K219" s="457"/>
      <c r="L219" s="457"/>
      <c r="M219" s="457"/>
      <c r="N219" s="457"/>
      <c r="O219" s="70"/>
      <c r="P219" s="458"/>
    </row>
    <row r="220" spans="2:16">
      <c r="B220" s="70"/>
      <c r="C220" s="70"/>
      <c r="D220" s="456"/>
      <c r="E220" s="456"/>
      <c r="F220" s="456"/>
      <c r="G220" s="456"/>
      <c r="H220" s="456"/>
      <c r="I220" s="457"/>
      <c r="J220" s="457"/>
      <c r="K220" s="457"/>
      <c r="L220" s="457"/>
      <c r="M220" s="457"/>
      <c r="N220" s="457"/>
      <c r="O220" s="70"/>
      <c r="P220" s="458"/>
    </row>
    <row r="221" spans="2:16">
      <c r="B221" s="70"/>
      <c r="C221" s="70"/>
      <c r="D221" s="456"/>
      <c r="E221" s="456"/>
      <c r="F221" s="456"/>
      <c r="G221" s="456"/>
      <c r="H221" s="456"/>
      <c r="I221" s="457"/>
      <c r="J221" s="457"/>
      <c r="K221" s="457"/>
      <c r="L221" s="457"/>
      <c r="M221" s="457"/>
      <c r="N221" s="457"/>
      <c r="O221" s="70"/>
      <c r="P221" s="458"/>
    </row>
    <row r="222" spans="2:16">
      <c r="B222" s="70"/>
      <c r="C222" s="70"/>
      <c r="D222" s="456"/>
      <c r="E222" s="456"/>
      <c r="F222" s="456"/>
      <c r="G222" s="456"/>
      <c r="H222" s="456"/>
      <c r="I222" s="457"/>
      <c r="J222" s="457"/>
      <c r="K222" s="457"/>
      <c r="L222" s="457"/>
      <c r="M222" s="457"/>
      <c r="N222" s="457"/>
      <c r="O222" s="70"/>
      <c r="P222" s="458"/>
    </row>
    <row r="223" spans="2:16">
      <c r="B223" s="70"/>
      <c r="C223" s="70"/>
      <c r="D223" s="456"/>
      <c r="E223" s="456"/>
      <c r="F223" s="456"/>
      <c r="G223" s="456"/>
      <c r="H223" s="456"/>
      <c r="I223" s="457"/>
      <c r="J223" s="457"/>
      <c r="K223" s="457"/>
      <c r="L223" s="457"/>
      <c r="M223" s="457"/>
      <c r="N223" s="457"/>
      <c r="O223" s="70"/>
      <c r="P223" s="458"/>
    </row>
    <row r="224" spans="2:16">
      <c r="B224" s="70"/>
      <c r="C224" s="70"/>
      <c r="D224" s="456"/>
      <c r="E224" s="456"/>
      <c r="F224" s="456"/>
      <c r="G224" s="456"/>
      <c r="H224" s="456"/>
      <c r="I224" s="457"/>
      <c r="J224" s="457"/>
      <c r="K224" s="457"/>
      <c r="L224" s="457"/>
      <c r="M224" s="457"/>
      <c r="N224" s="457"/>
      <c r="O224" s="70"/>
      <c r="P224" s="458"/>
    </row>
    <row r="225" spans="2:16">
      <c r="B225" s="70"/>
      <c r="C225" s="70"/>
      <c r="D225" s="456"/>
      <c r="E225" s="456"/>
      <c r="F225" s="456"/>
      <c r="G225" s="456"/>
      <c r="H225" s="456"/>
      <c r="I225" s="457"/>
      <c r="J225" s="457"/>
      <c r="K225" s="457"/>
      <c r="L225" s="457"/>
      <c r="M225" s="457"/>
      <c r="N225" s="457"/>
      <c r="O225" s="70"/>
      <c r="P225" s="458"/>
    </row>
    <row r="226" spans="2:16">
      <c r="B226" s="70"/>
      <c r="C226" s="70"/>
      <c r="D226" s="456"/>
      <c r="E226" s="456"/>
      <c r="F226" s="456"/>
      <c r="G226" s="456"/>
      <c r="H226" s="456"/>
      <c r="I226" s="457"/>
      <c r="J226" s="457"/>
      <c r="K226" s="457"/>
      <c r="L226" s="457"/>
      <c r="M226" s="457"/>
      <c r="N226" s="457"/>
      <c r="O226" s="70"/>
      <c r="P226" s="458"/>
    </row>
    <row r="227" spans="2:16">
      <c r="B227" s="70"/>
      <c r="C227" s="70"/>
      <c r="D227" s="456"/>
      <c r="E227" s="456"/>
      <c r="F227" s="456"/>
      <c r="G227" s="456"/>
      <c r="H227" s="456"/>
      <c r="I227" s="457"/>
      <c r="J227" s="457"/>
      <c r="K227" s="457"/>
      <c r="L227" s="457"/>
      <c r="M227" s="457"/>
      <c r="N227" s="457"/>
      <c r="O227" s="70"/>
      <c r="P227" s="458"/>
    </row>
    <row r="228" spans="2:16">
      <c r="B228" s="70"/>
      <c r="C228" s="70"/>
      <c r="D228" s="456"/>
      <c r="E228" s="456"/>
      <c r="F228" s="456"/>
      <c r="G228" s="456"/>
      <c r="H228" s="456"/>
      <c r="I228" s="457"/>
      <c r="J228" s="457"/>
      <c r="K228" s="457"/>
      <c r="L228" s="457"/>
      <c r="M228" s="457"/>
      <c r="N228" s="457"/>
      <c r="O228" s="70"/>
      <c r="P228" s="458"/>
    </row>
    <row r="229" spans="2:16">
      <c r="B229" s="70"/>
      <c r="C229" s="70"/>
      <c r="D229" s="456"/>
      <c r="E229" s="456"/>
      <c r="F229" s="456"/>
      <c r="G229" s="456"/>
      <c r="H229" s="456"/>
      <c r="I229" s="457"/>
      <c r="J229" s="457"/>
      <c r="K229" s="457"/>
      <c r="L229" s="457"/>
      <c r="M229" s="457"/>
      <c r="N229" s="457"/>
      <c r="O229" s="70"/>
      <c r="P229" s="458"/>
    </row>
    <row r="230" spans="2:16">
      <c r="B230" s="70"/>
      <c r="C230" s="70"/>
      <c r="D230" s="456"/>
      <c r="E230" s="456"/>
      <c r="F230" s="456"/>
      <c r="G230" s="456"/>
      <c r="H230" s="456"/>
      <c r="I230" s="457"/>
      <c r="J230" s="457"/>
      <c r="K230" s="457"/>
      <c r="L230" s="457"/>
      <c r="M230" s="457"/>
      <c r="N230" s="457"/>
      <c r="O230" s="70"/>
      <c r="P230" s="458"/>
    </row>
    <row r="231" spans="2:16">
      <c r="B231" s="70"/>
      <c r="C231" s="70"/>
      <c r="D231" s="456"/>
      <c r="E231" s="456"/>
      <c r="F231" s="456"/>
      <c r="G231" s="456"/>
      <c r="H231" s="456"/>
      <c r="I231" s="457"/>
      <c r="J231" s="457"/>
      <c r="K231" s="457"/>
      <c r="L231" s="457"/>
      <c r="M231" s="457"/>
      <c r="N231" s="457"/>
      <c r="O231" s="70"/>
      <c r="P231" s="458"/>
    </row>
    <row r="232" spans="2:16">
      <c r="B232" s="70"/>
      <c r="C232" s="70"/>
      <c r="D232" s="456"/>
      <c r="E232" s="456"/>
      <c r="F232" s="456"/>
      <c r="G232" s="456"/>
      <c r="H232" s="456"/>
      <c r="I232" s="457"/>
      <c r="J232" s="457"/>
      <c r="K232" s="457"/>
      <c r="L232" s="457"/>
      <c r="M232" s="457"/>
      <c r="N232" s="457"/>
      <c r="O232" s="70"/>
      <c r="P232" s="458"/>
    </row>
    <row r="233" spans="2:16">
      <c r="B233" s="70"/>
      <c r="C233" s="70"/>
      <c r="D233" s="456"/>
      <c r="E233" s="456"/>
      <c r="F233" s="456"/>
      <c r="G233" s="456"/>
      <c r="H233" s="456"/>
      <c r="I233" s="457"/>
      <c r="J233" s="457"/>
      <c r="K233" s="457"/>
      <c r="L233" s="457"/>
      <c r="M233" s="457"/>
      <c r="N233" s="457"/>
      <c r="O233" s="70"/>
      <c r="P233" s="458"/>
    </row>
    <row r="234" spans="2:16">
      <c r="B234" s="70"/>
      <c r="C234" s="70"/>
      <c r="D234" s="456"/>
      <c r="E234" s="456"/>
      <c r="F234" s="456"/>
      <c r="G234" s="456"/>
      <c r="H234" s="456"/>
      <c r="I234" s="457"/>
      <c r="J234" s="457"/>
      <c r="K234" s="457"/>
      <c r="L234" s="457"/>
      <c r="M234" s="457"/>
      <c r="N234" s="457"/>
      <c r="O234" s="70"/>
      <c r="P234" s="458"/>
    </row>
    <row r="235" spans="2:16">
      <c r="B235" s="70"/>
      <c r="C235" s="70"/>
      <c r="D235" s="456"/>
      <c r="E235" s="456"/>
      <c r="F235" s="456"/>
      <c r="G235" s="456"/>
      <c r="H235" s="456"/>
      <c r="I235" s="457"/>
      <c r="J235" s="457"/>
      <c r="K235" s="457"/>
      <c r="L235" s="457"/>
      <c r="M235" s="457"/>
      <c r="N235" s="457"/>
      <c r="O235" s="70"/>
      <c r="P235" s="458"/>
    </row>
    <row r="236" spans="2:16">
      <c r="B236" s="70"/>
      <c r="C236" s="70"/>
      <c r="D236" s="456"/>
      <c r="E236" s="456"/>
      <c r="F236" s="456"/>
      <c r="G236" s="456"/>
      <c r="H236" s="456"/>
      <c r="I236" s="457"/>
      <c r="J236" s="457"/>
      <c r="K236" s="457"/>
      <c r="L236" s="457"/>
      <c r="M236" s="457"/>
      <c r="N236" s="457"/>
      <c r="O236" s="70"/>
      <c r="P236" s="458"/>
    </row>
    <row r="237" spans="2:16">
      <c r="B237" s="70"/>
      <c r="C237" s="70"/>
      <c r="D237" s="456"/>
      <c r="E237" s="456"/>
      <c r="F237" s="456"/>
      <c r="G237" s="456"/>
      <c r="H237" s="456"/>
      <c r="I237" s="457"/>
      <c r="J237" s="457"/>
      <c r="K237" s="457"/>
      <c r="L237" s="457"/>
      <c r="M237" s="457"/>
      <c r="N237" s="457"/>
      <c r="O237" s="70"/>
      <c r="P237" s="458"/>
    </row>
    <row r="238" spans="2:16">
      <c r="B238" s="70"/>
      <c r="C238" s="70"/>
      <c r="D238" s="456"/>
      <c r="E238" s="456"/>
      <c r="F238" s="456"/>
      <c r="G238" s="456"/>
      <c r="H238" s="456"/>
      <c r="I238" s="457"/>
      <c r="J238" s="457"/>
      <c r="K238" s="457"/>
      <c r="L238" s="457"/>
      <c r="M238" s="457"/>
      <c r="N238" s="457"/>
      <c r="O238" s="70"/>
      <c r="P238" s="458"/>
    </row>
    <row r="239" spans="2:16">
      <c r="B239" s="70"/>
      <c r="C239" s="70"/>
      <c r="D239" s="456"/>
      <c r="E239" s="456"/>
      <c r="F239" s="456"/>
      <c r="G239" s="456"/>
      <c r="H239" s="456"/>
      <c r="I239" s="457"/>
      <c r="J239" s="457"/>
      <c r="K239" s="457"/>
      <c r="L239" s="457"/>
      <c r="M239" s="457"/>
      <c r="N239" s="457"/>
      <c r="O239" s="70"/>
      <c r="P239" s="458"/>
    </row>
    <row r="240" spans="2:16">
      <c r="B240" s="70"/>
      <c r="C240" s="70"/>
      <c r="D240" s="456"/>
      <c r="E240" s="456"/>
      <c r="F240" s="456"/>
      <c r="G240" s="456"/>
      <c r="H240" s="456"/>
      <c r="I240" s="457"/>
      <c r="J240" s="457"/>
      <c r="K240" s="457"/>
      <c r="L240" s="457"/>
      <c r="M240" s="457"/>
      <c r="N240" s="457"/>
      <c r="O240" s="70"/>
      <c r="P240" s="458"/>
    </row>
    <row r="241" spans="2:16">
      <c r="B241" s="70"/>
      <c r="C241" s="70"/>
      <c r="D241" s="456"/>
      <c r="E241" s="456"/>
      <c r="F241" s="456"/>
      <c r="G241" s="456"/>
      <c r="H241" s="456"/>
      <c r="I241" s="457"/>
      <c r="J241" s="457"/>
      <c r="K241" s="457"/>
      <c r="L241" s="457"/>
      <c r="M241" s="457"/>
      <c r="N241" s="457"/>
      <c r="O241" s="70"/>
      <c r="P241" s="458"/>
    </row>
    <row r="242" spans="2:16">
      <c r="B242" s="70"/>
      <c r="C242" s="70"/>
      <c r="D242" s="456"/>
      <c r="E242" s="456"/>
      <c r="F242" s="456"/>
      <c r="G242" s="456"/>
      <c r="H242" s="456"/>
      <c r="I242" s="457"/>
      <c r="J242" s="457"/>
      <c r="K242" s="457"/>
      <c r="L242" s="457"/>
      <c r="M242" s="457"/>
      <c r="N242" s="457"/>
      <c r="O242" s="70"/>
      <c r="P242" s="458"/>
    </row>
    <row r="243" spans="2:16">
      <c r="B243" s="70"/>
      <c r="C243" s="70"/>
      <c r="D243" s="456"/>
      <c r="E243" s="456"/>
      <c r="F243" s="456"/>
      <c r="G243" s="456"/>
      <c r="H243" s="456"/>
      <c r="I243" s="457"/>
      <c r="J243" s="457"/>
      <c r="K243" s="457"/>
      <c r="L243" s="457"/>
      <c r="M243" s="457"/>
      <c r="N243" s="457"/>
      <c r="O243" s="70"/>
      <c r="P243" s="458"/>
    </row>
    <row r="244" spans="2:16">
      <c r="B244" s="70"/>
      <c r="C244" s="70"/>
      <c r="D244" s="456"/>
      <c r="E244" s="456"/>
      <c r="F244" s="456"/>
      <c r="G244" s="456"/>
      <c r="H244" s="456"/>
      <c r="I244" s="457"/>
      <c r="J244" s="457"/>
      <c r="K244" s="457"/>
      <c r="L244" s="457"/>
      <c r="M244" s="457"/>
      <c r="N244" s="457"/>
      <c r="O244" s="70"/>
      <c r="P244" s="458"/>
    </row>
    <row r="245" spans="2:16">
      <c r="B245" s="70"/>
      <c r="C245" s="70"/>
      <c r="D245" s="456"/>
      <c r="E245" s="456"/>
      <c r="F245" s="456"/>
      <c r="G245" s="456"/>
      <c r="H245" s="456"/>
      <c r="I245" s="457"/>
      <c r="J245" s="457"/>
      <c r="K245" s="457"/>
      <c r="L245" s="457"/>
      <c r="M245" s="457"/>
      <c r="N245" s="457"/>
      <c r="O245" s="70"/>
      <c r="P245" s="458"/>
    </row>
    <row r="246" spans="2:16">
      <c r="B246" s="70"/>
      <c r="C246" s="70"/>
      <c r="D246" s="456"/>
      <c r="E246" s="456"/>
      <c r="F246" s="456"/>
      <c r="G246" s="456"/>
      <c r="H246" s="456"/>
      <c r="I246" s="457"/>
      <c r="J246" s="457"/>
      <c r="K246" s="457"/>
      <c r="L246" s="457"/>
      <c r="M246" s="457"/>
      <c r="N246" s="457"/>
      <c r="O246" s="70"/>
      <c r="P246" s="458"/>
    </row>
    <row r="247" spans="2:16">
      <c r="B247" s="70"/>
      <c r="C247" s="70"/>
      <c r="D247" s="456"/>
      <c r="E247" s="456"/>
      <c r="F247" s="456"/>
      <c r="G247" s="456"/>
      <c r="H247" s="456"/>
      <c r="I247" s="457"/>
      <c r="J247" s="457"/>
      <c r="K247" s="457"/>
      <c r="L247" s="457"/>
      <c r="M247" s="457"/>
      <c r="N247" s="457"/>
      <c r="O247" s="70"/>
      <c r="P247" s="458"/>
    </row>
    <row r="248" spans="2:16">
      <c r="B248" s="70"/>
      <c r="C248" s="70"/>
      <c r="D248" s="456"/>
      <c r="E248" s="456"/>
      <c r="F248" s="456"/>
      <c r="G248" s="456"/>
      <c r="H248" s="456"/>
      <c r="I248" s="457"/>
      <c r="J248" s="457"/>
      <c r="K248" s="457"/>
      <c r="L248" s="457"/>
      <c r="M248" s="457"/>
      <c r="N248" s="457"/>
      <c r="O248" s="70"/>
      <c r="P248" s="458"/>
    </row>
    <row r="249" spans="2:16">
      <c r="B249" s="70"/>
      <c r="C249" s="70"/>
      <c r="D249" s="456"/>
      <c r="E249" s="456"/>
      <c r="F249" s="456"/>
      <c r="G249" s="456"/>
      <c r="H249" s="456"/>
      <c r="I249" s="457"/>
      <c r="J249" s="457"/>
      <c r="K249" s="457"/>
      <c r="L249" s="457"/>
      <c r="M249" s="457"/>
      <c r="N249" s="457"/>
      <c r="O249" s="70"/>
      <c r="P249" s="458"/>
    </row>
    <row r="250" spans="2:16">
      <c r="B250" s="70"/>
      <c r="C250" s="70"/>
      <c r="D250" s="456"/>
      <c r="E250" s="456"/>
      <c r="F250" s="456"/>
      <c r="G250" s="456"/>
      <c r="H250" s="456"/>
      <c r="I250" s="457"/>
      <c r="J250" s="457"/>
      <c r="K250" s="457"/>
      <c r="L250" s="457"/>
      <c r="M250" s="457"/>
      <c r="N250" s="457"/>
      <c r="O250" s="70"/>
      <c r="P250" s="458"/>
    </row>
    <row r="251" spans="2:16">
      <c r="B251" s="70"/>
      <c r="C251" s="70"/>
      <c r="D251" s="456"/>
      <c r="E251" s="456"/>
      <c r="F251" s="456"/>
      <c r="G251" s="456"/>
      <c r="H251" s="456"/>
      <c r="I251" s="457"/>
      <c r="J251" s="457"/>
      <c r="K251" s="457"/>
      <c r="L251" s="457"/>
      <c r="M251" s="457"/>
      <c r="N251" s="457"/>
      <c r="O251" s="70"/>
      <c r="P251" s="458"/>
    </row>
    <row r="252" spans="2:16">
      <c r="B252" s="70"/>
      <c r="C252" s="70"/>
      <c r="D252" s="456"/>
      <c r="E252" s="456"/>
      <c r="F252" s="456"/>
      <c r="G252" s="456"/>
      <c r="H252" s="456"/>
      <c r="I252" s="457"/>
      <c r="J252" s="457"/>
      <c r="K252" s="457"/>
      <c r="L252" s="457"/>
      <c r="M252" s="457"/>
      <c r="N252" s="457"/>
      <c r="O252" s="70"/>
      <c r="P252" s="458"/>
    </row>
    <row r="253" spans="2:16">
      <c r="B253" s="70"/>
      <c r="C253" s="70"/>
      <c r="D253" s="456"/>
      <c r="E253" s="456"/>
      <c r="F253" s="456"/>
      <c r="G253" s="456"/>
      <c r="H253" s="456"/>
      <c r="I253" s="457"/>
      <c r="J253" s="457"/>
      <c r="K253" s="457"/>
      <c r="L253" s="457"/>
      <c r="M253" s="457"/>
      <c r="N253" s="457"/>
      <c r="O253" s="70"/>
      <c r="P253" s="458"/>
    </row>
    <row r="254" spans="2:16">
      <c r="B254" s="70"/>
      <c r="C254" s="70"/>
      <c r="D254" s="456"/>
      <c r="E254" s="456"/>
      <c r="F254" s="456"/>
      <c r="G254" s="456"/>
      <c r="H254" s="456"/>
      <c r="I254" s="457"/>
      <c r="J254" s="457"/>
      <c r="K254" s="457"/>
      <c r="L254" s="457"/>
      <c r="M254" s="457"/>
      <c r="N254" s="457"/>
      <c r="O254" s="70"/>
      <c r="P254" s="458"/>
    </row>
    <row r="255" spans="2:16">
      <c r="B255" s="70"/>
      <c r="C255" s="70"/>
      <c r="D255" s="456"/>
      <c r="E255" s="456"/>
      <c r="F255" s="456"/>
      <c r="G255" s="456"/>
      <c r="H255" s="456"/>
      <c r="I255" s="457"/>
      <c r="J255" s="457"/>
      <c r="K255" s="457"/>
      <c r="L255" s="457"/>
      <c r="M255" s="457"/>
      <c r="N255" s="457"/>
      <c r="O255" s="70"/>
      <c r="P255" s="458"/>
    </row>
    <row r="256" spans="2:16">
      <c r="B256" s="70"/>
      <c r="C256" s="70"/>
      <c r="D256" s="456"/>
      <c r="E256" s="456"/>
      <c r="F256" s="456"/>
      <c r="G256" s="456"/>
      <c r="H256" s="456"/>
      <c r="I256" s="457"/>
      <c r="J256" s="457"/>
      <c r="K256" s="457"/>
      <c r="L256" s="457"/>
      <c r="M256" s="457"/>
      <c r="N256" s="457"/>
      <c r="O256" s="70"/>
      <c r="P256" s="458"/>
    </row>
  </sheetData>
  <mergeCells count="13">
    <mergeCell ref="B142:P142"/>
    <mergeCell ref="B75:O75"/>
    <mergeCell ref="B9:O9"/>
    <mergeCell ref="B10:O10"/>
    <mergeCell ref="B43:O43"/>
    <mergeCell ref="B105:P105"/>
    <mergeCell ref="B107:P107"/>
    <mergeCell ref="B108:P108"/>
    <mergeCell ref="B109:P109"/>
    <mergeCell ref="B139:P139"/>
    <mergeCell ref="B140:P140"/>
    <mergeCell ref="B141:P141"/>
    <mergeCell ref="B106:P106"/>
  </mergeCells>
  <phoneticPr fontId="4" type="noConversion"/>
  <pageMargins left="0.7" right="0.7" top="1.07" bottom="0.75" header="0.3" footer="0.3"/>
  <pageSetup scale="64" fitToHeight="0" orientation="landscape" r:id="rId1"/>
  <headerFooter>
    <oddHeader>&amp;RDocket No 56165
Schedule &amp;A
Page &amp;P of &amp;N</oddHeader>
    <oddFooter>&amp;LSponsored by: Earlyne Reynolds</oddFooter>
  </headerFooter>
  <rowBreaks count="4" manualBreakCount="4">
    <brk id="40" max="16383" man="1"/>
    <brk id="72" max="16383" man="1"/>
    <brk id="104" max="16383" man="1"/>
    <brk id="138" max="16383" man="1"/>
  </rowBreaks>
  <colBreaks count="1" manualBreakCount="1">
    <brk id="1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2"/>
  <sheetViews>
    <sheetView zoomScale="120" zoomScaleNormal="120" workbookViewId="0">
      <selection activeCell="U32" sqref="U32"/>
    </sheetView>
  </sheetViews>
  <sheetFormatPr defaultColWidth="9.140625" defaultRowHeight="11.25"/>
  <cols>
    <col min="1" max="1" width="4.7109375" style="207" bestFit="1" customWidth="1"/>
    <col min="2" max="2" width="82.85546875" style="207" customWidth="1"/>
    <col min="3" max="16384" width="9.140625" style="207"/>
  </cols>
  <sheetData>
    <row r="1" spans="1:2" ht="12" thickBot="1"/>
    <row r="2" spans="1:2">
      <c r="B2" s="203" t="s">
        <v>100</v>
      </c>
    </row>
    <row r="3" spans="1:2">
      <c r="B3" s="204" t="s">
        <v>101</v>
      </c>
    </row>
    <row r="4" spans="1:2">
      <c r="B4" s="205" t="s">
        <v>112</v>
      </c>
    </row>
    <row r="5" spans="1:2">
      <c r="B5" s="205" t="str">
        <f>'II-H-1'!B5</f>
        <v>TEST YEAR ENDING 9/30/2023</v>
      </c>
    </row>
    <row r="6" spans="1:2" ht="12" thickBot="1">
      <c r="B6" s="206" t="s">
        <v>145</v>
      </c>
    </row>
    <row r="9" spans="1:2">
      <c r="A9" s="208" t="s">
        <v>32</v>
      </c>
      <c r="B9" s="208" t="s">
        <v>104</v>
      </c>
    </row>
    <row r="10" spans="1:2">
      <c r="A10" s="209">
        <v>1</v>
      </c>
      <c r="B10" s="207" t="s">
        <v>113</v>
      </c>
    </row>
    <row r="11" spans="1:2">
      <c r="A11" s="209"/>
      <c r="B11" s="207" t="s">
        <v>114</v>
      </c>
    </row>
    <row r="12" spans="1:2">
      <c r="A12" s="209"/>
      <c r="B12" s="207" t="s">
        <v>115</v>
      </c>
    </row>
    <row r="13" spans="1:2">
      <c r="A13" s="209"/>
      <c r="B13" s="207" t="s">
        <v>116</v>
      </c>
    </row>
    <row r="14" spans="1:2">
      <c r="A14" s="209"/>
    </row>
    <row r="15" spans="1:2">
      <c r="A15" s="209">
        <v>2</v>
      </c>
      <c r="B15" s="207" t="s">
        <v>117</v>
      </c>
    </row>
    <row r="16" spans="1:2">
      <c r="A16" s="209"/>
      <c r="B16" s="207" t="s">
        <v>118</v>
      </c>
    </row>
    <row r="17" spans="1:2">
      <c r="A17" s="209"/>
      <c r="B17" s="207" t="s">
        <v>119</v>
      </c>
    </row>
    <row r="18" spans="1:2">
      <c r="A18" s="209"/>
      <c r="B18" s="207" t="s">
        <v>120</v>
      </c>
    </row>
    <row r="19" spans="1:2">
      <c r="A19" s="209"/>
      <c r="B19" s="207" t="s">
        <v>121</v>
      </c>
    </row>
    <row r="20" spans="1:2">
      <c r="A20" s="209"/>
      <c r="B20" s="207" t="s">
        <v>122</v>
      </c>
    </row>
    <row r="21" spans="1:2">
      <c r="A21" s="209"/>
    </row>
    <row r="22" spans="1:2">
      <c r="A22" s="209">
        <v>3</v>
      </c>
      <c r="B22" s="207" t="s">
        <v>123</v>
      </c>
    </row>
    <row r="23" spans="1:2">
      <c r="A23" s="209"/>
      <c r="B23" s="207" t="s">
        <v>361</v>
      </c>
    </row>
    <row r="24" spans="1:2">
      <c r="A24" s="209"/>
      <c r="B24" s="207" t="s">
        <v>124</v>
      </c>
    </row>
    <row r="25" spans="1:2">
      <c r="A25" s="209"/>
      <c r="B25" s="207" t="s">
        <v>125</v>
      </c>
    </row>
    <row r="26" spans="1:2">
      <c r="A26" s="209"/>
      <c r="B26" s="207" t="s">
        <v>126</v>
      </c>
    </row>
    <row r="27" spans="1:2">
      <c r="A27" s="209"/>
    </row>
    <row r="28" spans="1:2">
      <c r="A28" s="209">
        <v>4</v>
      </c>
      <c r="B28" s="207" t="s">
        <v>127</v>
      </c>
    </row>
    <row r="29" spans="1:2">
      <c r="B29" s="207" t="s">
        <v>128</v>
      </c>
    </row>
    <row r="30" spans="1:2">
      <c r="B30" s="207" t="s">
        <v>129</v>
      </c>
    </row>
    <row r="31" spans="1:2">
      <c r="B31" s="207" t="s">
        <v>130</v>
      </c>
    </row>
    <row r="32" spans="1:2">
      <c r="B32" s="207" t="s">
        <v>131</v>
      </c>
    </row>
  </sheetData>
  <pageMargins left="0.7" right="0.7" top="1.07" bottom="0.75" header="0.3" footer="0.3"/>
  <pageSetup orientation="portrait" r:id="rId1"/>
  <headerFooter>
    <oddHeader>&amp;RDocket No 56165
Schedule &amp;A
Page &amp;P of &amp;N</oddHeader>
    <oddFooter>&amp;LSponsored by: Earlyne Reynolds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412C1-5AA0-4A9B-ADD1-34F3B0793269}">
  <dimension ref="B1:BQ21840"/>
  <sheetViews>
    <sheetView zoomScale="98" zoomScaleNormal="98" workbookViewId="0">
      <selection activeCell="U32" sqref="U32"/>
    </sheetView>
  </sheetViews>
  <sheetFormatPr defaultColWidth="9.140625" defaultRowHeight="12.75"/>
  <cols>
    <col min="1" max="1" width="4.140625" style="283" customWidth="1"/>
    <col min="2" max="2" width="28.85546875" style="285" customWidth="1"/>
    <col min="3" max="3" width="15" style="286" customWidth="1"/>
    <col min="4" max="4" width="15" style="287" customWidth="1"/>
    <col min="5" max="14" width="15" style="283" customWidth="1"/>
    <col min="15" max="15" width="15.42578125" style="283" bestFit="1" customWidth="1"/>
    <col min="16" max="16" width="13.140625" style="283" bestFit="1" customWidth="1"/>
    <col min="17" max="27" width="23.5703125" style="283" customWidth="1"/>
    <col min="28" max="28" width="28.85546875" style="283" bestFit="1" customWidth="1"/>
    <col min="29" max="29" width="23.85546875" style="283" bestFit="1" customWidth="1"/>
    <col min="30" max="39" width="23.5703125" style="283" customWidth="1"/>
    <col min="40" max="40" width="28.85546875" style="283" bestFit="1" customWidth="1"/>
    <col min="41" max="41" width="23" style="283" bestFit="1" customWidth="1"/>
    <col min="42" max="42" width="23.85546875" style="283" bestFit="1" customWidth="1"/>
    <col min="43" max="51" width="23.5703125" style="283" customWidth="1"/>
    <col min="52" max="52" width="28.85546875" style="283" bestFit="1" customWidth="1"/>
    <col min="53" max="53" width="22.5703125" style="283" bestFit="1" customWidth="1"/>
    <col min="54" max="54" width="23" style="283" bestFit="1" customWidth="1"/>
    <col min="55" max="55" width="23.85546875" style="283" bestFit="1" customWidth="1"/>
    <col min="56" max="63" width="23.5703125" style="283" customWidth="1"/>
    <col min="64" max="64" width="28.85546875" style="283" customWidth="1"/>
    <col min="65" max="65" width="23.140625" style="283" customWidth="1"/>
    <col min="66" max="66" width="22.5703125" style="283" customWidth="1"/>
    <col min="67" max="67" width="23" style="283" customWidth="1"/>
    <col min="68" max="68" width="23.85546875" style="283" customWidth="1"/>
    <col min="69" max="16384" width="9.140625" style="283"/>
  </cols>
  <sheetData>
    <row r="1" spans="2:16">
      <c r="B1" s="283"/>
      <c r="C1" s="283"/>
      <c r="D1" s="283"/>
    </row>
    <row r="2" spans="2:16">
      <c r="B2" s="283"/>
      <c r="C2" s="283"/>
      <c r="D2" s="283"/>
    </row>
    <row r="3" spans="2:16"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</row>
    <row r="4" spans="2:16">
      <c r="B4" s="295" t="s">
        <v>312</v>
      </c>
      <c r="C4" s="295"/>
      <c r="D4" s="296"/>
      <c r="E4" s="296"/>
      <c r="F4" s="296"/>
      <c r="G4" s="296"/>
      <c r="H4" s="296"/>
      <c r="I4" s="296"/>
      <c r="J4" s="296"/>
      <c r="K4" s="296"/>
      <c r="L4" s="296"/>
      <c r="M4" s="296"/>
      <c r="N4" s="296"/>
      <c r="O4" s="296"/>
      <c r="P4" s="288"/>
    </row>
    <row r="5" spans="2:16">
      <c r="B5" s="314" t="s">
        <v>313</v>
      </c>
      <c r="C5" s="315">
        <v>44856</v>
      </c>
      <c r="D5" s="315">
        <v>44887</v>
      </c>
      <c r="E5" s="315">
        <v>44917</v>
      </c>
      <c r="F5" s="315">
        <v>44949</v>
      </c>
      <c r="G5" s="315">
        <v>44980</v>
      </c>
      <c r="H5" s="315">
        <v>45008</v>
      </c>
      <c r="I5" s="315">
        <v>45039</v>
      </c>
      <c r="J5" s="315">
        <v>45069</v>
      </c>
      <c r="K5" s="315">
        <v>45100</v>
      </c>
      <c r="L5" s="315">
        <v>45130</v>
      </c>
      <c r="M5" s="315">
        <v>45161</v>
      </c>
      <c r="N5" s="315">
        <v>45192</v>
      </c>
      <c r="O5" s="297" t="s">
        <v>314</v>
      </c>
      <c r="P5" s="288"/>
    </row>
    <row r="6" spans="2:16">
      <c r="B6" s="316" t="s">
        <v>319</v>
      </c>
      <c r="C6" s="317">
        <v>14758.530000000004</v>
      </c>
      <c r="D6" s="317">
        <v>13293.160000000003</v>
      </c>
      <c r="E6" s="317">
        <v>12636.400000000001</v>
      </c>
      <c r="F6" s="317">
        <v>12383.900000000001</v>
      </c>
      <c r="G6" s="317">
        <v>12471.54</v>
      </c>
      <c r="H6" s="317">
        <v>11414.250000000002</v>
      </c>
      <c r="I6" s="317">
        <v>11761.770000000006</v>
      </c>
      <c r="J6" s="317">
        <v>12749.400000000003</v>
      </c>
      <c r="K6" s="317">
        <v>12695.890000000003</v>
      </c>
      <c r="L6" s="317">
        <v>12632.210000000003</v>
      </c>
      <c r="M6" s="317">
        <v>12571.260000000009</v>
      </c>
      <c r="N6" s="317">
        <v>13496.399999999998</v>
      </c>
      <c r="O6" s="313">
        <f>SUM(C6:N6)</f>
        <v>152864.71000000005</v>
      </c>
      <c r="P6" s="288"/>
    </row>
    <row r="7" spans="2:16">
      <c r="B7" s="316" t="s">
        <v>320</v>
      </c>
      <c r="C7" s="317">
        <v>1483688.0800000026</v>
      </c>
      <c r="D7" s="317">
        <v>1484621.3800000024</v>
      </c>
      <c r="E7" s="317">
        <v>1474380.3300000029</v>
      </c>
      <c r="F7" s="317">
        <v>1520782.0200000044</v>
      </c>
      <c r="G7" s="317">
        <v>1504820.940000002</v>
      </c>
      <c r="H7" s="317">
        <v>1443916.7400000023</v>
      </c>
      <c r="I7" s="317">
        <v>1436749.1500000013</v>
      </c>
      <c r="J7" s="317">
        <v>1386716.1200000008</v>
      </c>
      <c r="K7" s="317">
        <v>1414421.7500000023</v>
      </c>
      <c r="L7" s="317">
        <v>1375253.6400000015</v>
      </c>
      <c r="M7" s="317">
        <v>1377882.4800000007</v>
      </c>
      <c r="N7" s="317">
        <v>1411403.2900000005</v>
      </c>
      <c r="O7" s="313">
        <f t="shared" ref="O7:O23" si="0">SUM(C7:N7)</f>
        <v>17314635.920000024</v>
      </c>
      <c r="P7" s="288"/>
    </row>
    <row r="8" spans="2:16" s="284" customFormat="1">
      <c r="B8" s="347" t="s">
        <v>365</v>
      </c>
      <c r="C8" s="318">
        <v>66.150000000000006</v>
      </c>
      <c r="D8" s="318">
        <v>66.150000000000006</v>
      </c>
      <c r="E8" s="318">
        <v>66.150000000000006</v>
      </c>
      <c r="F8" s="318">
        <v>66.150000000000006</v>
      </c>
      <c r="G8" s="318">
        <v>66.150000000000006</v>
      </c>
      <c r="H8" s="318">
        <v>66.150000000000006</v>
      </c>
      <c r="I8" s="318">
        <v>66.150000000000006</v>
      </c>
      <c r="J8" s="318">
        <v>66.150000000000006</v>
      </c>
      <c r="K8" s="318">
        <v>66.150000000000006</v>
      </c>
      <c r="L8" s="318">
        <v>66.150000000000006</v>
      </c>
      <c r="M8" s="318">
        <v>66.150000000000006</v>
      </c>
      <c r="N8" s="318">
        <v>66.150000000000006</v>
      </c>
      <c r="O8" s="313">
        <f t="shared" si="0"/>
        <v>793.79999999999984</v>
      </c>
      <c r="P8" s="290"/>
    </row>
    <row r="9" spans="2:16" s="284" customFormat="1">
      <c r="B9" s="347" t="s">
        <v>366</v>
      </c>
      <c r="C9" s="318">
        <v>392.67000000000024</v>
      </c>
      <c r="D9" s="318">
        <v>426.30000000000035</v>
      </c>
      <c r="E9" s="318">
        <v>441.00000000000028</v>
      </c>
      <c r="F9" s="318">
        <v>426.30000000000041</v>
      </c>
      <c r="G9" s="318">
        <v>418.95000000000039</v>
      </c>
      <c r="H9" s="318">
        <v>404.25000000000034</v>
      </c>
      <c r="I9" s="318">
        <v>404.25000000000034</v>
      </c>
      <c r="J9" s="318">
        <v>419.19000000000034</v>
      </c>
      <c r="K9" s="318">
        <v>404.4800000000003</v>
      </c>
      <c r="L9" s="318">
        <v>411.13000000000034</v>
      </c>
      <c r="M9" s="318">
        <v>411.60000000000036</v>
      </c>
      <c r="N9" s="318">
        <v>389.5500000000003</v>
      </c>
      <c r="O9" s="313">
        <f t="shared" si="0"/>
        <v>4949.6700000000046</v>
      </c>
      <c r="P9" s="290"/>
    </row>
    <row r="10" spans="2:16" s="284" customFormat="1">
      <c r="B10" s="347" t="s">
        <v>363</v>
      </c>
      <c r="C10" s="318">
        <v>1141.83</v>
      </c>
      <c r="D10" s="318">
        <v>1141.83</v>
      </c>
      <c r="E10" s="318">
        <v>1141.83</v>
      </c>
      <c r="F10" s="318">
        <v>1141.83</v>
      </c>
      <c r="G10" s="318">
        <v>1141.83</v>
      </c>
      <c r="H10" s="318">
        <v>1141.83</v>
      </c>
      <c r="I10" s="318">
        <v>1141.83</v>
      </c>
      <c r="J10" s="318">
        <v>1141.83</v>
      </c>
      <c r="K10" s="318">
        <v>1141.83</v>
      </c>
      <c r="L10" s="318">
        <v>1141.83</v>
      </c>
      <c r="M10" s="318">
        <v>1141.83</v>
      </c>
      <c r="N10" s="318">
        <v>1141.83</v>
      </c>
      <c r="O10" s="313">
        <f t="shared" si="0"/>
        <v>13701.96</v>
      </c>
      <c r="P10" s="290"/>
    </row>
    <row r="11" spans="2:16" s="284" customFormat="1">
      <c r="B11" s="347" t="s">
        <v>364</v>
      </c>
      <c r="C11" s="318">
        <v>6777.9199999999955</v>
      </c>
      <c r="D11" s="318">
        <v>7358.4599999999946</v>
      </c>
      <c r="E11" s="318">
        <v>7612.1999999999944</v>
      </c>
      <c r="F11" s="318">
        <v>7358.4599999999946</v>
      </c>
      <c r="G11" s="318">
        <v>7231.5899999999947</v>
      </c>
      <c r="H11" s="318">
        <v>6977.8499999999949</v>
      </c>
      <c r="I11" s="318">
        <v>6977.8499999999949</v>
      </c>
      <c r="J11" s="318">
        <v>7235.6899999999951</v>
      </c>
      <c r="K11" s="318">
        <v>6981.9299999999957</v>
      </c>
      <c r="L11" s="318">
        <v>7096.5399999999945</v>
      </c>
      <c r="M11" s="318">
        <v>7104.7199999999948</v>
      </c>
      <c r="N11" s="318">
        <v>6724.1099999999951</v>
      </c>
      <c r="O11" s="313">
        <f t="shared" si="0"/>
        <v>85437.319999999949</v>
      </c>
      <c r="P11" s="290"/>
    </row>
    <row r="12" spans="2:16" s="284" customFormat="1">
      <c r="B12" s="316" t="s">
        <v>321</v>
      </c>
      <c r="C12" s="318" t="s">
        <v>367</v>
      </c>
      <c r="D12" s="318"/>
      <c r="E12" s="318"/>
      <c r="F12" s="318"/>
      <c r="G12" s="318"/>
      <c r="H12" s="318"/>
      <c r="I12" s="318"/>
      <c r="J12" s="318"/>
      <c r="K12" s="318"/>
      <c r="L12" s="318"/>
      <c r="M12" s="318"/>
      <c r="N12" s="318"/>
      <c r="O12" s="289">
        <f t="shared" si="0"/>
        <v>0</v>
      </c>
      <c r="P12" s="290"/>
    </row>
    <row r="13" spans="2:16" s="284" customFormat="1">
      <c r="B13" s="316" t="s">
        <v>322</v>
      </c>
      <c r="C13" s="318" t="s">
        <v>367</v>
      </c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318"/>
      <c r="O13" s="289">
        <f t="shared" si="0"/>
        <v>0</v>
      </c>
      <c r="P13" s="290"/>
    </row>
    <row r="14" spans="2:16" s="284" customFormat="1">
      <c r="B14" s="347" t="s">
        <v>323</v>
      </c>
      <c r="C14" s="318">
        <v>6628.1100000000006</v>
      </c>
      <c r="D14" s="318">
        <v>5288.58</v>
      </c>
      <c r="E14" s="318">
        <v>4928.1000000000004</v>
      </c>
      <c r="F14" s="318">
        <v>4866.6699999999992</v>
      </c>
      <c r="G14" s="318">
        <v>4919.5200000000004</v>
      </c>
      <c r="H14" s="318">
        <v>3872.62</v>
      </c>
      <c r="I14" s="318">
        <v>4103.3900000000003</v>
      </c>
      <c r="J14" s="318">
        <v>4630.49</v>
      </c>
      <c r="K14" s="318">
        <v>4486.4199999999992</v>
      </c>
      <c r="L14" s="318">
        <v>4508.26</v>
      </c>
      <c r="M14" s="318">
        <v>4456.37</v>
      </c>
      <c r="N14" s="318">
        <v>5108.9400000000005</v>
      </c>
      <c r="O14" s="313">
        <f>SUM(C14:N14)</f>
        <v>57797.47</v>
      </c>
      <c r="P14" s="290"/>
    </row>
    <row r="15" spans="2:16" s="284" customFormat="1">
      <c r="B15" s="347" t="s">
        <v>324</v>
      </c>
      <c r="C15" s="318">
        <v>717457.05999999994</v>
      </c>
      <c r="D15" s="318">
        <v>717257.28999999992</v>
      </c>
      <c r="E15" s="318">
        <v>715401.57000000007</v>
      </c>
      <c r="F15" s="318">
        <v>751792.84000000008</v>
      </c>
      <c r="G15" s="318">
        <v>749729.65</v>
      </c>
      <c r="H15" s="318">
        <v>671909.12000000034</v>
      </c>
      <c r="I15" s="318">
        <v>672354.6800000004</v>
      </c>
      <c r="J15" s="318">
        <v>640644.15000000014</v>
      </c>
      <c r="K15" s="318">
        <v>644055.96000000008</v>
      </c>
      <c r="L15" s="318">
        <v>642044.6100000001</v>
      </c>
      <c r="M15" s="318">
        <v>642248.24000000022</v>
      </c>
      <c r="N15" s="318">
        <v>616277.52</v>
      </c>
      <c r="O15" s="313">
        <f t="shared" si="0"/>
        <v>8181172.6900000013</v>
      </c>
      <c r="P15" s="290"/>
    </row>
    <row r="16" spans="2:16" s="284" customFormat="1">
      <c r="B16" s="347" t="s">
        <v>325</v>
      </c>
      <c r="C16" s="318">
        <v>5045.8</v>
      </c>
      <c r="D16" s="318">
        <v>4971.420000000001</v>
      </c>
      <c r="E16" s="318">
        <v>4760.7400000000007</v>
      </c>
      <c r="F16" s="318">
        <v>4667.0600000000004</v>
      </c>
      <c r="G16" s="318">
        <v>4692.2800000000007</v>
      </c>
      <c r="H16" s="318">
        <v>4591.4500000000007</v>
      </c>
      <c r="I16" s="318">
        <v>4670.5</v>
      </c>
      <c r="J16" s="318">
        <v>5000.3600000000006</v>
      </c>
      <c r="K16" s="318">
        <v>5040.18</v>
      </c>
      <c r="L16" s="318">
        <v>4964.8900000000003</v>
      </c>
      <c r="M16" s="318">
        <v>4981.08</v>
      </c>
      <c r="N16" s="318">
        <v>4778.4699999999993</v>
      </c>
      <c r="O16" s="313">
        <f t="shared" si="0"/>
        <v>58164.23</v>
      </c>
      <c r="P16" s="290"/>
    </row>
    <row r="17" spans="2:16" s="284" customFormat="1">
      <c r="B17" s="347" t="s">
        <v>326</v>
      </c>
      <c r="C17" s="318">
        <v>559809.16999999993</v>
      </c>
      <c r="D17" s="318">
        <v>560821.02999999991</v>
      </c>
      <c r="E17" s="318">
        <v>554772.20000000007</v>
      </c>
      <c r="F17" s="318">
        <v>560503.59</v>
      </c>
      <c r="G17" s="318">
        <v>551668.29999999993</v>
      </c>
      <c r="H17" s="318">
        <v>557108.69999999984</v>
      </c>
      <c r="I17" s="318">
        <v>549107.11999999988</v>
      </c>
      <c r="J17" s="318">
        <v>536230.00999999989</v>
      </c>
      <c r="K17" s="318">
        <v>551943.82000000007</v>
      </c>
      <c r="L17" s="318">
        <v>528538.9</v>
      </c>
      <c r="M17" s="318">
        <v>529006.06000000006</v>
      </c>
      <c r="N17" s="318">
        <v>535347.66</v>
      </c>
      <c r="O17" s="313">
        <f t="shared" si="0"/>
        <v>6574856.5600000005</v>
      </c>
      <c r="P17" s="290"/>
    </row>
    <row r="18" spans="2:16" s="284" customFormat="1">
      <c r="B18" s="316" t="s">
        <v>327</v>
      </c>
      <c r="C18" s="318">
        <v>431400</v>
      </c>
      <c r="D18" s="318">
        <v>410400</v>
      </c>
      <c r="E18" s="318">
        <v>467000</v>
      </c>
      <c r="F18" s="318">
        <v>366800</v>
      </c>
      <c r="G18" s="318">
        <v>371400</v>
      </c>
      <c r="H18" s="318">
        <v>472200</v>
      </c>
      <c r="I18" s="318">
        <v>495400</v>
      </c>
      <c r="J18" s="318">
        <v>550400</v>
      </c>
      <c r="K18" s="318">
        <v>592800</v>
      </c>
      <c r="L18" s="318">
        <v>591600</v>
      </c>
      <c r="M18" s="318">
        <v>553200</v>
      </c>
      <c r="N18" s="318">
        <v>578000</v>
      </c>
      <c r="O18" s="313">
        <f t="shared" si="0"/>
        <v>5880600</v>
      </c>
      <c r="P18" s="290"/>
    </row>
    <row r="19" spans="2:16" s="284" customFormat="1">
      <c r="B19" s="316" t="s">
        <v>328</v>
      </c>
      <c r="C19" s="318">
        <v>47509460</v>
      </c>
      <c r="D19" s="318">
        <v>42370760</v>
      </c>
      <c r="E19" s="318">
        <v>45245780</v>
      </c>
      <c r="F19" s="318">
        <v>48271520</v>
      </c>
      <c r="G19" s="318">
        <v>46462940</v>
      </c>
      <c r="H19" s="318">
        <v>39455100</v>
      </c>
      <c r="I19" s="318">
        <v>44769280</v>
      </c>
      <c r="J19" s="318">
        <v>41432480</v>
      </c>
      <c r="K19" s="318">
        <v>41083840</v>
      </c>
      <c r="L19" s="318">
        <v>34412140</v>
      </c>
      <c r="M19" s="318">
        <v>31610100</v>
      </c>
      <c r="N19" s="318">
        <v>37295980</v>
      </c>
      <c r="O19" s="313">
        <f t="shared" si="0"/>
        <v>499919380</v>
      </c>
      <c r="P19" s="290"/>
    </row>
    <row r="20" spans="2:16" s="284" customFormat="1">
      <c r="B20" s="316" t="s">
        <v>362</v>
      </c>
      <c r="C20" s="318">
        <v>1621.4</v>
      </c>
      <c r="D20" s="318">
        <v>1597.5</v>
      </c>
      <c r="E20" s="318">
        <v>1529.8000000000002</v>
      </c>
      <c r="F20" s="318">
        <v>1499.7</v>
      </c>
      <c r="G20" s="318">
        <v>1507.8</v>
      </c>
      <c r="H20" s="318">
        <v>1475.4</v>
      </c>
      <c r="I20" s="318">
        <v>1500.7999999999997</v>
      </c>
      <c r="J20" s="318">
        <v>1606.8</v>
      </c>
      <c r="K20" s="318">
        <v>1619.6</v>
      </c>
      <c r="L20" s="318">
        <v>1595.4</v>
      </c>
      <c r="M20" s="318">
        <v>1600.5999999999997</v>
      </c>
      <c r="N20" s="318">
        <v>1535.5000000000002</v>
      </c>
      <c r="O20" s="313">
        <f t="shared" si="0"/>
        <v>18690.3</v>
      </c>
      <c r="P20" s="290"/>
    </row>
    <row r="21" spans="2:16" s="284" customFormat="1">
      <c r="B21" s="347" t="s">
        <v>489</v>
      </c>
      <c r="C21" s="318">
        <v>180128.5</v>
      </c>
      <c r="D21" s="318">
        <v>180212.4</v>
      </c>
      <c r="E21" s="318">
        <v>178269.7</v>
      </c>
      <c r="F21" s="318">
        <v>180111.4</v>
      </c>
      <c r="G21" s="318">
        <v>178712.1</v>
      </c>
      <c r="H21" s="318">
        <v>179020.5</v>
      </c>
      <c r="I21" s="318">
        <v>176448.3</v>
      </c>
      <c r="J21" s="318">
        <v>175121.19999999995</v>
      </c>
      <c r="K21" s="318">
        <v>178065.9</v>
      </c>
      <c r="L21" s="318">
        <v>169880.69999999998</v>
      </c>
      <c r="M21" s="318">
        <v>169989.09999999995</v>
      </c>
      <c r="N21" s="318">
        <v>172026.9</v>
      </c>
      <c r="O21" s="313">
        <f t="shared" si="0"/>
        <v>2117986.6999999997</v>
      </c>
      <c r="P21" s="290"/>
    </row>
    <row r="22" spans="2:16" s="284" customFormat="1">
      <c r="B22" s="316" t="s">
        <v>330</v>
      </c>
      <c r="C22" s="318">
        <v>1391.8999999999999</v>
      </c>
      <c r="D22" s="318">
        <v>1110.5999999999999</v>
      </c>
      <c r="E22" s="318">
        <v>1034.8999999999999</v>
      </c>
      <c r="F22" s="318">
        <v>1021.9999999999999</v>
      </c>
      <c r="G22" s="318">
        <v>1033.0999999999999</v>
      </c>
      <c r="H22" s="318">
        <v>1134.4000000000001</v>
      </c>
      <c r="I22" s="318">
        <v>1201.9999999999998</v>
      </c>
      <c r="J22" s="318">
        <v>1356.4</v>
      </c>
      <c r="K22" s="318">
        <v>1314.1999999999998</v>
      </c>
      <c r="L22" s="318">
        <v>1320.6</v>
      </c>
      <c r="M22" s="318">
        <v>1305.3999999999999</v>
      </c>
      <c r="N22" s="318">
        <v>1284.3</v>
      </c>
      <c r="O22" s="313">
        <f t="shared" si="0"/>
        <v>14509.8</v>
      </c>
      <c r="P22" s="290"/>
    </row>
    <row r="23" spans="2:16" s="284" customFormat="1">
      <c r="B23" s="316" t="s">
        <v>331</v>
      </c>
      <c r="C23" s="318">
        <v>106232.09999999999</v>
      </c>
      <c r="D23" s="318">
        <v>106137.1</v>
      </c>
      <c r="E23" s="318">
        <v>105862.49999999999</v>
      </c>
      <c r="F23" s="318">
        <v>111247.49999999997</v>
      </c>
      <c r="G23" s="318">
        <v>112591.19999999997</v>
      </c>
      <c r="H23" s="318">
        <v>110842.29999999997</v>
      </c>
      <c r="I23" s="318">
        <v>110915.79999999997</v>
      </c>
      <c r="J23" s="318">
        <v>108569.19999999998</v>
      </c>
      <c r="K23" s="318">
        <v>106830.99999999999</v>
      </c>
      <c r="L23" s="318">
        <v>105949.29999999997</v>
      </c>
      <c r="M23" s="318">
        <v>105949.29999999997</v>
      </c>
      <c r="N23" s="318">
        <v>105910.99999999999</v>
      </c>
      <c r="O23" s="313">
        <f t="shared" si="0"/>
        <v>1297038.2999999998</v>
      </c>
      <c r="P23" s="290"/>
    </row>
    <row r="24" spans="2:16" s="284" customFormat="1">
      <c r="B24" s="291"/>
      <c r="C24" s="292"/>
      <c r="D24" s="292"/>
      <c r="E24" s="292"/>
      <c r="F24" s="292"/>
      <c r="G24" s="292"/>
      <c r="H24" s="292"/>
      <c r="I24" s="292"/>
      <c r="J24" s="292"/>
      <c r="K24" s="292"/>
      <c r="L24" s="292"/>
      <c r="M24" s="292"/>
      <c r="N24" s="292"/>
      <c r="O24" s="298"/>
      <c r="P24" s="290"/>
    </row>
    <row r="25" spans="2:16">
      <c r="B25" s="288"/>
      <c r="C25" s="288"/>
      <c r="D25" s="288"/>
      <c r="E25" s="288"/>
      <c r="F25" s="288"/>
      <c r="G25" s="288"/>
      <c r="H25" s="288"/>
      <c r="I25" s="288"/>
      <c r="J25" s="288"/>
      <c r="K25" s="288"/>
      <c r="L25" s="288"/>
      <c r="M25" s="288"/>
      <c r="N25" s="288"/>
      <c r="O25" s="288"/>
      <c r="P25" s="288"/>
    </row>
    <row r="26" spans="2:16">
      <c r="B26" s="293" t="s">
        <v>316</v>
      </c>
      <c r="C26" s="294">
        <f>+C8+C9+C10+C11+C16+C17</f>
        <v>573233.53999999992</v>
      </c>
      <c r="D26" s="294">
        <f t="shared" ref="D26:M26" si="1">+D8+D9+D10+D11+D16+D17</f>
        <v>574785.18999999994</v>
      </c>
      <c r="E26" s="294">
        <f t="shared" si="1"/>
        <v>568794.12000000011</v>
      </c>
      <c r="F26" s="294">
        <f t="shared" si="1"/>
        <v>574163.39</v>
      </c>
      <c r="G26" s="294">
        <f t="shared" si="1"/>
        <v>565219.1</v>
      </c>
      <c r="H26" s="294">
        <f t="shared" si="1"/>
        <v>570290.22999999986</v>
      </c>
      <c r="I26" s="294">
        <f t="shared" si="1"/>
        <v>562367.69999999984</v>
      </c>
      <c r="J26" s="294">
        <f t="shared" si="1"/>
        <v>550093.22999999986</v>
      </c>
      <c r="K26" s="294">
        <f t="shared" si="1"/>
        <v>565578.39</v>
      </c>
      <c r="L26" s="294">
        <f t="shared" si="1"/>
        <v>542219.44000000006</v>
      </c>
      <c r="M26" s="294">
        <f t="shared" si="1"/>
        <v>542711.44000000006</v>
      </c>
      <c r="N26" s="294">
        <f>+N8+N9+N10+N11+N16+N17</f>
        <v>548447.77</v>
      </c>
      <c r="O26" s="294">
        <f>SUM(C26:N26)</f>
        <v>6737903.540000001</v>
      </c>
      <c r="P26" s="288"/>
    </row>
    <row r="27" spans="2:16">
      <c r="B27" s="293" t="s">
        <v>317</v>
      </c>
      <c r="C27" s="294">
        <f>+C14+C15</f>
        <v>724085.16999999993</v>
      </c>
      <c r="D27" s="294">
        <f t="shared" ref="D27:N27" si="2">+D14+D15</f>
        <v>722545.86999999988</v>
      </c>
      <c r="E27" s="294">
        <f t="shared" si="2"/>
        <v>720329.67</v>
      </c>
      <c r="F27" s="294">
        <f t="shared" si="2"/>
        <v>756659.51000000013</v>
      </c>
      <c r="G27" s="294">
        <f t="shared" si="2"/>
        <v>754649.17</v>
      </c>
      <c r="H27" s="294">
        <f t="shared" si="2"/>
        <v>675781.74000000034</v>
      </c>
      <c r="I27" s="294">
        <f t="shared" si="2"/>
        <v>676458.07000000041</v>
      </c>
      <c r="J27" s="294">
        <f t="shared" si="2"/>
        <v>645274.64000000013</v>
      </c>
      <c r="K27" s="294">
        <f t="shared" si="2"/>
        <v>648542.38000000012</v>
      </c>
      <c r="L27" s="294">
        <f t="shared" si="2"/>
        <v>646552.87000000011</v>
      </c>
      <c r="M27" s="294">
        <f t="shared" si="2"/>
        <v>646704.61000000022</v>
      </c>
      <c r="N27" s="294">
        <f t="shared" si="2"/>
        <v>621386.46</v>
      </c>
      <c r="O27" s="294">
        <f t="shared" ref="O27:O28" si="3">SUM(C27:N27)</f>
        <v>8238970.160000002</v>
      </c>
      <c r="P27" s="288"/>
    </row>
    <row r="28" spans="2:16">
      <c r="B28" s="293" t="s">
        <v>315</v>
      </c>
      <c r="C28" s="294">
        <f>C6+C7-C26-C27</f>
        <v>201127.90000000282</v>
      </c>
      <c r="D28" s="294">
        <f t="shared" ref="D28:N28" si="4">D6+D7-D26-D27</f>
        <v>200583.48000000254</v>
      </c>
      <c r="E28" s="294">
        <f t="shared" si="4"/>
        <v>197892.94000000262</v>
      </c>
      <c r="F28" s="294">
        <f t="shared" si="4"/>
        <v>202343.02000000421</v>
      </c>
      <c r="G28" s="294">
        <f t="shared" si="4"/>
        <v>197424.21000000206</v>
      </c>
      <c r="H28" s="294">
        <f t="shared" si="4"/>
        <v>209259.02000000211</v>
      </c>
      <c r="I28" s="294">
        <f t="shared" si="4"/>
        <v>209685.15000000107</v>
      </c>
      <c r="J28" s="294">
        <f t="shared" si="4"/>
        <v>204097.65000000072</v>
      </c>
      <c r="K28" s="294">
        <f t="shared" si="4"/>
        <v>212996.87000000209</v>
      </c>
      <c r="L28" s="294">
        <f t="shared" si="4"/>
        <v>199113.54000000132</v>
      </c>
      <c r="M28" s="294">
        <f t="shared" si="4"/>
        <v>201037.69000000041</v>
      </c>
      <c r="N28" s="294">
        <f t="shared" si="4"/>
        <v>255065.46000000043</v>
      </c>
      <c r="O28" s="294">
        <f t="shared" si="3"/>
        <v>2490626.9300000225</v>
      </c>
      <c r="P28" s="288"/>
    </row>
    <row r="29" spans="2:16">
      <c r="B29" s="288"/>
      <c r="C29" s="294">
        <f>SUM(C26:C28)</f>
        <v>1498446.6100000027</v>
      </c>
      <c r="D29" s="294">
        <f t="shared" ref="D29:N29" si="5">SUM(D26:D28)</f>
        <v>1497914.5400000024</v>
      </c>
      <c r="E29" s="294">
        <f t="shared" si="5"/>
        <v>1487016.7300000028</v>
      </c>
      <c r="F29" s="294">
        <f t="shared" si="5"/>
        <v>1533165.9200000043</v>
      </c>
      <c r="G29" s="294">
        <f t="shared" si="5"/>
        <v>1517292.4800000021</v>
      </c>
      <c r="H29" s="294">
        <f t="shared" si="5"/>
        <v>1455330.9900000023</v>
      </c>
      <c r="I29" s="294">
        <f t="shared" si="5"/>
        <v>1448510.9200000013</v>
      </c>
      <c r="J29" s="294">
        <f t="shared" si="5"/>
        <v>1399465.5200000009</v>
      </c>
      <c r="K29" s="294">
        <f t="shared" si="5"/>
        <v>1427117.640000002</v>
      </c>
      <c r="L29" s="294">
        <f t="shared" si="5"/>
        <v>1387885.8500000015</v>
      </c>
      <c r="M29" s="294">
        <f t="shared" si="5"/>
        <v>1390453.7400000007</v>
      </c>
      <c r="N29" s="294">
        <f t="shared" si="5"/>
        <v>1424899.6900000004</v>
      </c>
      <c r="O29" s="294">
        <f>SUM(O26:O28)</f>
        <v>17467500.630000025</v>
      </c>
      <c r="P29" s="288"/>
    </row>
    <row r="30" spans="2:16">
      <c r="B30" s="288"/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  <c r="O30" s="288"/>
      <c r="P30" s="288"/>
    </row>
    <row r="31" spans="2:16">
      <c r="B31" s="288"/>
      <c r="C31" s="288"/>
      <c r="D31" s="288"/>
      <c r="E31" s="288"/>
      <c r="F31" s="288"/>
      <c r="G31" s="288"/>
      <c r="H31" s="288"/>
      <c r="I31" s="288"/>
      <c r="J31" s="288"/>
      <c r="K31" s="288"/>
      <c r="L31" s="288"/>
      <c r="M31" s="288"/>
      <c r="N31" s="288"/>
      <c r="O31" s="288"/>
      <c r="P31" s="288"/>
    </row>
    <row r="32" spans="2:16">
      <c r="B32" s="283"/>
      <c r="C32" s="283"/>
      <c r="D32" s="283"/>
    </row>
    <row r="33" s="283" customFormat="1"/>
    <row r="34" s="283" customFormat="1"/>
    <row r="35" s="283" customFormat="1"/>
    <row r="36" s="283" customFormat="1"/>
    <row r="37" s="283" customFormat="1"/>
    <row r="38" s="283" customFormat="1"/>
    <row r="39" s="283" customFormat="1"/>
    <row r="40" s="283" customFormat="1"/>
    <row r="41" s="283" customFormat="1"/>
    <row r="42" s="283" customFormat="1"/>
    <row r="43" s="283" customFormat="1"/>
    <row r="44" s="283" customFormat="1"/>
    <row r="45" s="283" customFormat="1"/>
    <row r="46" s="283" customFormat="1"/>
    <row r="47" s="283" customFormat="1"/>
    <row r="48" s="283" customFormat="1"/>
    <row r="49" spans="2:69">
      <c r="B49" s="283"/>
      <c r="C49" s="283"/>
      <c r="D49" s="283"/>
    </row>
    <row r="50" spans="2:69">
      <c r="B50" s="283"/>
      <c r="C50" s="283"/>
      <c r="D50" s="283"/>
    </row>
    <row r="51" spans="2:69">
      <c r="B51" s="283"/>
      <c r="C51" s="283"/>
      <c r="D51" s="283"/>
    </row>
    <row r="52" spans="2:69">
      <c r="B52" s="283"/>
      <c r="C52" s="283"/>
      <c r="D52" s="283"/>
    </row>
    <row r="53" spans="2:69">
      <c r="B53" s="283"/>
      <c r="C53" s="283"/>
      <c r="D53" s="283"/>
      <c r="BQ53" s="283" t="s">
        <v>318</v>
      </c>
    </row>
    <row r="54" spans="2:69">
      <c r="B54" s="283"/>
      <c r="C54" s="283"/>
      <c r="D54" s="283"/>
    </row>
    <row r="55" spans="2:69">
      <c r="B55" s="283"/>
      <c r="C55" s="283"/>
      <c r="D55" s="283"/>
    </row>
    <row r="56" spans="2:69">
      <c r="B56" s="283"/>
      <c r="C56" s="283"/>
      <c r="D56" s="283"/>
    </row>
    <row r="57" spans="2:69">
      <c r="B57" s="283"/>
      <c r="C57" s="283"/>
      <c r="D57" s="283"/>
    </row>
    <row r="58" spans="2:69">
      <c r="B58" s="283"/>
      <c r="C58" s="283"/>
      <c r="D58" s="283"/>
    </row>
    <row r="59" spans="2:69">
      <c r="B59" s="283"/>
      <c r="C59" s="283"/>
      <c r="D59" s="283"/>
    </row>
    <row r="60" spans="2:69">
      <c r="B60" s="283"/>
      <c r="C60" s="283"/>
      <c r="D60" s="283"/>
    </row>
    <row r="61" spans="2:69">
      <c r="B61" s="283"/>
      <c r="C61" s="283"/>
      <c r="D61" s="283"/>
    </row>
    <row r="62" spans="2:69">
      <c r="B62" s="283"/>
      <c r="C62" s="283"/>
      <c r="D62" s="283"/>
    </row>
    <row r="63" spans="2:69">
      <c r="B63" s="283"/>
      <c r="C63" s="283"/>
      <c r="D63" s="283"/>
    </row>
    <row r="64" spans="2:69">
      <c r="B64" s="283"/>
      <c r="C64" s="283"/>
      <c r="D64" s="283"/>
    </row>
    <row r="65" s="283" customFormat="1"/>
    <row r="66" s="283" customFormat="1"/>
    <row r="67" s="283" customFormat="1"/>
    <row r="68" s="283" customFormat="1"/>
    <row r="69" s="283" customFormat="1"/>
    <row r="70" s="283" customFormat="1"/>
    <row r="71" s="283" customFormat="1"/>
    <row r="72" s="283" customFormat="1"/>
    <row r="73" s="283" customFormat="1"/>
    <row r="74" s="283" customFormat="1"/>
    <row r="75" s="283" customFormat="1"/>
    <row r="76" s="283" customFormat="1"/>
    <row r="77" s="283" customFormat="1"/>
    <row r="78" s="283" customFormat="1"/>
    <row r="79" s="283" customFormat="1"/>
    <row r="80" s="283" customFormat="1"/>
    <row r="81" s="283" customFormat="1"/>
    <row r="82" s="283" customFormat="1"/>
    <row r="83" s="283" customFormat="1"/>
    <row r="84" s="283" customFormat="1"/>
    <row r="85" s="283" customFormat="1"/>
    <row r="86" s="283" customFormat="1"/>
    <row r="87" s="283" customFormat="1"/>
    <row r="88" s="283" customFormat="1"/>
    <row r="89" s="283" customFormat="1"/>
    <row r="90" s="283" customFormat="1"/>
    <row r="91" s="283" customFormat="1"/>
    <row r="92" s="283" customFormat="1"/>
    <row r="93" s="283" customFormat="1"/>
    <row r="94" s="283" customFormat="1"/>
    <row r="95" s="283" customFormat="1"/>
    <row r="96" s="283" customFormat="1"/>
    <row r="97" s="283" customFormat="1"/>
    <row r="98" s="283" customFormat="1"/>
    <row r="99" s="283" customFormat="1"/>
    <row r="100" s="283" customFormat="1"/>
    <row r="101" s="283" customFormat="1"/>
    <row r="102" s="283" customFormat="1"/>
    <row r="103" s="283" customFormat="1"/>
    <row r="104" s="283" customFormat="1"/>
    <row r="105" s="283" customFormat="1"/>
    <row r="106" s="283" customFormat="1"/>
    <row r="107" s="283" customFormat="1"/>
    <row r="108" s="283" customFormat="1"/>
    <row r="109" s="283" customFormat="1"/>
    <row r="110" s="283" customFormat="1"/>
    <row r="111" s="283" customFormat="1"/>
    <row r="112" s="283" customFormat="1"/>
    <row r="113" s="283" customFormat="1"/>
    <row r="114" s="283" customFormat="1"/>
    <row r="115" s="283" customFormat="1"/>
    <row r="116" s="283" customFormat="1"/>
    <row r="117" s="283" customFormat="1"/>
    <row r="118" s="283" customFormat="1"/>
    <row r="119" s="283" customFormat="1"/>
    <row r="120" s="283" customFormat="1"/>
    <row r="121" s="283" customFormat="1"/>
    <row r="122" s="283" customFormat="1"/>
    <row r="123" s="283" customFormat="1"/>
    <row r="124" s="283" customFormat="1"/>
    <row r="125" s="283" customFormat="1"/>
    <row r="126" s="283" customFormat="1"/>
    <row r="127" s="283" customFormat="1"/>
    <row r="128" s="283" customFormat="1"/>
    <row r="129" s="283" customFormat="1"/>
    <row r="130" s="283" customFormat="1"/>
    <row r="131" s="283" customFormat="1"/>
    <row r="132" s="283" customFormat="1"/>
    <row r="133" s="283" customFormat="1"/>
    <row r="134" s="283" customFormat="1"/>
    <row r="135" s="283" customFormat="1"/>
    <row r="136" s="283" customFormat="1"/>
    <row r="137" s="283" customFormat="1"/>
    <row r="138" s="283" customFormat="1"/>
    <row r="139" s="283" customFormat="1"/>
    <row r="140" s="283" customFormat="1"/>
    <row r="141" s="283" customFormat="1"/>
    <row r="142" s="283" customFormat="1"/>
    <row r="143" s="283" customFormat="1"/>
    <row r="144" s="283" customFormat="1"/>
    <row r="145" s="283" customFormat="1"/>
    <row r="146" s="283" customFormat="1"/>
    <row r="147" s="283" customFormat="1"/>
    <row r="148" s="283" customFormat="1"/>
    <row r="149" s="283" customFormat="1"/>
    <row r="150" s="283" customFormat="1"/>
    <row r="151" s="283" customFormat="1"/>
    <row r="152" s="283" customFormat="1"/>
    <row r="153" s="283" customFormat="1"/>
    <row r="154" s="283" customFormat="1"/>
    <row r="155" s="283" customFormat="1"/>
    <row r="156" s="283" customFormat="1"/>
    <row r="157" s="283" customFormat="1"/>
    <row r="158" s="283" customFormat="1"/>
    <row r="159" s="283" customFormat="1"/>
    <row r="160" s="283" customFormat="1"/>
    <row r="161" s="283" customFormat="1"/>
    <row r="162" s="283" customFormat="1"/>
    <row r="163" s="283" customFormat="1"/>
    <row r="164" s="283" customFormat="1"/>
    <row r="165" s="283" customFormat="1"/>
    <row r="166" s="283" customFormat="1"/>
    <row r="167" s="283" customFormat="1"/>
    <row r="168" s="283" customFormat="1"/>
    <row r="169" s="283" customFormat="1"/>
    <row r="170" s="283" customFormat="1"/>
    <row r="171" s="283" customFormat="1"/>
    <row r="172" s="283" customFormat="1"/>
    <row r="173" s="283" customFormat="1"/>
    <row r="174" s="283" customFormat="1"/>
    <row r="175" s="283" customFormat="1"/>
    <row r="176" s="283" customFormat="1"/>
    <row r="177" s="283" customFormat="1"/>
    <row r="178" s="283" customFormat="1"/>
    <row r="179" s="283" customFormat="1"/>
    <row r="180" s="283" customFormat="1"/>
    <row r="181" s="283" customFormat="1"/>
    <row r="182" s="283" customFormat="1"/>
    <row r="183" s="283" customFormat="1"/>
    <row r="184" s="283" customFormat="1"/>
    <row r="185" s="283" customFormat="1"/>
    <row r="186" s="283" customFormat="1"/>
    <row r="187" s="283" customFormat="1"/>
    <row r="188" s="283" customFormat="1"/>
    <row r="189" s="283" customFormat="1"/>
    <row r="190" s="283" customFormat="1"/>
    <row r="191" s="283" customFormat="1"/>
    <row r="192" s="283" customFormat="1"/>
    <row r="193" s="283" customFormat="1"/>
    <row r="194" s="283" customFormat="1"/>
    <row r="195" s="283" customFormat="1"/>
    <row r="196" s="283" customFormat="1"/>
    <row r="197" s="283" customFormat="1"/>
    <row r="198" s="283" customFormat="1"/>
    <row r="199" s="283" customFormat="1"/>
    <row r="200" s="283" customFormat="1"/>
    <row r="201" s="283" customFormat="1"/>
    <row r="202" s="283" customFormat="1"/>
    <row r="203" s="283" customFormat="1"/>
    <row r="204" s="283" customFormat="1"/>
    <row r="205" s="283" customFormat="1"/>
    <row r="206" s="283" customFormat="1"/>
    <row r="207" s="283" customFormat="1"/>
    <row r="208" s="283" customFormat="1"/>
    <row r="209" s="283" customFormat="1"/>
    <row r="210" s="283" customFormat="1"/>
    <row r="211" s="283" customFormat="1"/>
    <row r="212" s="283" customFormat="1"/>
    <row r="213" s="283" customFormat="1"/>
    <row r="214" s="283" customFormat="1"/>
    <row r="215" s="283" customFormat="1"/>
    <row r="216" s="283" customFormat="1"/>
    <row r="217" s="283" customFormat="1"/>
    <row r="218" s="283" customFormat="1"/>
    <row r="219" s="283" customFormat="1"/>
    <row r="220" s="283" customFormat="1"/>
    <row r="221" s="283" customFormat="1"/>
    <row r="222" s="283" customFormat="1"/>
    <row r="223" s="283" customFormat="1"/>
    <row r="224" s="283" customFormat="1"/>
    <row r="225" s="283" customFormat="1"/>
    <row r="226" s="283" customFormat="1"/>
    <row r="227" s="283" customFormat="1"/>
    <row r="228" s="283" customFormat="1"/>
    <row r="229" s="283" customFormat="1"/>
    <row r="230" s="283" customFormat="1"/>
    <row r="231" s="283" customFormat="1"/>
    <row r="232" s="283" customFormat="1"/>
    <row r="233" s="283" customFormat="1"/>
    <row r="234" s="283" customFormat="1"/>
    <row r="235" s="283" customFormat="1"/>
    <row r="236" s="283" customFormat="1"/>
    <row r="237" s="283" customFormat="1"/>
    <row r="238" s="283" customFormat="1"/>
    <row r="239" s="283" customFormat="1"/>
    <row r="240" s="283" customFormat="1"/>
    <row r="241" s="283" customFormat="1"/>
    <row r="242" s="283" customFormat="1"/>
    <row r="243" s="283" customFormat="1"/>
    <row r="244" s="283" customFormat="1"/>
    <row r="245" s="283" customFormat="1"/>
    <row r="246" s="283" customFormat="1"/>
    <row r="247" s="283" customFormat="1"/>
    <row r="248" s="283" customFormat="1"/>
    <row r="249" s="283" customFormat="1"/>
    <row r="250" s="283" customFormat="1"/>
    <row r="251" s="283" customFormat="1"/>
    <row r="252" s="283" customFormat="1"/>
    <row r="253" s="283" customFormat="1"/>
    <row r="254" s="283" customFormat="1"/>
    <row r="255" s="283" customFormat="1"/>
    <row r="256" s="283" customFormat="1"/>
    <row r="257" s="283" customFormat="1"/>
    <row r="258" s="283" customFormat="1"/>
    <row r="259" s="283" customFormat="1"/>
    <row r="260" s="283" customFormat="1"/>
    <row r="261" s="283" customFormat="1"/>
    <row r="262" s="283" customFormat="1"/>
    <row r="263" s="283" customFormat="1"/>
    <row r="264" s="283" customFormat="1"/>
    <row r="265" s="283" customFormat="1"/>
    <row r="266" s="283" customFormat="1"/>
    <row r="267" s="283" customFormat="1"/>
    <row r="268" s="283" customFormat="1"/>
    <row r="269" s="283" customFormat="1"/>
    <row r="270" s="283" customFormat="1"/>
    <row r="271" s="283" customFormat="1"/>
    <row r="272" s="283" customFormat="1"/>
    <row r="273" s="283" customFormat="1"/>
    <row r="274" s="283" customFormat="1"/>
    <row r="275" s="283" customFormat="1"/>
    <row r="276" s="283" customFormat="1"/>
    <row r="277" s="283" customFormat="1"/>
    <row r="278" s="283" customFormat="1"/>
    <row r="279" s="283" customFormat="1"/>
    <row r="280" s="283" customFormat="1"/>
    <row r="281" s="283" customFormat="1"/>
    <row r="282" s="283" customFormat="1"/>
    <row r="283" s="283" customFormat="1"/>
    <row r="284" s="283" customFormat="1"/>
    <row r="285" s="283" customFormat="1"/>
    <row r="286" s="283" customFormat="1"/>
    <row r="287" s="283" customFormat="1"/>
    <row r="288" s="283" customFormat="1"/>
    <row r="289" s="283" customFormat="1"/>
    <row r="290" s="283" customFormat="1"/>
    <row r="291" s="283" customFormat="1"/>
    <row r="292" s="283" customFormat="1"/>
    <row r="293" s="283" customFormat="1"/>
    <row r="294" s="283" customFormat="1"/>
    <row r="295" s="283" customFormat="1"/>
    <row r="296" s="283" customFormat="1"/>
    <row r="297" s="283" customFormat="1"/>
    <row r="298" s="283" customFormat="1"/>
    <row r="299" s="283" customFormat="1"/>
    <row r="300" s="283" customFormat="1"/>
    <row r="301" s="283" customFormat="1"/>
    <row r="302" s="283" customFormat="1"/>
    <row r="303" s="283" customFormat="1"/>
    <row r="304" s="283" customFormat="1"/>
    <row r="305" s="283" customFormat="1"/>
    <row r="306" s="283" customFormat="1"/>
    <row r="307" s="283" customFormat="1"/>
    <row r="308" s="283" customFormat="1"/>
    <row r="309" s="283" customFormat="1"/>
    <row r="310" s="283" customFormat="1"/>
    <row r="311" s="283" customFormat="1"/>
    <row r="312" s="283" customFormat="1"/>
    <row r="313" s="283" customFormat="1"/>
    <row r="314" s="283" customFormat="1"/>
    <row r="315" s="283" customFormat="1"/>
    <row r="316" s="283" customFormat="1"/>
    <row r="317" s="283" customFormat="1"/>
    <row r="318" s="283" customFormat="1"/>
    <row r="319" s="283" customFormat="1"/>
    <row r="320" s="283" customFormat="1"/>
    <row r="321" s="283" customFormat="1"/>
    <row r="322" s="283" customFormat="1"/>
    <row r="323" s="283" customFormat="1"/>
    <row r="324" s="283" customFormat="1"/>
    <row r="325" s="283" customFormat="1"/>
    <row r="326" s="283" customFormat="1"/>
    <row r="327" s="283" customFormat="1"/>
    <row r="328" s="283" customFormat="1"/>
    <row r="329" s="283" customFormat="1"/>
    <row r="330" s="283" customFormat="1"/>
    <row r="331" s="283" customFormat="1"/>
    <row r="332" s="283" customFormat="1"/>
    <row r="333" s="283" customFormat="1"/>
    <row r="334" s="283" customFormat="1"/>
    <row r="335" s="283" customFormat="1"/>
    <row r="336" s="283" customFormat="1"/>
    <row r="337" s="283" customFormat="1"/>
    <row r="338" s="283" customFormat="1"/>
    <row r="339" s="283" customFormat="1"/>
    <row r="340" s="283" customFormat="1"/>
    <row r="341" s="283" customFormat="1"/>
    <row r="342" s="283" customFormat="1"/>
    <row r="343" s="283" customFormat="1"/>
    <row r="344" s="283" customFormat="1"/>
    <row r="345" s="283" customFormat="1"/>
    <row r="346" s="283" customFormat="1"/>
    <row r="347" s="283" customFormat="1"/>
    <row r="348" s="283" customFormat="1"/>
    <row r="349" s="283" customFormat="1"/>
    <row r="350" s="283" customFormat="1"/>
    <row r="351" s="283" customFormat="1"/>
    <row r="352" s="283" customFormat="1"/>
    <row r="353" s="283" customFormat="1"/>
    <row r="354" s="283" customFormat="1"/>
    <row r="355" s="283" customFormat="1"/>
    <row r="356" s="283" customFormat="1"/>
    <row r="357" s="283" customFormat="1"/>
    <row r="358" s="283" customFormat="1"/>
    <row r="359" s="283" customFormat="1"/>
    <row r="360" s="283" customFormat="1"/>
    <row r="361" s="283" customFormat="1"/>
    <row r="362" s="283" customFormat="1"/>
    <row r="363" s="283" customFormat="1"/>
    <row r="364" s="283" customFormat="1"/>
    <row r="365" s="283" customFormat="1"/>
    <row r="366" s="283" customFormat="1"/>
    <row r="367" s="283" customFormat="1"/>
    <row r="368" s="283" customFormat="1"/>
    <row r="369" s="283" customFormat="1"/>
    <row r="370" s="283" customFormat="1"/>
    <row r="371" s="283" customFormat="1"/>
    <row r="372" s="283" customFormat="1"/>
    <row r="373" s="283" customFormat="1"/>
    <row r="374" s="283" customFormat="1"/>
    <row r="375" s="283" customFormat="1"/>
    <row r="376" s="283" customFormat="1"/>
    <row r="377" s="283" customFormat="1"/>
    <row r="378" s="283" customFormat="1"/>
    <row r="379" s="283" customFormat="1"/>
    <row r="380" s="283" customFormat="1"/>
    <row r="381" s="283" customFormat="1"/>
    <row r="382" s="283" customFormat="1"/>
    <row r="383" s="283" customFormat="1"/>
    <row r="384" s="283" customFormat="1"/>
    <row r="385" s="283" customFormat="1"/>
    <row r="386" s="283" customFormat="1"/>
    <row r="387" s="283" customFormat="1"/>
    <row r="388" s="283" customFormat="1"/>
    <row r="389" s="283" customFormat="1"/>
    <row r="390" s="283" customFormat="1"/>
    <row r="391" s="283" customFormat="1"/>
    <row r="392" s="283" customFormat="1"/>
    <row r="393" s="283" customFormat="1"/>
    <row r="394" s="283" customFormat="1"/>
    <row r="395" s="283" customFormat="1"/>
    <row r="396" s="283" customFormat="1"/>
    <row r="397" s="283" customFormat="1"/>
    <row r="398" s="283" customFormat="1"/>
    <row r="399" s="283" customFormat="1"/>
    <row r="400" s="283" customFormat="1"/>
    <row r="401" s="283" customFormat="1"/>
    <row r="402" s="283" customFormat="1"/>
    <row r="403" s="283" customFormat="1"/>
    <row r="404" s="283" customFormat="1"/>
    <row r="405" s="283" customFormat="1"/>
    <row r="406" s="283" customFormat="1"/>
    <row r="407" s="283" customFormat="1"/>
    <row r="408" s="283" customFormat="1"/>
    <row r="409" s="283" customFormat="1"/>
    <row r="410" s="283" customFormat="1"/>
    <row r="411" s="283" customFormat="1"/>
    <row r="412" s="283" customFormat="1"/>
    <row r="413" s="283" customFormat="1"/>
    <row r="414" s="283" customFormat="1"/>
    <row r="415" s="283" customFormat="1"/>
    <row r="416" s="283" customFormat="1"/>
    <row r="417" s="283" customFormat="1"/>
    <row r="418" s="283" customFormat="1"/>
    <row r="419" s="283" customFormat="1"/>
    <row r="420" s="283" customFormat="1"/>
    <row r="421" s="283" customFormat="1"/>
    <row r="422" s="283" customFormat="1"/>
    <row r="423" s="283" customFormat="1"/>
    <row r="424" s="283" customFormat="1"/>
    <row r="425" s="283" customFormat="1"/>
    <row r="426" s="283" customFormat="1"/>
    <row r="427" s="283" customFormat="1"/>
    <row r="428" s="283" customFormat="1"/>
    <row r="429" s="283" customFormat="1"/>
    <row r="430" s="283" customFormat="1"/>
    <row r="431" s="283" customFormat="1"/>
    <row r="432" s="283" customFormat="1"/>
    <row r="433" s="283" customFormat="1"/>
    <row r="434" s="283" customFormat="1"/>
    <row r="435" s="283" customFormat="1"/>
    <row r="436" s="283" customFormat="1"/>
    <row r="437" s="283" customFormat="1"/>
    <row r="438" s="283" customFormat="1"/>
    <row r="439" s="283" customFormat="1"/>
    <row r="440" s="283" customFormat="1"/>
    <row r="441" s="283" customFormat="1"/>
    <row r="442" s="283" customFormat="1"/>
    <row r="443" s="283" customFormat="1"/>
    <row r="444" s="283" customFormat="1"/>
    <row r="445" s="283" customFormat="1"/>
    <row r="446" s="283" customFormat="1"/>
    <row r="447" s="283" customFormat="1"/>
    <row r="448" s="283" customFormat="1"/>
    <row r="449" s="283" customFormat="1"/>
    <row r="450" s="283" customFormat="1"/>
    <row r="451" s="283" customFormat="1"/>
    <row r="452" s="283" customFormat="1"/>
    <row r="453" s="283" customFormat="1"/>
    <row r="454" s="283" customFormat="1"/>
    <row r="455" s="283" customFormat="1"/>
    <row r="456" s="283" customFormat="1"/>
    <row r="457" s="283" customFormat="1"/>
    <row r="458" s="283" customFormat="1"/>
    <row r="459" s="283" customFormat="1"/>
    <row r="460" s="283" customFormat="1"/>
    <row r="461" s="283" customFormat="1"/>
    <row r="462" s="283" customFormat="1"/>
    <row r="463" s="283" customFormat="1"/>
    <row r="464" s="283" customFormat="1"/>
    <row r="465" s="283" customFormat="1"/>
    <row r="466" s="283" customFormat="1"/>
    <row r="467" s="283" customFormat="1"/>
    <row r="468" s="283" customFormat="1"/>
    <row r="469" s="283" customFormat="1"/>
    <row r="470" s="283" customFormat="1"/>
    <row r="471" s="283" customFormat="1"/>
    <row r="472" s="283" customFormat="1"/>
    <row r="473" s="283" customFormat="1"/>
    <row r="474" s="283" customFormat="1"/>
    <row r="475" s="283" customFormat="1"/>
    <row r="476" s="283" customFormat="1"/>
    <row r="477" s="283" customFormat="1"/>
    <row r="478" s="283" customFormat="1"/>
    <row r="479" s="283" customFormat="1"/>
    <row r="480" s="283" customFormat="1"/>
    <row r="481" s="283" customFormat="1"/>
    <row r="482" s="283" customFormat="1"/>
    <row r="483" s="283" customFormat="1"/>
    <row r="484" s="283" customFormat="1"/>
    <row r="485" s="283" customFormat="1"/>
    <row r="486" s="283" customFormat="1"/>
    <row r="487" s="283" customFormat="1"/>
    <row r="488" s="283" customFormat="1"/>
    <row r="489" s="283" customFormat="1"/>
    <row r="490" s="283" customFormat="1"/>
    <row r="491" s="283" customFormat="1"/>
    <row r="492" s="283" customFormat="1"/>
    <row r="493" s="283" customFormat="1"/>
    <row r="494" s="283" customFormat="1"/>
    <row r="495" s="283" customFormat="1"/>
    <row r="496" s="283" customFormat="1"/>
    <row r="497" s="283" customFormat="1"/>
    <row r="498" s="283" customFormat="1"/>
    <row r="499" s="283" customFormat="1"/>
    <row r="500" s="283" customFormat="1"/>
    <row r="501" s="283" customFormat="1"/>
    <row r="502" s="283" customFormat="1"/>
    <row r="503" s="283" customFormat="1"/>
    <row r="504" s="283" customFormat="1"/>
    <row r="505" s="283" customFormat="1"/>
    <row r="506" s="283" customFormat="1"/>
    <row r="507" s="283" customFormat="1"/>
    <row r="508" s="283" customFormat="1"/>
    <row r="509" s="283" customFormat="1"/>
    <row r="510" s="283" customFormat="1"/>
    <row r="511" s="283" customFormat="1"/>
    <row r="512" s="283" customFormat="1"/>
    <row r="513" s="283" customFormat="1"/>
    <row r="514" s="283" customFormat="1"/>
    <row r="515" s="283" customFormat="1"/>
    <row r="516" s="283" customFormat="1"/>
    <row r="517" s="283" customFormat="1"/>
    <row r="518" s="283" customFormat="1"/>
    <row r="519" s="283" customFormat="1"/>
    <row r="520" s="283" customFormat="1"/>
    <row r="521" s="283" customFormat="1"/>
    <row r="522" s="283" customFormat="1"/>
    <row r="523" s="283" customFormat="1"/>
    <row r="524" s="283" customFormat="1"/>
    <row r="525" s="283" customFormat="1"/>
    <row r="526" s="283" customFormat="1"/>
    <row r="527" s="283" customFormat="1"/>
    <row r="528" s="283" customFormat="1"/>
    <row r="529" s="283" customFormat="1"/>
    <row r="530" s="283" customFormat="1"/>
    <row r="531" s="283" customFormat="1"/>
    <row r="532" s="283" customFormat="1"/>
    <row r="533" s="283" customFormat="1"/>
    <row r="534" s="283" customFormat="1"/>
    <row r="535" s="283" customFormat="1"/>
    <row r="536" s="283" customFormat="1"/>
    <row r="537" s="283" customFormat="1"/>
    <row r="538" s="283" customFormat="1"/>
    <row r="539" s="283" customFormat="1"/>
    <row r="540" s="283" customFormat="1"/>
    <row r="541" s="283" customFormat="1"/>
    <row r="542" s="283" customFormat="1"/>
    <row r="543" s="283" customFormat="1"/>
    <row r="544" s="283" customFormat="1"/>
    <row r="545" s="283" customFormat="1"/>
    <row r="546" s="283" customFormat="1"/>
    <row r="547" s="283" customFormat="1"/>
    <row r="548" s="283" customFormat="1"/>
    <row r="549" s="283" customFormat="1"/>
    <row r="550" s="283" customFormat="1"/>
    <row r="551" s="283" customFormat="1"/>
    <row r="552" s="283" customFormat="1"/>
    <row r="553" s="283" customFormat="1"/>
    <row r="554" s="283" customFormat="1"/>
    <row r="555" s="283" customFormat="1"/>
    <row r="556" s="283" customFormat="1"/>
    <row r="557" s="283" customFormat="1"/>
    <row r="558" s="283" customFormat="1"/>
    <row r="559" s="283" customFormat="1"/>
    <row r="560" s="283" customFormat="1"/>
    <row r="561" s="283" customFormat="1"/>
    <row r="562" s="283" customFormat="1"/>
    <row r="563" s="283" customFormat="1"/>
    <row r="564" s="283" customFormat="1"/>
    <row r="565" s="283" customFormat="1"/>
    <row r="566" s="283" customFormat="1"/>
    <row r="567" s="283" customFormat="1"/>
    <row r="568" s="283" customFormat="1"/>
    <row r="569" s="283" customFormat="1"/>
    <row r="570" s="283" customFormat="1"/>
    <row r="571" s="283" customFormat="1"/>
    <row r="572" s="283" customFormat="1"/>
    <row r="573" s="283" customFormat="1"/>
    <row r="574" s="283" customFormat="1"/>
    <row r="575" s="283" customFormat="1"/>
    <row r="576" s="283" customFormat="1"/>
    <row r="577" s="283" customFormat="1"/>
    <row r="578" s="283" customFormat="1"/>
    <row r="579" s="283" customFormat="1"/>
    <row r="580" s="283" customFormat="1"/>
    <row r="581" s="283" customFormat="1"/>
    <row r="582" s="283" customFormat="1"/>
    <row r="583" s="283" customFormat="1"/>
    <row r="584" s="283" customFormat="1"/>
    <row r="585" s="283" customFormat="1"/>
    <row r="586" s="283" customFormat="1"/>
    <row r="587" s="283" customFormat="1"/>
    <row r="588" s="283" customFormat="1"/>
    <row r="589" s="283" customFormat="1"/>
    <row r="590" s="283" customFormat="1"/>
    <row r="591" s="283" customFormat="1"/>
    <row r="592" s="283" customFormat="1"/>
    <row r="593" s="283" customFormat="1"/>
    <row r="594" s="283" customFormat="1"/>
    <row r="595" s="283" customFormat="1"/>
    <row r="596" s="283" customFormat="1"/>
    <row r="597" s="283" customFormat="1"/>
    <row r="598" s="283" customFormat="1"/>
    <row r="599" s="283" customFormat="1"/>
    <row r="600" s="283" customFormat="1"/>
    <row r="601" s="283" customFormat="1"/>
    <row r="602" s="283" customFormat="1"/>
    <row r="603" s="283" customFormat="1"/>
    <row r="604" s="283" customFormat="1"/>
    <row r="605" s="283" customFormat="1"/>
    <row r="606" s="283" customFormat="1"/>
    <row r="607" s="283" customFormat="1"/>
    <row r="608" s="283" customFormat="1"/>
    <row r="609" s="283" customFormat="1"/>
    <row r="610" s="283" customFormat="1"/>
    <row r="611" s="283" customFormat="1"/>
    <row r="612" s="283" customFormat="1"/>
    <row r="613" s="283" customFormat="1"/>
    <row r="614" s="283" customFormat="1"/>
    <row r="615" s="283" customFormat="1"/>
    <row r="616" s="283" customFormat="1"/>
    <row r="617" s="283" customFormat="1"/>
    <row r="618" s="283" customFormat="1"/>
    <row r="619" s="283" customFormat="1"/>
    <row r="620" s="283" customFormat="1"/>
    <row r="621" s="283" customFormat="1"/>
    <row r="622" s="283" customFormat="1"/>
    <row r="623" s="283" customFormat="1"/>
    <row r="624" s="283" customFormat="1"/>
    <row r="625" s="283" customFormat="1"/>
    <row r="626" s="283" customFormat="1"/>
    <row r="627" s="283" customFormat="1"/>
    <row r="628" s="283" customFormat="1"/>
    <row r="629" s="283" customFormat="1"/>
    <row r="630" s="283" customFormat="1"/>
    <row r="631" s="283" customFormat="1"/>
    <row r="632" s="283" customFormat="1"/>
    <row r="633" s="283" customFormat="1"/>
    <row r="634" s="283" customFormat="1"/>
    <row r="635" s="283" customFormat="1"/>
    <row r="636" s="283" customFormat="1"/>
    <row r="637" s="283" customFormat="1"/>
    <row r="638" s="283" customFormat="1"/>
    <row r="639" s="283" customFormat="1"/>
    <row r="640" s="283" customFormat="1"/>
    <row r="641" s="283" customFormat="1"/>
    <row r="642" s="283" customFormat="1"/>
    <row r="643" s="283" customFormat="1"/>
    <row r="644" s="283" customFormat="1"/>
    <row r="645" s="283" customFormat="1"/>
    <row r="646" s="283" customFormat="1"/>
    <row r="647" s="283" customFormat="1"/>
    <row r="648" s="283" customFormat="1"/>
    <row r="649" s="283" customFormat="1"/>
    <row r="650" s="283" customFormat="1"/>
    <row r="651" s="283" customFormat="1"/>
    <row r="652" s="283" customFormat="1"/>
    <row r="653" s="283" customFormat="1"/>
    <row r="654" s="283" customFormat="1"/>
    <row r="655" s="283" customFormat="1"/>
    <row r="656" s="283" customFormat="1"/>
    <row r="657" s="283" customFormat="1"/>
    <row r="658" s="283" customFormat="1"/>
    <row r="659" s="283" customFormat="1"/>
    <row r="660" s="283" customFormat="1"/>
    <row r="661" s="283" customFormat="1"/>
    <row r="662" s="283" customFormat="1"/>
    <row r="663" s="283" customFormat="1"/>
    <row r="664" s="283" customFormat="1"/>
    <row r="665" s="283" customFormat="1"/>
    <row r="666" s="283" customFormat="1"/>
    <row r="667" s="283" customFormat="1"/>
    <row r="668" s="283" customFormat="1"/>
    <row r="669" s="283" customFormat="1"/>
    <row r="670" s="283" customFormat="1"/>
    <row r="671" s="283" customFormat="1"/>
    <row r="672" s="283" customFormat="1"/>
    <row r="673" s="283" customFormat="1"/>
    <row r="674" s="283" customFormat="1"/>
    <row r="675" s="283" customFormat="1"/>
    <row r="676" s="283" customFormat="1"/>
    <row r="677" s="283" customFormat="1"/>
    <row r="678" s="283" customFormat="1"/>
    <row r="679" s="283" customFormat="1"/>
    <row r="680" s="283" customFormat="1"/>
    <row r="681" s="283" customFormat="1"/>
    <row r="682" s="283" customFormat="1"/>
    <row r="683" s="283" customFormat="1"/>
    <row r="684" s="283" customFormat="1"/>
    <row r="685" s="283" customFormat="1"/>
    <row r="686" s="283" customFormat="1"/>
    <row r="687" s="283" customFormat="1"/>
    <row r="688" s="283" customFormat="1"/>
    <row r="689" s="283" customFormat="1"/>
    <row r="690" s="283" customFormat="1"/>
    <row r="691" s="283" customFormat="1"/>
    <row r="692" s="283" customFormat="1"/>
    <row r="693" s="283" customFormat="1"/>
    <row r="694" s="283" customFormat="1"/>
    <row r="695" s="283" customFormat="1"/>
    <row r="696" s="283" customFormat="1"/>
    <row r="697" s="283" customFormat="1"/>
    <row r="698" s="283" customFormat="1"/>
    <row r="699" s="283" customFormat="1"/>
    <row r="700" s="283" customFormat="1"/>
    <row r="701" s="283" customFormat="1"/>
    <row r="702" s="283" customFormat="1"/>
    <row r="703" s="283" customFormat="1"/>
    <row r="704" s="283" customFormat="1"/>
    <row r="705" s="283" customFormat="1"/>
    <row r="706" s="283" customFormat="1"/>
    <row r="707" s="283" customFormat="1"/>
    <row r="708" s="283" customFormat="1"/>
    <row r="709" s="283" customFormat="1"/>
    <row r="710" s="283" customFormat="1"/>
    <row r="711" s="283" customFormat="1"/>
    <row r="712" s="283" customFormat="1"/>
    <row r="713" s="283" customFormat="1"/>
    <row r="714" s="283" customFormat="1"/>
    <row r="715" s="283" customFormat="1"/>
    <row r="716" s="283" customFormat="1"/>
    <row r="717" s="283" customFormat="1"/>
    <row r="718" s="283" customFormat="1"/>
    <row r="719" s="283" customFormat="1"/>
    <row r="720" s="283" customFormat="1"/>
    <row r="721" s="283" customFormat="1"/>
    <row r="722" s="283" customFormat="1"/>
    <row r="723" s="283" customFormat="1"/>
    <row r="724" s="283" customFormat="1"/>
    <row r="725" s="283" customFormat="1"/>
    <row r="726" s="283" customFormat="1"/>
    <row r="727" s="283" customFormat="1"/>
    <row r="728" s="283" customFormat="1"/>
    <row r="729" s="283" customFormat="1"/>
    <row r="730" s="283" customFormat="1"/>
    <row r="731" s="283" customFormat="1"/>
    <row r="732" s="283" customFormat="1"/>
    <row r="733" s="283" customFormat="1"/>
    <row r="734" s="283" customFormat="1"/>
    <row r="735" s="283" customFormat="1"/>
    <row r="736" s="283" customFormat="1"/>
    <row r="737" s="283" customFormat="1"/>
    <row r="738" s="283" customFormat="1"/>
    <row r="739" s="283" customFormat="1"/>
    <row r="740" s="283" customFormat="1"/>
    <row r="741" s="283" customFormat="1"/>
    <row r="742" s="283" customFormat="1"/>
    <row r="743" s="283" customFormat="1"/>
    <row r="744" s="283" customFormat="1"/>
    <row r="745" s="283" customFormat="1"/>
    <row r="746" s="283" customFormat="1"/>
    <row r="747" s="283" customFormat="1"/>
    <row r="748" s="283" customFormat="1"/>
    <row r="749" s="283" customFormat="1"/>
    <row r="750" s="283" customFormat="1"/>
    <row r="751" s="283" customFormat="1"/>
    <row r="752" s="283" customFormat="1"/>
    <row r="753" s="283" customFormat="1"/>
    <row r="754" s="283" customFormat="1"/>
    <row r="755" s="283" customFormat="1"/>
    <row r="756" s="283" customFormat="1"/>
    <row r="757" s="283" customFormat="1"/>
    <row r="758" s="283" customFormat="1"/>
    <row r="759" s="283" customFormat="1"/>
    <row r="760" s="283" customFormat="1"/>
    <row r="761" s="283" customFormat="1"/>
    <row r="762" s="283" customFormat="1"/>
    <row r="763" s="283" customFormat="1"/>
    <row r="764" s="283" customFormat="1"/>
    <row r="765" s="283" customFormat="1"/>
    <row r="766" s="283" customFormat="1"/>
    <row r="767" s="283" customFormat="1"/>
    <row r="768" s="283" customFormat="1"/>
    <row r="769" s="283" customFormat="1"/>
    <row r="770" s="283" customFormat="1"/>
    <row r="771" s="283" customFormat="1"/>
    <row r="772" s="283" customFormat="1"/>
    <row r="773" s="283" customFormat="1"/>
    <row r="774" s="283" customFormat="1"/>
    <row r="775" s="283" customFormat="1"/>
    <row r="776" s="283" customFormat="1"/>
    <row r="777" s="283" customFormat="1"/>
    <row r="778" s="283" customFormat="1"/>
    <row r="779" s="283" customFormat="1"/>
    <row r="780" s="283" customFormat="1"/>
    <row r="781" s="283" customFormat="1"/>
    <row r="782" s="283" customFormat="1"/>
    <row r="783" s="283" customFormat="1"/>
    <row r="784" s="283" customFormat="1"/>
    <row r="785" s="283" customFormat="1"/>
    <row r="786" s="283" customFormat="1"/>
    <row r="787" s="283" customFormat="1"/>
    <row r="788" s="283" customFormat="1"/>
    <row r="789" s="283" customFormat="1"/>
    <row r="790" s="283" customFormat="1"/>
    <row r="791" s="283" customFormat="1"/>
    <row r="792" s="283" customFormat="1"/>
    <row r="793" s="283" customFormat="1"/>
    <row r="794" s="283" customFormat="1"/>
    <row r="795" s="283" customFormat="1"/>
    <row r="796" s="283" customFormat="1"/>
    <row r="797" s="283" customFormat="1"/>
    <row r="798" s="283" customFormat="1"/>
    <row r="799" s="283" customFormat="1"/>
    <row r="800" s="283" customFormat="1"/>
    <row r="801" s="283" customFormat="1"/>
    <row r="802" s="283" customFormat="1"/>
    <row r="803" s="283" customFormat="1"/>
    <row r="804" s="283" customFormat="1"/>
    <row r="805" s="283" customFormat="1"/>
    <row r="806" s="283" customFormat="1"/>
    <row r="807" s="283" customFormat="1"/>
    <row r="808" s="283" customFormat="1"/>
    <row r="809" s="283" customFormat="1"/>
    <row r="810" s="283" customFormat="1"/>
    <row r="811" s="283" customFormat="1"/>
    <row r="812" s="283" customFormat="1"/>
    <row r="813" s="283" customFormat="1"/>
    <row r="814" s="283" customFormat="1"/>
    <row r="815" s="283" customFormat="1"/>
    <row r="816" s="283" customFormat="1"/>
    <row r="817" s="283" customFormat="1"/>
    <row r="818" s="283" customFormat="1"/>
    <row r="819" s="283" customFormat="1"/>
    <row r="820" s="283" customFormat="1"/>
    <row r="821" s="283" customFormat="1"/>
    <row r="822" s="283" customFormat="1"/>
    <row r="823" s="283" customFormat="1"/>
    <row r="824" s="283" customFormat="1"/>
    <row r="825" s="283" customFormat="1"/>
    <row r="826" s="283" customFormat="1"/>
    <row r="827" s="283" customFormat="1"/>
    <row r="828" s="283" customFormat="1"/>
    <row r="829" s="283" customFormat="1"/>
    <row r="830" s="283" customFormat="1"/>
    <row r="831" s="283" customFormat="1"/>
    <row r="832" s="283" customFormat="1"/>
    <row r="833" s="283" customFormat="1"/>
    <row r="834" s="283" customFormat="1"/>
    <row r="835" s="283" customFormat="1"/>
    <row r="836" s="283" customFormat="1"/>
    <row r="837" s="283" customFormat="1"/>
    <row r="838" s="283" customFormat="1"/>
    <row r="839" s="283" customFormat="1"/>
    <row r="840" s="283" customFormat="1"/>
    <row r="841" s="283" customFormat="1"/>
    <row r="842" s="283" customFormat="1"/>
    <row r="843" s="283" customFormat="1"/>
    <row r="844" s="283" customFormat="1"/>
    <row r="845" s="283" customFormat="1"/>
    <row r="846" s="283" customFormat="1"/>
    <row r="847" s="283" customFormat="1"/>
    <row r="848" s="283" customFormat="1"/>
    <row r="849" s="283" customFormat="1"/>
    <row r="850" s="283" customFormat="1"/>
    <row r="851" s="283" customFormat="1"/>
    <row r="852" s="283" customFormat="1"/>
    <row r="853" s="283" customFormat="1"/>
    <row r="854" s="283" customFormat="1"/>
    <row r="855" s="283" customFormat="1"/>
    <row r="856" s="283" customFormat="1"/>
    <row r="857" s="283" customFormat="1"/>
    <row r="858" s="283" customFormat="1"/>
    <row r="859" s="283" customFormat="1"/>
    <row r="860" s="283" customFormat="1"/>
    <row r="861" s="283" customFormat="1"/>
    <row r="862" s="283" customFormat="1"/>
    <row r="863" s="283" customFormat="1"/>
    <row r="864" s="283" customFormat="1"/>
    <row r="865" s="283" customFormat="1"/>
    <row r="866" s="283" customFormat="1"/>
    <row r="867" s="283" customFormat="1"/>
    <row r="868" s="283" customFormat="1"/>
    <row r="869" s="283" customFormat="1"/>
    <row r="870" s="283" customFormat="1"/>
    <row r="871" s="283" customFormat="1"/>
    <row r="872" s="283" customFormat="1"/>
    <row r="873" s="283" customFormat="1"/>
    <row r="874" s="283" customFormat="1"/>
    <row r="875" s="283" customFormat="1"/>
    <row r="876" s="283" customFormat="1"/>
    <row r="877" s="283" customFormat="1"/>
    <row r="878" s="283" customFormat="1"/>
    <row r="879" s="283" customFormat="1"/>
    <row r="880" s="283" customFormat="1"/>
    <row r="881" s="283" customFormat="1"/>
    <row r="882" s="283" customFormat="1"/>
    <row r="883" s="283" customFormat="1"/>
    <row r="884" s="283" customFormat="1"/>
    <row r="885" s="283" customFormat="1"/>
    <row r="886" s="283" customFormat="1"/>
    <row r="887" s="283" customFormat="1"/>
    <row r="888" s="283" customFormat="1"/>
    <row r="889" s="283" customFormat="1"/>
    <row r="890" s="283" customFormat="1"/>
    <row r="891" s="283" customFormat="1"/>
    <row r="892" s="283" customFormat="1"/>
    <row r="893" s="283" customFormat="1"/>
    <row r="894" s="283" customFormat="1"/>
    <row r="895" s="283" customFormat="1"/>
    <row r="896" s="283" customFormat="1"/>
    <row r="897" s="283" customFormat="1"/>
    <row r="898" s="283" customFormat="1"/>
    <row r="899" s="283" customFormat="1"/>
    <row r="900" s="283" customFormat="1"/>
    <row r="901" s="283" customFormat="1"/>
    <row r="902" s="283" customFormat="1"/>
    <row r="903" s="283" customFormat="1"/>
    <row r="904" s="283" customFormat="1"/>
    <row r="905" s="283" customFormat="1"/>
    <row r="906" s="283" customFormat="1"/>
    <row r="907" s="283" customFormat="1"/>
    <row r="908" s="283" customFormat="1"/>
    <row r="909" s="283" customFormat="1"/>
    <row r="910" s="283" customFormat="1"/>
    <row r="911" s="283" customFormat="1"/>
    <row r="912" s="283" customFormat="1"/>
    <row r="913" s="283" customFormat="1"/>
    <row r="914" s="283" customFormat="1"/>
    <row r="915" s="283" customFormat="1"/>
    <row r="916" s="283" customFormat="1"/>
    <row r="917" s="283" customFormat="1"/>
    <row r="918" s="283" customFormat="1"/>
    <row r="919" s="283" customFormat="1"/>
    <row r="920" s="283" customFormat="1"/>
    <row r="921" s="283" customFormat="1"/>
    <row r="922" s="283" customFormat="1"/>
    <row r="923" s="283" customFormat="1"/>
    <row r="924" s="283" customFormat="1"/>
    <row r="925" s="283" customFormat="1"/>
    <row r="926" s="283" customFormat="1"/>
    <row r="927" s="283" customFormat="1"/>
    <row r="928" s="283" customFormat="1"/>
    <row r="929" s="283" customFormat="1"/>
    <row r="930" s="283" customFormat="1"/>
    <row r="931" s="283" customFormat="1"/>
    <row r="932" s="283" customFormat="1"/>
    <row r="933" s="283" customFormat="1"/>
    <row r="934" s="283" customFormat="1"/>
    <row r="935" s="283" customFormat="1"/>
    <row r="936" s="283" customFormat="1"/>
    <row r="937" s="283" customFormat="1"/>
    <row r="938" s="283" customFormat="1"/>
    <row r="939" s="283" customFormat="1"/>
    <row r="940" s="283" customFormat="1"/>
    <row r="941" s="283" customFormat="1"/>
    <row r="942" s="283" customFormat="1"/>
    <row r="943" s="283" customFormat="1"/>
    <row r="944" s="283" customFormat="1"/>
    <row r="945" s="283" customFormat="1"/>
    <row r="946" s="283" customFormat="1"/>
    <row r="947" s="283" customFormat="1"/>
    <row r="948" s="283" customFormat="1"/>
    <row r="949" s="283" customFormat="1"/>
    <row r="950" s="283" customFormat="1"/>
    <row r="951" s="283" customFormat="1"/>
    <row r="952" s="283" customFormat="1"/>
    <row r="953" s="283" customFormat="1"/>
    <row r="954" s="283" customFormat="1"/>
    <row r="955" s="283" customFormat="1"/>
    <row r="956" s="283" customFormat="1"/>
    <row r="957" s="283" customFormat="1"/>
    <row r="958" s="283" customFormat="1"/>
    <row r="959" s="283" customFormat="1"/>
    <row r="960" s="283" customFormat="1"/>
    <row r="961" s="283" customFormat="1"/>
    <row r="962" s="283" customFormat="1"/>
    <row r="963" s="283" customFormat="1"/>
    <row r="964" s="283" customFormat="1"/>
    <row r="965" s="283" customFormat="1"/>
    <row r="966" s="283" customFormat="1"/>
    <row r="967" s="283" customFormat="1"/>
    <row r="968" s="283" customFormat="1"/>
    <row r="969" s="283" customFormat="1"/>
    <row r="970" s="283" customFormat="1"/>
    <row r="971" s="283" customFormat="1"/>
    <row r="972" s="283" customFormat="1"/>
    <row r="973" s="283" customFormat="1"/>
    <row r="974" s="283" customFormat="1"/>
    <row r="975" s="283" customFormat="1"/>
    <row r="976" s="283" customFormat="1"/>
    <row r="977" s="283" customFormat="1"/>
    <row r="978" s="283" customFormat="1"/>
    <row r="979" s="283" customFormat="1"/>
    <row r="980" s="283" customFormat="1"/>
    <row r="981" s="283" customFormat="1"/>
    <row r="982" s="283" customFormat="1"/>
    <row r="983" s="283" customFormat="1"/>
    <row r="984" s="283" customFormat="1"/>
    <row r="985" s="283" customFormat="1"/>
    <row r="986" s="283" customFormat="1"/>
    <row r="987" s="283" customFormat="1"/>
    <row r="988" s="283" customFormat="1"/>
    <row r="989" s="283" customFormat="1"/>
    <row r="990" s="283" customFormat="1"/>
    <row r="991" s="283" customFormat="1"/>
    <row r="992" s="283" customFormat="1"/>
    <row r="993" s="283" customFormat="1"/>
    <row r="994" s="283" customFormat="1"/>
    <row r="995" s="283" customFormat="1"/>
    <row r="996" s="283" customFormat="1"/>
    <row r="997" s="283" customFormat="1"/>
    <row r="998" s="283" customFormat="1"/>
    <row r="999" s="283" customFormat="1"/>
    <row r="1000" s="283" customFormat="1"/>
    <row r="1001" s="283" customFormat="1"/>
    <row r="1002" s="283" customFormat="1"/>
    <row r="1003" s="283" customFormat="1"/>
    <row r="1004" s="283" customFormat="1"/>
    <row r="1005" s="283" customFormat="1"/>
    <row r="1006" s="283" customFormat="1"/>
    <row r="1007" s="283" customFormat="1"/>
    <row r="1008" s="283" customFormat="1"/>
    <row r="1009" s="283" customFormat="1"/>
    <row r="1010" s="283" customFormat="1"/>
    <row r="1011" s="283" customFormat="1"/>
    <row r="1012" s="283" customFormat="1"/>
    <row r="1013" s="283" customFormat="1"/>
    <row r="1014" s="283" customFormat="1"/>
    <row r="1015" s="283" customFormat="1"/>
    <row r="1016" s="283" customFormat="1"/>
    <row r="1017" s="283" customFormat="1"/>
    <row r="1018" s="283" customFormat="1"/>
    <row r="1019" s="283" customFormat="1"/>
    <row r="1020" s="283" customFormat="1"/>
    <row r="1021" s="283" customFormat="1"/>
    <row r="1022" s="283" customFormat="1"/>
    <row r="1023" s="283" customFormat="1"/>
    <row r="1024" s="283" customFormat="1"/>
    <row r="1025" s="283" customFormat="1"/>
    <row r="1026" s="283" customFormat="1"/>
    <row r="1027" s="283" customFormat="1"/>
    <row r="1028" s="283" customFormat="1"/>
    <row r="1029" s="283" customFormat="1"/>
    <row r="1030" s="283" customFormat="1"/>
    <row r="1031" s="283" customFormat="1"/>
    <row r="1032" s="283" customFormat="1"/>
    <row r="1033" s="283" customFormat="1"/>
    <row r="1034" s="283" customFormat="1"/>
    <row r="1035" s="283" customFormat="1"/>
    <row r="1036" s="283" customFormat="1"/>
    <row r="1037" s="283" customFormat="1"/>
    <row r="1038" s="283" customFormat="1"/>
    <row r="1039" s="283" customFormat="1"/>
    <row r="1040" s="283" customFormat="1"/>
    <row r="1041" s="283" customFormat="1"/>
    <row r="1042" s="283" customFormat="1"/>
    <row r="1043" s="283" customFormat="1"/>
    <row r="1044" s="283" customFormat="1"/>
    <row r="1045" s="283" customFormat="1"/>
    <row r="1046" s="283" customFormat="1"/>
    <row r="1047" s="283" customFormat="1"/>
    <row r="1048" s="283" customFormat="1"/>
    <row r="1049" s="283" customFormat="1"/>
    <row r="1050" s="283" customFormat="1"/>
    <row r="1051" s="283" customFormat="1"/>
    <row r="1052" s="283" customFormat="1"/>
    <row r="1053" s="283" customFormat="1"/>
    <row r="1054" s="283" customFormat="1"/>
    <row r="1055" s="283" customFormat="1"/>
    <row r="1056" s="283" customFormat="1"/>
    <row r="1057" s="283" customFormat="1"/>
    <row r="1058" s="283" customFormat="1"/>
    <row r="1059" s="283" customFormat="1"/>
    <row r="1060" s="283" customFormat="1"/>
    <row r="1061" s="283" customFormat="1"/>
    <row r="1062" s="283" customFormat="1"/>
    <row r="1063" s="283" customFormat="1"/>
    <row r="1064" s="283" customFormat="1"/>
    <row r="1065" s="283" customFormat="1"/>
    <row r="1066" s="283" customFormat="1"/>
    <row r="1067" s="283" customFormat="1"/>
    <row r="1068" s="283" customFormat="1"/>
    <row r="1069" s="283" customFormat="1"/>
    <row r="1070" s="283" customFormat="1"/>
    <row r="1071" s="283" customFormat="1"/>
    <row r="1072" s="283" customFormat="1"/>
    <row r="1073" s="283" customFormat="1"/>
    <row r="1074" s="283" customFormat="1"/>
    <row r="1075" s="283" customFormat="1"/>
    <row r="1076" s="283" customFormat="1"/>
    <row r="1077" s="283" customFormat="1"/>
    <row r="1078" s="283" customFormat="1"/>
    <row r="1079" s="283" customFormat="1"/>
    <row r="1080" s="283" customFormat="1"/>
    <row r="1081" s="283" customFormat="1"/>
    <row r="1082" s="283" customFormat="1"/>
    <row r="1083" s="283" customFormat="1"/>
    <row r="1084" s="283" customFormat="1"/>
    <row r="1085" s="283" customFormat="1"/>
    <row r="1086" s="283" customFormat="1"/>
    <row r="1087" s="283" customFormat="1"/>
    <row r="1088" s="283" customFormat="1"/>
    <row r="1089" s="283" customFormat="1"/>
    <row r="1090" s="283" customFormat="1"/>
    <row r="1091" s="283" customFormat="1"/>
    <row r="1092" s="283" customFormat="1"/>
    <row r="1093" s="283" customFormat="1"/>
    <row r="1094" s="283" customFormat="1"/>
    <row r="1095" s="283" customFormat="1"/>
    <row r="1096" s="283" customFormat="1"/>
    <row r="1097" s="283" customFormat="1"/>
    <row r="1098" s="283" customFormat="1"/>
    <row r="1099" s="283" customFormat="1"/>
    <row r="1100" s="283" customFormat="1"/>
    <row r="1101" s="283" customFormat="1"/>
    <row r="1102" s="283" customFormat="1"/>
    <row r="1103" s="283" customFormat="1"/>
    <row r="1104" s="283" customFormat="1"/>
    <row r="1105" s="283" customFormat="1"/>
    <row r="1106" s="283" customFormat="1"/>
    <row r="1107" s="283" customFormat="1"/>
    <row r="1108" s="283" customFormat="1"/>
    <row r="1109" s="283" customFormat="1"/>
    <row r="1110" s="283" customFormat="1"/>
    <row r="1111" s="283" customFormat="1"/>
    <row r="1112" s="283" customFormat="1"/>
    <row r="1113" s="283" customFormat="1"/>
    <row r="1114" s="283" customFormat="1"/>
    <row r="1115" s="283" customFormat="1"/>
    <row r="1116" s="283" customFormat="1"/>
    <row r="1117" s="283" customFormat="1"/>
    <row r="1118" s="283" customFormat="1"/>
    <row r="1119" s="283" customFormat="1"/>
    <row r="1120" s="283" customFormat="1"/>
    <row r="1121" s="283" customFormat="1"/>
    <row r="1122" s="283" customFormat="1"/>
    <row r="1123" s="283" customFormat="1"/>
    <row r="1124" s="283" customFormat="1"/>
    <row r="1125" s="283" customFormat="1"/>
    <row r="1126" s="283" customFormat="1"/>
    <row r="1127" s="283" customFormat="1"/>
    <row r="1128" s="283" customFormat="1"/>
    <row r="1129" s="283" customFormat="1"/>
    <row r="1130" s="283" customFormat="1"/>
    <row r="1131" s="283" customFormat="1"/>
    <row r="1132" s="283" customFormat="1"/>
    <row r="1133" s="283" customFormat="1"/>
    <row r="1134" s="283" customFormat="1"/>
    <row r="1135" s="283" customFormat="1"/>
    <row r="1136" s="283" customFormat="1"/>
    <row r="1137" s="283" customFormat="1"/>
    <row r="1138" s="283" customFormat="1"/>
    <row r="1139" s="283" customFormat="1"/>
    <row r="1140" s="283" customFormat="1"/>
    <row r="1141" s="283" customFormat="1"/>
    <row r="1142" s="283" customFormat="1"/>
    <row r="1143" s="283" customFormat="1"/>
    <row r="1144" s="283" customFormat="1"/>
    <row r="1145" s="283" customFormat="1"/>
    <row r="1146" s="283" customFormat="1"/>
    <row r="1147" s="283" customFormat="1"/>
    <row r="1148" s="283" customFormat="1"/>
    <row r="1149" s="283" customFormat="1"/>
    <row r="1150" s="283" customFormat="1"/>
    <row r="1151" s="283" customFormat="1"/>
    <row r="1152" s="283" customFormat="1"/>
    <row r="1153" s="283" customFormat="1"/>
    <row r="1154" s="283" customFormat="1"/>
    <row r="1155" s="283" customFormat="1"/>
    <row r="1156" s="283" customFormat="1"/>
    <row r="1157" s="283" customFormat="1"/>
    <row r="1158" s="283" customFormat="1"/>
    <row r="1159" s="283" customFormat="1"/>
    <row r="1160" s="283" customFormat="1"/>
    <row r="1161" s="283" customFormat="1"/>
    <row r="1162" s="283" customFormat="1"/>
    <row r="1163" s="283" customFormat="1"/>
    <row r="1164" s="283" customFormat="1"/>
    <row r="1165" s="283" customFormat="1"/>
    <row r="1166" s="283" customFormat="1"/>
    <row r="1167" s="283" customFormat="1"/>
    <row r="1168" s="283" customFormat="1"/>
    <row r="1169" s="283" customFormat="1"/>
    <row r="1170" s="283" customFormat="1"/>
    <row r="1171" s="283" customFormat="1"/>
    <row r="1172" s="283" customFormat="1"/>
    <row r="1173" s="283" customFormat="1"/>
    <row r="1174" s="283" customFormat="1"/>
    <row r="1175" s="283" customFormat="1"/>
    <row r="1176" s="283" customFormat="1"/>
    <row r="1177" s="283" customFormat="1"/>
    <row r="1178" s="283" customFormat="1"/>
    <row r="1179" s="283" customFormat="1"/>
    <row r="1180" s="283" customFormat="1"/>
    <row r="1181" s="283" customFormat="1"/>
    <row r="1182" s="283" customFormat="1"/>
    <row r="1183" s="283" customFormat="1"/>
    <row r="1184" s="283" customFormat="1"/>
    <row r="1185" s="283" customFormat="1"/>
    <row r="1186" s="283" customFormat="1"/>
    <row r="1187" s="283" customFormat="1"/>
    <row r="1188" s="283" customFormat="1"/>
    <row r="1189" s="283" customFormat="1"/>
    <row r="1190" s="283" customFormat="1"/>
    <row r="1191" s="283" customFormat="1"/>
    <row r="1192" s="283" customFormat="1"/>
    <row r="1193" s="283" customFormat="1"/>
    <row r="1194" s="283" customFormat="1"/>
    <row r="1195" s="283" customFormat="1"/>
    <row r="1196" s="283" customFormat="1"/>
    <row r="1197" s="283" customFormat="1"/>
    <row r="1198" s="283" customFormat="1"/>
    <row r="1199" s="283" customFormat="1"/>
    <row r="1200" s="283" customFormat="1"/>
    <row r="1201" s="283" customFormat="1"/>
    <row r="1202" s="283" customFormat="1"/>
    <row r="1203" s="283" customFormat="1"/>
    <row r="1204" s="283" customFormat="1"/>
    <row r="1205" s="283" customFormat="1"/>
    <row r="1206" s="283" customFormat="1"/>
    <row r="1207" s="283" customFormat="1"/>
    <row r="1208" s="283" customFormat="1"/>
    <row r="1209" s="283" customFormat="1"/>
    <row r="1210" s="283" customFormat="1"/>
    <row r="1211" s="283" customFormat="1"/>
    <row r="1212" s="283" customFormat="1"/>
    <row r="1213" s="283" customFormat="1"/>
    <row r="1214" s="283" customFormat="1"/>
    <row r="1215" s="283" customFormat="1"/>
    <row r="1216" s="283" customFormat="1"/>
    <row r="1217" s="283" customFormat="1"/>
    <row r="1218" s="283" customFormat="1"/>
    <row r="1219" s="283" customFormat="1"/>
    <row r="1220" s="283" customFormat="1"/>
    <row r="1221" s="283" customFormat="1"/>
    <row r="1222" s="283" customFormat="1"/>
    <row r="1223" s="283" customFormat="1"/>
    <row r="1224" s="283" customFormat="1"/>
    <row r="1225" s="283" customFormat="1"/>
    <row r="1226" s="283" customFormat="1"/>
    <row r="1227" s="283" customFormat="1"/>
    <row r="1228" s="283" customFormat="1"/>
    <row r="1229" s="283" customFormat="1"/>
    <row r="1230" s="283" customFormat="1"/>
    <row r="1231" s="283" customFormat="1"/>
    <row r="1232" s="283" customFormat="1"/>
    <row r="1233" s="283" customFormat="1"/>
    <row r="1234" s="283" customFormat="1"/>
    <row r="1235" s="283" customFormat="1"/>
    <row r="1236" s="283" customFormat="1"/>
    <row r="1237" s="283" customFormat="1"/>
    <row r="1238" s="283" customFormat="1"/>
    <row r="1239" s="283" customFormat="1"/>
    <row r="1240" s="283" customFormat="1"/>
    <row r="1241" s="283" customFormat="1"/>
    <row r="1242" s="283" customFormat="1"/>
    <row r="1243" s="283" customFormat="1"/>
    <row r="1244" s="283" customFormat="1"/>
    <row r="1245" s="283" customFormat="1"/>
    <row r="1246" s="283" customFormat="1"/>
    <row r="1247" s="283" customFormat="1"/>
    <row r="1248" s="283" customFormat="1"/>
    <row r="1249" s="283" customFormat="1"/>
    <row r="1250" s="283" customFormat="1"/>
    <row r="1251" s="283" customFormat="1"/>
    <row r="1252" s="283" customFormat="1"/>
    <row r="1253" s="283" customFormat="1"/>
    <row r="1254" s="283" customFormat="1"/>
    <row r="1255" s="283" customFormat="1"/>
    <row r="1256" s="283" customFormat="1"/>
    <row r="1257" s="283" customFormat="1"/>
    <row r="1258" s="283" customFormat="1"/>
    <row r="1259" s="283" customFormat="1"/>
    <row r="1260" s="283" customFormat="1"/>
    <row r="1261" s="283" customFormat="1"/>
    <row r="1262" s="283" customFormat="1"/>
    <row r="1263" s="283" customFormat="1"/>
    <row r="1264" s="283" customFormat="1"/>
    <row r="1265" s="283" customFormat="1"/>
    <row r="1266" s="283" customFormat="1"/>
    <row r="1267" s="283" customFormat="1"/>
    <row r="1268" s="283" customFormat="1"/>
    <row r="1269" s="283" customFormat="1"/>
    <row r="1270" s="283" customFormat="1"/>
    <row r="1271" s="283" customFormat="1"/>
    <row r="1272" s="283" customFormat="1"/>
    <row r="1273" s="283" customFormat="1"/>
    <row r="1274" s="283" customFormat="1"/>
    <row r="1275" s="283" customFormat="1"/>
    <row r="1276" s="283" customFormat="1"/>
    <row r="1277" s="283" customFormat="1"/>
    <row r="1278" s="283" customFormat="1"/>
    <row r="1279" s="283" customFormat="1"/>
    <row r="1280" s="283" customFormat="1"/>
    <row r="1281" s="283" customFormat="1"/>
    <row r="1282" s="283" customFormat="1"/>
    <row r="1283" s="283" customFormat="1"/>
    <row r="1284" s="283" customFormat="1"/>
    <row r="1285" s="283" customFormat="1"/>
    <row r="1286" s="283" customFormat="1"/>
    <row r="1287" s="283" customFormat="1"/>
    <row r="1288" s="283" customFormat="1"/>
    <row r="1289" s="283" customFormat="1"/>
    <row r="1290" s="283" customFormat="1"/>
    <row r="1291" s="283" customFormat="1"/>
    <row r="1292" s="283" customFormat="1"/>
    <row r="1293" s="283" customFormat="1"/>
    <row r="1294" s="283" customFormat="1"/>
    <row r="1295" s="283" customFormat="1"/>
    <row r="1296" s="283" customFormat="1"/>
    <row r="1297" s="283" customFormat="1"/>
    <row r="1298" s="283" customFormat="1"/>
    <row r="1299" s="283" customFormat="1"/>
    <row r="1300" s="283" customFormat="1"/>
    <row r="1301" s="283" customFormat="1"/>
    <row r="1302" s="283" customFormat="1"/>
    <row r="1303" s="283" customFormat="1"/>
    <row r="1304" s="283" customFormat="1"/>
    <row r="1305" s="283" customFormat="1"/>
    <row r="1306" s="283" customFormat="1"/>
    <row r="1307" s="283" customFormat="1"/>
    <row r="1308" s="283" customFormat="1"/>
    <row r="1309" s="283" customFormat="1"/>
    <row r="1310" s="283" customFormat="1"/>
    <row r="1311" s="283" customFormat="1"/>
    <row r="1312" s="283" customFormat="1"/>
    <row r="1313" s="283" customFormat="1"/>
    <row r="1314" s="283" customFormat="1"/>
    <row r="1315" s="283" customFormat="1"/>
    <row r="1316" s="283" customFormat="1"/>
    <row r="1317" s="283" customFormat="1"/>
    <row r="1318" s="283" customFormat="1"/>
    <row r="1319" s="283" customFormat="1"/>
    <row r="1320" s="283" customFormat="1"/>
    <row r="1321" s="283" customFormat="1"/>
    <row r="1322" s="283" customFormat="1"/>
    <row r="1323" s="283" customFormat="1"/>
    <row r="1324" s="283" customFormat="1"/>
    <row r="1325" s="283" customFormat="1"/>
    <row r="1326" s="283" customFormat="1"/>
    <row r="1327" s="283" customFormat="1"/>
    <row r="1328" s="283" customFormat="1"/>
    <row r="1329" s="283" customFormat="1"/>
    <row r="1330" s="283" customFormat="1"/>
    <row r="1331" s="283" customFormat="1"/>
    <row r="1332" s="283" customFormat="1"/>
    <row r="1333" s="283" customFormat="1"/>
    <row r="1334" s="283" customFormat="1"/>
    <row r="1335" s="283" customFormat="1"/>
    <row r="1336" s="283" customFormat="1"/>
    <row r="1337" s="283" customFormat="1"/>
    <row r="1338" s="283" customFormat="1"/>
    <row r="1339" s="283" customFormat="1"/>
    <row r="1340" s="283" customFormat="1"/>
    <row r="1341" s="283" customFormat="1"/>
    <row r="1342" s="283" customFormat="1"/>
    <row r="1343" s="283" customFormat="1"/>
    <row r="1344" s="283" customFormat="1"/>
    <row r="1345" s="283" customFormat="1"/>
    <row r="1346" s="283" customFormat="1"/>
    <row r="1347" s="283" customFormat="1"/>
    <row r="1348" s="283" customFormat="1"/>
    <row r="1349" s="283" customFormat="1"/>
    <row r="1350" s="283" customFormat="1"/>
    <row r="1351" s="283" customFormat="1"/>
    <row r="1352" s="283" customFormat="1"/>
    <row r="1353" s="283" customFormat="1"/>
    <row r="1354" s="283" customFormat="1"/>
    <row r="1355" s="283" customFormat="1"/>
    <row r="1356" s="283" customFormat="1"/>
    <row r="1357" s="283" customFormat="1"/>
    <row r="1358" s="283" customFormat="1"/>
    <row r="1359" s="283" customFormat="1"/>
    <row r="1360" s="283" customFormat="1"/>
    <row r="1361" s="283" customFormat="1"/>
    <row r="1362" s="283" customFormat="1"/>
    <row r="1363" s="283" customFormat="1"/>
    <row r="1364" s="283" customFormat="1"/>
    <row r="1365" s="283" customFormat="1"/>
    <row r="1366" s="283" customFormat="1"/>
    <row r="1367" s="283" customFormat="1"/>
    <row r="1368" s="283" customFormat="1"/>
    <row r="1369" s="283" customFormat="1"/>
    <row r="1370" s="283" customFormat="1"/>
    <row r="1371" s="283" customFormat="1"/>
    <row r="1372" s="283" customFormat="1"/>
    <row r="1373" s="283" customFormat="1"/>
    <row r="1374" s="283" customFormat="1"/>
    <row r="1375" s="283" customFormat="1"/>
    <row r="1376" s="283" customFormat="1"/>
    <row r="1377" s="283" customFormat="1"/>
    <row r="1378" s="283" customFormat="1"/>
    <row r="1379" s="283" customFormat="1"/>
    <row r="1380" s="283" customFormat="1"/>
    <row r="1381" s="283" customFormat="1"/>
    <row r="1382" s="283" customFormat="1"/>
    <row r="1383" s="283" customFormat="1"/>
    <row r="1384" s="283" customFormat="1"/>
    <row r="1385" s="283" customFormat="1"/>
    <row r="1386" s="283" customFormat="1"/>
    <row r="1387" s="283" customFormat="1"/>
    <row r="1388" s="283" customFormat="1"/>
    <row r="1389" s="283" customFormat="1"/>
    <row r="1390" s="283" customFormat="1"/>
    <row r="1391" s="283" customFormat="1"/>
    <row r="1392" s="283" customFormat="1"/>
    <row r="1393" s="283" customFormat="1"/>
    <row r="1394" s="283" customFormat="1"/>
    <row r="1395" s="283" customFormat="1"/>
    <row r="1396" s="283" customFormat="1"/>
    <row r="1397" s="283" customFormat="1"/>
    <row r="1398" s="283" customFormat="1"/>
    <row r="1399" s="283" customFormat="1"/>
    <row r="1400" s="283" customFormat="1"/>
    <row r="1401" s="283" customFormat="1"/>
    <row r="1402" s="283" customFormat="1"/>
    <row r="1403" s="283" customFormat="1"/>
    <row r="1404" s="283" customFormat="1"/>
    <row r="1405" s="283" customFormat="1"/>
    <row r="1406" s="283" customFormat="1"/>
    <row r="1407" s="283" customFormat="1"/>
    <row r="1408" s="283" customFormat="1"/>
    <row r="1409" s="283" customFormat="1"/>
    <row r="1410" s="283" customFormat="1"/>
    <row r="1411" s="283" customFormat="1"/>
    <row r="1412" s="283" customFormat="1"/>
    <row r="1413" s="283" customFormat="1"/>
    <row r="1414" s="283" customFormat="1"/>
    <row r="1415" s="283" customFormat="1"/>
    <row r="1416" s="283" customFormat="1"/>
    <row r="1417" s="283" customFormat="1"/>
    <row r="1418" s="283" customFormat="1"/>
    <row r="1419" s="283" customFormat="1"/>
    <row r="1420" s="283" customFormat="1"/>
    <row r="1421" s="283" customFormat="1"/>
    <row r="1422" s="283" customFormat="1"/>
    <row r="1423" s="283" customFormat="1"/>
    <row r="1424" s="283" customFormat="1"/>
    <row r="1425" s="283" customFormat="1"/>
    <row r="1426" s="283" customFormat="1"/>
    <row r="1427" s="283" customFormat="1"/>
    <row r="1428" s="283" customFormat="1"/>
    <row r="1429" s="283" customFormat="1"/>
    <row r="1430" s="283" customFormat="1"/>
    <row r="1431" s="283" customFormat="1"/>
    <row r="1432" s="283" customFormat="1"/>
    <row r="1433" s="283" customFormat="1"/>
    <row r="1434" s="283" customFormat="1"/>
    <row r="1435" s="283" customFormat="1"/>
    <row r="1436" s="283" customFormat="1"/>
    <row r="1437" s="283" customFormat="1"/>
    <row r="1438" s="283" customFormat="1"/>
    <row r="1439" s="283" customFormat="1"/>
    <row r="1440" s="283" customFormat="1"/>
    <row r="1441" s="283" customFormat="1"/>
    <row r="1442" s="283" customFormat="1"/>
    <row r="1443" s="283" customFormat="1"/>
    <row r="1444" s="283" customFormat="1"/>
    <row r="1445" s="283" customFormat="1"/>
    <row r="1446" s="283" customFormat="1"/>
    <row r="1447" s="283" customFormat="1"/>
    <row r="1448" s="283" customFormat="1"/>
    <row r="1449" s="283" customFormat="1"/>
    <row r="1450" s="283" customFormat="1"/>
    <row r="1451" s="283" customFormat="1"/>
    <row r="1452" s="283" customFormat="1"/>
    <row r="1453" s="283" customFormat="1"/>
    <row r="1454" s="283" customFormat="1"/>
    <row r="1455" s="283" customFormat="1"/>
    <row r="1456" s="283" customFormat="1"/>
    <row r="1457" s="283" customFormat="1"/>
    <row r="1458" s="283" customFormat="1"/>
    <row r="1459" s="283" customFormat="1"/>
    <row r="1460" s="283" customFormat="1"/>
    <row r="1461" s="283" customFormat="1"/>
    <row r="1462" s="283" customFormat="1"/>
    <row r="1463" s="283" customFormat="1"/>
    <row r="1464" s="283" customFormat="1"/>
    <row r="1465" s="283" customFormat="1"/>
    <row r="1466" s="283" customFormat="1"/>
    <row r="1467" s="283" customFormat="1"/>
    <row r="1468" s="283" customFormat="1"/>
    <row r="1469" s="283" customFormat="1"/>
    <row r="1470" s="283" customFormat="1"/>
    <row r="1471" s="283" customFormat="1"/>
    <row r="1472" s="283" customFormat="1"/>
    <row r="1473" s="283" customFormat="1"/>
    <row r="1474" s="283" customFormat="1"/>
    <row r="1475" s="283" customFormat="1"/>
    <row r="1476" s="283" customFormat="1"/>
    <row r="1477" s="283" customFormat="1"/>
    <row r="1478" s="283" customFormat="1"/>
    <row r="1479" s="283" customFormat="1"/>
    <row r="1480" s="283" customFormat="1"/>
    <row r="1481" s="283" customFormat="1"/>
    <row r="1482" s="283" customFormat="1"/>
    <row r="1483" s="283" customFormat="1"/>
    <row r="1484" s="283" customFormat="1"/>
    <row r="1485" s="283" customFormat="1"/>
    <row r="1486" s="283" customFormat="1"/>
    <row r="1487" s="283" customFormat="1"/>
    <row r="1488" s="283" customFormat="1"/>
    <row r="1489" s="283" customFormat="1"/>
    <row r="1490" s="283" customFormat="1"/>
    <row r="1491" s="283" customFormat="1"/>
    <row r="1492" s="283" customFormat="1"/>
    <row r="1493" s="283" customFormat="1"/>
    <row r="1494" s="283" customFormat="1"/>
    <row r="1495" s="283" customFormat="1"/>
    <row r="1496" s="283" customFormat="1"/>
    <row r="1497" s="283" customFormat="1"/>
    <row r="1498" s="283" customFormat="1"/>
    <row r="1499" s="283" customFormat="1"/>
    <row r="1500" s="283" customFormat="1"/>
    <row r="1501" s="283" customFormat="1"/>
    <row r="1502" s="283" customFormat="1"/>
    <row r="1503" s="283" customFormat="1"/>
    <row r="1504" s="283" customFormat="1"/>
    <row r="1505" s="283" customFormat="1"/>
    <row r="1506" s="283" customFormat="1"/>
    <row r="1507" s="283" customFormat="1"/>
    <row r="1508" s="283" customFormat="1"/>
    <row r="1509" s="283" customFormat="1"/>
    <row r="1510" s="283" customFormat="1"/>
    <row r="1511" s="283" customFormat="1"/>
    <row r="1512" s="283" customFormat="1"/>
    <row r="1513" s="283" customFormat="1"/>
    <row r="1514" s="283" customFormat="1"/>
    <row r="1515" s="283" customFormat="1"/>
    <row r="1516" s="283" customFormat="1"/>
    <row r="1517" s="283" customFormat="1"/>
    <row r="1518" s="283" customFormat="1"/>
    <row r="1519" s="283" customFormat="1"/>
    <row r="1520" s="283" customFormat="1"/>
    <row r="1521" s="283" customFormat="1"/>
    <row r="1522" s="283" customFormat="1"/>
    <row r="1523" s="283" customFormat="1"/>
    <row r="1524" s="283" customFormat="1"/>
    <row r="1525" s="283" customFormat="1"/>
    <row r="1526" s="283" customFormat="1"/>
    <row r="1527" s="283" customFormat="1"/>
    <row r="1528" s="283" customFormat="1"/>
    <row r="1529" s="283" customFormat="1"/>
    <row r="1530" s="283" customFormat="1"/>
    <row r="1531" s="283" customFormat="1"/>
    <row r="1532" s="283" customFormat="1"/>
    <row r="1533" s="283" customFormat="1"/>
    <row r="1534" s="283" customFormat="1"/>
    <row r="1535" s="283" customFormat="1"/>
    <row r="1536" s="283" customFormat="1"/>
    <row r="1537" s="283" customFormat="1"/>
    <row r="1538" s="283" customFormat="1"/>
    <row r="1539" s="283" customFormat="1"/>
    <row r="1540" s="283" customFormat="1"/>
    <row r="1541" s="283" customFormat="1"/>
    <row r="1542" s="283" customFormat="1"/>
    <row r="1543" s="283" customFormat="1"/>
    <row r="1544" s="283" customFormat="1"/>
    <row r="1545" s="283" customFormat="1"/>
    <row r="1546" s="283" customFormat="1"/>
    <row r="1547" s="283" customFormat="1"/>
    <row r="1548" s="283" customFormat="1"/>
    <row r="1549" s="283" customFormat="1"/>
    <row r="1550" s="283" customFormat="1"/>
    <row r="1551" s="283" customFormat="1"/>
    <row r="1552" s="283" customFormat="1"/>
    <row r="1553" s="283" customFormat="1"/>
    <row r="1554" s="283" customFormat="1"/>
    <row r="1555" s="283" customFormat="1"/>
    <row r="1556" s="283" customFormat="1"/>
    <row r="1557" s="283" customFormat="1"/>
    <row r="1558" s="283" customFormat="1"/>
    <row r="1559" s="283" customFormat="1"/>
    <row r="1560" s="283" customFormat="1"/>
    <row r="1561" s="283" customFormat="1"/>
    <row r="1562" s="283" customFormat="1"/>
    <row r="1563" s="283" customFormat="1"/>
    <row r="1564" s="283" customFormat="1"/>
    <row r="1565" s="283" customFormat="1"/>
    <row r="1566" s="283" customFormat="1"/>
    <row r="1567" s="283" customFormat="1"/>
    <row r="1568" s="283" customFormat="1"/>
    <row r="1569" s="283" customFormat="1"/>
    <row r="1570" s="283" customFormat="1"/>
    <row r="1571" s="283" customFormat="1"/>
    <row r="1572" s="283" customFormat="1"/>
    <row r="1573" s="283" customFormat="1"/>
    <row r="1574" s="283" customFormat="1"/>
    <row r="1575" s="283" customFormat="1"/>
    <row r="1576" s="283" customFormat="1"/>
    <row r="1577" s="283" customFormat="1"/>
    <row r="1578" s="283" customFormat="1"/>
    <row r="1579" s="283" customFormat="1"/>
    <row r="1580" s="283" customFormat="1"/>
    <row r="1581" s="283" customFormat="1"/>
    <row r="1582" s="283" customFormat="1"/>
    <row r="1583" s="283" customFormat="1"/>
    <row r="1584" s="283" customFormat="1"/>
    <row r="1585" s="283" customFormat="1"/>
    <row r="1586" s="283" customFormat="1"/>
    <row r="1587" s="283" customFormat="1"/>
    <row r="1588" s="283" customFormat="1"/>
    <row r="1589" s="283" customFormat="1"/>
    <row r="1590" s="283" customFormat="1"/>
    <row r="1591" s="283" customFormat="1"/>
    <row r="1592" s="283" customFormat="1"/>
    <row r="1593" s="283" customFormat="1"/>
    <row r="1594" s="283" customFormat="1"/>
    <row r="1595" s="283" customFormat="1"/>
    <row r="1596" s="283" customFormat="1"/>
    <row r="1597" s="283" customFormat="1"/>
    <row r="1598" s="283" customFormat="1"/>
    <row r="1599" s="283" customFormat="1"/>
    <row r="1600" s="283" customFormat="1"/>
    <row r="1601" s="283" customFormat="1"/>
    <row r="1602" s="283" customFormat="1"/>
    <row r="1603" s="283" customFormat="1"/>
    <row r="1604" s="283" customFormat="1"/>
    <row r="1605" s="283" customFormat="1"/>
    <row r="1606" s="283" customFormat="1"/>
    <row r="1607" s="283" customFormat="1"/>
    <row r="1608" s="283" customFormat="1"/>
    <row r="1609" s="283" customFormat="1"/>
    <row r="1610" s="283" customFormat="1"/>
    <row r="1611" s="283" customFormat="1"/>
    <row r="1612" s="283" customFormat="1"/>
    <row r="1613" s="283" customFormat="1"/>
    <row r="1614" s="283" customFormat="1"/>
    <row r="1615" s="283" customFormat="1"/>
    <row r="1616" s="283" customFormat="1"/>
    <row r="1617" s="283" customFormat="1"/>
    <row r="1618" s="283" customFormat="1"/>
    <row r="1619" s="283" customFormat="1"/>
    <row r="1620" s="283" customFormat="1"/>
    <row r="1621" s="283" customFormat="1"/>
    <row r="1622" s="283" customFormat="1"/>
    <row r="1623" s="283" customFormat="1"/>
    <row r="1624" s="283" customFormat="1"/>
    <row r="1625" s="283" customFormat="1"/>
    <row r="1626" s="283" customFormat="1"/>
    <row r="1627" s="283" customFormat="1"/>
    <row r="1628" s="283" customFormat="1"/>
    <row r="1629" s="283" customFormat="1"/>
    <row r="1630" s="283" customFormat="1"/>
    <row r="1631" s="283" customFormat="1"/>
    <row r="1632" s="283" customFormat="1"/>
    <row r="1633" s="283" customFormat="1"/>
    <row r="1634" s="283" customFormat="1"/>
    <row r="1635" s="283" customFormat="1"/>
    <row r="1636" s="283" customFormat="1"/>
    <row r="1637" s="283" customFormat="1"/>
    <row r="1638" s="283" customFormat="1"/>
    <row r="1639" s="283" customFormat="1"/>
    <row r="1640" s="283" customFormat="1"/>
    <row r="1641" s="283" customFormat="1"/>
    <row r="1642" s="283" customFormat="1"/>
    <row r="1643" s="283" customFormat="1"/>
    <row r="1644" s="283" customFormat="1"/>
    <row r="1645" s="283" customFormat="1"/>
    <row r="1646" s="283" customFormat="1"/>
    <row r="1647" s="283" customFormat="1"/>
    <row r="1648" s="283" customFormat="1"/>
    <row r="1649" s="283" customFormat="1"/>
    <row r="1650" s="283" customFormat="1"/>
    <row r="1651" s="283" customFormat="1"/>
    <row r="1652" s="283" customFormat="1"/>
    <row r="1653" s="283" customFormat="1"/>
    <row r="1654" s="283" customFormat="1"/>
    <row r="1655" s="283" customFormat="1"/>
    <row r="1656" s="283" customFormat="1"/>
    <row r="1657" s="283" customFormat="1"/>
    <row r="1658" s="283" customFormat="1"/>
    <row r="1659" s="283" customFormat="1"/>
    <row r="1660" s="283" customFormat="1"/>
    <row r="1661" s="283" customFormat="1"/>
    <row r="1662" s="283" customFormat="1"/>
    <row r="1663" s="283" customFormat="1"/>
    <row r="1664" s="283" customFormat="1"/>
    <row r="1665" s="283" customFormat="1"/>
    <row r="1666" s="283" customFormat="1"/>
    <row r="1667" s="283" customFormat="1"/>
    <row r="1668" s="283" customFormat="1"/>
    <row r="1669" s="283" customFormat="1"/>
    <row r="1670" s="283" customFormat="1"/>
    <row r="1671" s="283" customFormat="1"/>
    <row r="1672" s="283" customFormat="1"/>
    <row r="1673" s="283" customFormat="1"/>
    <row r="1674" s="283" customFormat="1"/>
    <row r="1675" s="283" customFormat="1"/>
    <row r="1676" s="283" customFormat="1"/>
    <row r="1677" s="283" customFormat="1"/>
    <row r="1678" s="283" customFormat="1"/>
    <row r="1679" s="283" customFormat="1"/>
    <row r="1680" s="283" customFormat="1"/>
    <row r="1681" s="283" customFormat="1"/>
    <row r="1682" s="283" customFormat="1"/>
    <row r="1683" s="283" customFormat="1"/>
    <row r="1684" s="283" customFormat="1"/>
    <row r="1685" s="283" customFormat="1"/>
    <row r="1686" s="283" customFormat="1"/>
    <row r="1687" s="283" customFormat="1"/>
    <row r="1688" s="283" customFormat="1"/>
    <row r="1689" s="283" customFormat="1"/>
    <row r="1690" s="283" customFormat="1"/>
    <row r="1691" s="283" customFormat="1"/>
    <row r="1692" s="283" customFormat="1"/>
    <row r="1693" s="283" customFormat="1"/>
    <row r="1694" s="283" customFormat="1"/>
    <row r="1695" s="283" customFormat="1"/>
    <row r="1696" s="283" customFormat="1"/>
    <row r="1697" s="283" customFormat="1"/>
    <row r="1698" s="283" customFormat="1"/>
    <row r="1699" s="283" customFormat="1"/>
    <row r="1700" s="283" customFormat="1"/>
    <row r="1701" s="283" customFormat="1"/>
    <row r="1702" s="283" customFormat="1"/>
    <row r="1703" s="283" customFormat="1"/>
    <row r="1704" s="283" customFormat="1"/>
    <row r="1705" s="283" customFormat="1"/>
    <row r="1706" s="283" customFormat="1"/>
    <row r="1707" s="283" customFormat="1"/>
    <row r="1708" s="283" customFormat="1"/>
    <row r="1709" s="283" customFormat="1"/>
    <row r="1710" s="283" customFormat="1"/>
    <row r="1711" s="283" customFormat="1"/>
    <row r="1712" s="283" customFormat="1"/>
    <row r="1713" s="283" customFormat="1"/>
    <row r="1714" s="283" customFormat="1"/>
    <row r="1715" s="283" customFormat="1"/>
    <row r="1716" s="283" customFormat="1"/>
    <row r="1717" s="283" customFormat="1"/>
    <row r="1718" s="283" customFormat="1"/>
    <row r="1719" s="283" customFormat="1"/>
    <row r="1720" s="283" customFormat="1"/>
    <row r="1721" s="283" customFormat="1"/>
    <row r="1722" s="283" customFormat="1"/>
    <row r="1723" s="283" customFormat="1"/>
    <row r="1724" s="283" customFormat="1"/>
    <row r="1725" s="283" customFormat="1"/>
    <row r="1726" s="283" customFormat="1"/>
    <row r="1727" s="283" customFormat="1"/>
    <row r="1728" s="283" customFormat="1"/>
    <row r="1729" s="283" customFormat="1"/>
    <row r="1730" s="283" customFormat="1"/>
    <row r="1731" s="283" customFormat="1"/>
    <row r="1732" s="283" customFormat="1"/>
    <row r="1733" s="283" customFormat="1"/>
    <row r="1734" s="283" customFormat="1"/>
    <row r="1735" s="283" customFormat="1"/>
    <row r="1736" s="283" customFormat="1"/>
    <row r="1737" s="283" customFormat="1"/>
    <row r="1738" s="283" customFormat="1"/>
    <row r="1739" s="283" customFormat="1"/>
    <row r="1740" s="283" customFormat="1"/>
    <row r="1741" s="283" customFormat="1"/>
    <row r="1742" s="283" customFormat="1"/>
    <row r="1743" s="283" customFormat="1"/>
    <row r="1744" s="283" customFormat="1"/>
    <row r="1745" s="283" customFormat="1"/>
    <row r="1746" s="283" customFormat="1"/>
    <row r="1747" s="283" customFormat="1"/>
    <row r="1748" s="283" customFormat="1"/>
    <row r="1749" s="283" customFormat="1"/>
    <row r="1750" s="283" customFormat="1"/>
    <row r="1751" s="283" customFormat="1"/>
    <row r="1752" s="283" customFormat="1"/>
    <row r="1753" s="283" customFormat="1"/>
    <row r="1754" s="283" customFormat="1"/>
    <row r="1755" s="283" customFormat="1"/>
    <row r="1756" s="283" customFormat="1"/>
    <row r="1757" s="283" customFormat="1"/>
    <row r="1758" s="283" customFormat="1"/>
    <row r="1759" s="283" customFormat="1"/>
    <row r="1760" s="283" customFormat="1"/>
    <row r="1761" s="283" customFormat="1"/>
    <row r="1762" s="283" customFormat="1"/>
    <row r="1763" s="283" customFormat="1"/>
    <row r="1764" s="283" customFormat="1"/>
    <row r="1765" s="283" customFormat="1"/>
    <row r="1766" s="283" customFormat="1"/>
    <row r="1767" s="283" customFormat="1"/>
    <row r="1768" s="283" customFormat="1"/>
    <row r="1769" s="283" customFormat="1"/>
    <row r="1770" s="283" customFormat="1"/>
    <row r="1771" s="283" customFormat="1"/>
    <row r="1772" s="283" customFormat="1"/>
    <row r="1773" s="283" customFormat="1"/>
    <row r="1774" s="283" customFormat="1"/>
    <row r="1775" s="283" customFormat="1"/>
    <row r="1776" s="283" customFormat="1"/>
    <row r="1777" s="283" customFormat="1"/>
    <row r="1778" s="283" customFormat="1"/>
    <row r="1779" s="283" customFormat="1"/>
    <row r="1780" s="283" customFormat="1"/>
    <row r="1781" s="283" customFormat="1"/>
    <row r="1782" s="283" customFormat="1"/>
    <row r="1783" s="283" customFormat="1"/>
    <row r="1784" s="283" customFormat="1"/>
    <row r="1785" s="283" customFormat="1"/>
    <row r="1786" s="283" customFormat="1"/>
    <row r="1787" s="283" customFormat="1"/>
    <row r="1788" s="283" customFormat="1"/>
    <row r="1789" s="283" customFormat="1"/>
    <row r="1790" s="283" customFormat="1"/>
    <row r="1791" s="283" customFormat="1"/>
    <row r="1792" s="283" customFormat="1"/>
    <row r="1793" s="283" customFormat="1"/>
    <row r="1794" s="283" customFormat="1"/>
    <row r="1795" s="283" customFormat="1"/>
    <row r="1796" s="283" customFormat="1"/>
    <row r="1797" s="283" customFormat="1"/>
    <row r="1798" s="283" customFormat="1"/>
    <row r="1799" s="283" customFormat="1"/>
    <row r="1800" s="283" customFormat="1"/>
    <row r="1801" s="283" customFormat="1"/>
    <row r="1802" s="283" customFormat="1"/>
    <row r="1803" s="283" customFormat="1"/>
    <row r="1804" s="283" customFormat="1"/>
    <row r="1805" s="283" customFormat="1"/>
    <row r="1806" s="283" customFormat="1"/>
    <row r="1807" s="283" customFormat="1"/>
    <row r="1808" s="283" customFormat="1"/>
    <row r="1809" s="283" customFormat="1"/>
    <row r="1810" s="283" customFormat="1"/>
    <row r="1811" s="283" customFormat="1"/>
    <row r="1812" s="283" customFormat="1"/>
    <row r="1813" s="283" customFormat="1"/>
    <row r="1814" s="283" customFormat="1"/>
    <row r="1815" s="283" customFormat="1"/>
    <row r="1816" s="283" customFormat="1"/>
    <row r="1817" s="283" customFormat="1"/>
    <row r="1818" s="283" customFormat="1"/>
    <row r="1819" s="283" customFormat="1"/>
    <row r="1820" s="283" customFormat="1"/>
    <row r="1821" s="283" customFormat="1"/>
    <row r="1822" s="283" customFormat="1"/>
    <row r="1823" s="283" customFormat="1"/>
    <row r="1824" s="283" customFormat="1"/>
    <row r="1825" s="283" customFormat="1"/>
    <row r="1826" s="283" customFormat="1"/>
    <row r="1827" s="283" customFormat="1"/>
    <row r="1828" s="283" customFormat="1"/>
    <row r="1829" s="283" customFormat="1"/>
    <row r="1830" s="283" customFormat="1"/>
    <row r="1831" s="283" customFormat="1"/>
    <row r="1832" s="283" customFormat="1"/>
    <row r="1833" s="283" customFormat="1"/>
    <row r="1834" s="283" customFormat="1"/>
    <row r="1835" s="283" customFormat="1"/>
    <row r="1836" s="283" customFormat="1"/>
    <row r="1837" s="283" customFormat="1"/>
    <row r="1838" s="283" customFormat="1"/>
    <row r="1839" s="283" customFormat="1"/>
    <row r="1840" s="283" customFormat="1"/>
    <row r="1841" s="283" customFormat="1"/>
    <row r="1842" s="283" customFormat="1"/>
    <row r="1843" s="283" customFormat="1"/>
    <row r="1844" s="283" customFormat="1"/>
    <row r="1845" s="283" customFormat="1"/>
    <row r="1846" s="283" customFormat="1"/>
    <row r="1847" s="283" customFormat="1"/>
    <row r="1848" s="283" customFormat="1"/>
    <row r="1849" s="283" customFormat="1"/>
    <row r="1850" s="283" customFormat="1"/>
    <row r="1851" s="283" customFormat="1"/>
    <row r="1852" s="283" customFormat="1"/>
    <row r="1853" s="283" customFormat="1"/>
    <row r="1854" s="283" customFormat="1"/>
    <row r="1855" s="283" customFormat="1"/>
    <row r="1856" s="283" customFormat="1"/>
    <row r="1857" s="283" customFormat="1"/>
    <row r="1858" s="283" customFormat="1"/>
    <row r="1859" s="283" customFormat="1"/>
    <row r="1860" s="283" customFormat="1"/>
    <row r="1861" s="283" customFormat="1"/>
    <row r="1862" s="283" customFormat="1"/>
    <row r="1863" s="283" customFormat="1"/>
    <row r="1864" s="283" customFormat="1"/>
    <row r="1865" s="283" customFormat="1"/>
    <row r="1866" s="283" customFormat="1"/>
    <row r="1867" s="283" customFormat="1"/>
    <row r="1868" s="283" customFormat="1"/>
    <row r="1869" s="283" customFormat="1"/>
    <row r="1870" s="283" customFormat="1"/>
    <row r="1871" s="283" customFormat="1"/>
    <row r="1872" s="283" customFormat="1"/>
    <row r="1873" s="283" customFormat="1"/>
    <row r="1874" s="283" customFormat="1"/>
    <row r="1875" s="283" customFormat="1"/>
    <row r="1876" s="283" customFormat="1"/>
    <row r="1877" s="283" customFormat="1"/>
    <row r="1878" s="283" customFormat="1"/>
    <row r="1879" s="283" customFormat="1"/>
    <row r="1880" s="283" customFormat="1"/>
    <row r="1881" s="283" customFormat="1"/>
    <row r="1882" s="283" customFormat="1"/>
    <row r="1883" s="283" customFormat="1"/>
    <row r="1884" s="283" customFormat="1"/>
    <row r="1885" s="283" customFormat="1"/>
    <row r="1886" s="283" customFormat="1"/>
    <row r="1887" s="283" customFormat="1"/>
    <row r="1888" s="283" customFormat="1"/>
    <row r="1889" s="283" customFormat="1"/>
    <row r="1890" s="283" customFormat="1"/>
    <row r="1891" s="283" customFormat="1"/>
    <row r="1892" s="283" customFormat="1"/>
    <row r="1893" s="283" customFormat="1"/>
    <row r="1894" s="283" customFormat="1"/>
    <row r="1895" s="283" customFormat="1"/>
    <row r="1896" s="283" customFormat="1"/>
    <row r="1897" s="283" customFormat="1"/>
    <row r="1898" s="283" customFormat="1"/>
    <row r="1899" s="283" customFormat="1"/>
    <row r="1900" s="283" customFormat="1"/>
    <row r="1901" s="283" customFormat="1"/>
    <row r="1902" s="283" customFormat="1"/>
    <row r="1903" s="283" customFormat="1"/>
    <row r="1904" s="283" customFormat="1"/>
    <row r="1905" s="283" customFormat="1"/>
    <row r="1906" s="283" customFormat="1"/>
    <row r="1907" s="283" customFormat="1"/>
    <row r="1908" s="283" customFormat="1"/>
    <row r="1909" s="283" customFormat="1"/>
    <row r="1910" s="283" customFormat="1"/>
    <row r="1911" s="283" customFormat="1"/>
    <row r="1912" s="283" customFormat="1"/>
    <row r="1913" s="283" customFormat="1"/>
    <row r="1914" s="283" customFormat="1"/>
    <row r="1915" s="283" customFormat="1"/>
    <row r="1916" s="283" customFormat="1"/>
    <row r="1917" s="283" customFormat="1"/>
    <row r="1918" s="283" customFormat="1"/>
    <row r="1919" s="283" customFormat="1"/>
    <row r="1920" s="283" customFormat="1"/>
    <row r="1921" s="283" customFormat="1"/>
    <row r="1922" s="283" customFormat="1"/>
    <row r="1923" s="283" customFormat="1"/>
    <row r="1924" s="283" customFormat="1"/>
    <row r="1925" s="283" customFormat="1"/>
    <row r="1926" s="283" customFormat="1"/>
    <row r="1927" s="283" customFormat="1"/>
    <row r="1928" s="283" customFormat="1"/>
    <row r="1929" s="283" customFormat="1"/>
    <row r="1930" s="283" customFormat="1"/>
    <row r="1931" s="283" customFormat="1"/>
    <row r="1932" s="283" customFormat="1"/>
    <row r="1933" s="283" customFormat="1"/>
    <row r="1934" s="283" customFormat="1"/>
    <row r="1935" s="283" customFormat="1"/>
    <row r="1936" s="283" customFormat="1"/>
    <row r="1937" s="283" customFormat="1"/>
    <row r="1938" s="283" customFormat="1"/>
    <row r="1939" s="283" customFormat="1"/>
    <row r="1940" s="283" customFormat="1"/>
    <row r="1941" s="283" customFormat="1"/>
    <row r="1942" s="283" customFormat="1"/>
    <row r="1943" s="283" customFormat="1"/>
    <row r="1944" s="283" customFormat="1"/>
    <row r="1945" s="283" customFormat="1"/>
    <row r="1946" s="283" customFormat="1"/>
    <row r="1947" s="283" customFormat="1"/>
    <row r="1948" s="283" customFormat="1"/>
    <row r="1949" s="283" customFormat="1"/>
    <row r="1950" s="283" customFormat="1"/>
    <row r="1951" s="283" customFormat="1"/>
    <row r="1952" s="283" customFormat="1"/>
    <row r="1953" s="283" customFormat="1"/>
    <row r="1954" s="283" customFormat="1"/>
    <row r="1955" s="283" customFormat="1"/>
    <row r="1956" s="283" customFormat="1"/>
    <row r="1957" s="283" customFormat="1"/>
    <row r="1958" s="283" customFormat="1"/>
    <row r="1959" s="283" customFormat="1"/>
    <row r="1960" s="283" customFormat="1"/>
    <row r="1961" s="283" customFormat="1"/>
    <row r="1962" s="283" customFormat="1"/>
    <row r="1963" s="283" customFormat="1"/>
    <row r="1964" s="283" customFormat="1"/>
    <row r="1965" s="283" customFormat="1"/>
    <row r="1966" s="283" customFormat="1"/>
    <row r="1967" s="283" customFormat="1"/>
    <row r="1968" s="283" customFormat="1"/>
    <row r="1969" s="283" customFormat="1"/>
    <row r="1970" s="283" customFormat="1"/>
    <row r="1971" s="283" customFormat="1"/>
    <row r="1972" s="283" customFormat="1"/>
    <row r="1973" s="283" customFormat="1"/>
    <row r="1974" s="283" customFormat="1"/>
    <row r="1975" s="283" customFormat="1"/>
    <row r="1976" s="283" customFormat="1"/>
    <row r="1977" s="283" customFormat="1"/>
    <row r="1978" s="283" customFormat="1"/>
    <row r="1979" s="283" customFormat="1"/>
    <row r="1980" s="283" customFormat="1"/>
    <row r="1981" s="283" customFormat="1"/>
    <row r="1982" s="283" customFormat="1"/>
    <row r="1983" s="283" customFormat="1"/>
    <row r="1984" s="283" customFormat="1"/>
    <row r="1985" s="283" customFormat="1"/>
    <row r="1986" s="283" customFormat="1"/>
    <row r="1987" s="283" customFormat="1"/>
    <row r="1988" s="283" customFormat="1"/>
    <row r="1989" s="283" customFormat="1"/>
    <row r="1990" s="283" customFormat="1"/>
    <row r="1991" s="283" customFormat="1"/>
    <row r="1992" s="283" customFormat="1"/>
    <row r="1993" s="283" customFormat="1"/>
    <row r="1994" s="283" customFormat="1"/>
    <row r="1995" s="283" customFormat="1"/>
    <row r="1996" s="283" customFormat="1"/>
    <row r="1997" s="283" customFormat="1"/>
    <row r="1998" s="283" customFormat="1"/>
    <row r="1999" s="283" customFormat="1"/>
    <row r="2000" s="283" customFormat="1"/>
    <row r="2001" s="283" customFormat="1"/>
    <row r="2002" s="283" customFormat="1"/>
    <row r="2003" s="283" customFormat="1"/>
    <row r="2004" s="283" customFormat="1"/>
    <row r="2005" s="283" customFormat="1"/>
    <row r="2006" s="283" customFormat="1"/>
    <row r="2007" s="283" customFormat="1"/>
    <row r="2008" s="283" customFormat="1"/>
    <row r="2009" s="283" customFormat="1"/>
    <row r="2010" s="283" customFormat="1"/>
    <row r="2011" s="283" customFormat="1"/>
    <row r="2012" s="283" customFormat="1"/>
    <row r="2013" s="283" customFormat="1"/>
    <row r="2014" s="283" customFormat="1"/>
    <row r="2015" s="283" customFormat="1"/>
    <row r="2016" s="283" customFormat="1"/>
    <row r="2017" s="283" customFormat="1"/>
    <row r="2018" s="283" customFormat="1"/>
    <row r="2019" s="283" customFormat="1"/>
    <row r="2020" s="283" customFormat="1"/>
    <row r="2021" s="283" customFormat="1"/>
    <row r="2022" s="283" customFormat="1"/>
    <row r="2023" s="283" customFormat="1"/>
    <row r="2024" s="283" customFormat="1"/>
    <row r="2025" s="283" customFormat="1"/>
    <row r="2026" s="283" customFormat="1"/>
    <row r="2027" s="283" customFormat="1"/>
    <row r="2028" s="283" customFormat="1"/>
    <row r="2029" s="283" customFormat="1"/>
    <row r="2030" s="283" customFormat="1"/>
    <row r="2031" s="283" customFormat="1"/>
    <row r="2032" s="283" customFormat="1"/>
    <row r="2033" s="283" customFormat="1"/>
    <row r="2034" s="283" customFormat="1"/>
    <row r="2035" s="283" customFormat="1"/>
    <row r="2036" s="283" customFormat="1"/>
    <row r="2037" s="283" customFormat="1"/>
    <row r="2038" s="283" customFormat="1"/>
    <row r="2039" s="283" customFormat="1"/>
    <row r="2040" s="283" customFormat="1"/>
    <row r="2041" s="283" customFormat="1"/>
    <row r="2042" s="283" customFormat="1"/>
    <row r="2043" s="283" customFormat="1"/>
    <row r="2044" s="283" customFormat="1"/>
    <row r="2045" s="283" customFormat="1"/>
    <row r="2046" s="283" customFormat="1"/>
    <row r="2047" s="283" customFormat="1"/>
    <row r="2048" s="283" customFormat="1"/>
    <row r="2049" s="283" customFormat="1"/>
    <row r="2050" s="283" customFormat="1"/>
    <row r="2051" s="283" customFormat="1"/>
    <row r="2052" s="283" customFormat="1"/>
    <row r="2053" s="283" customFormat="1"/>
    <row r="2054" s="283" customFormat="1"/>
    <row r="2055" s="283" customFormat="1"/>
    <row r="2056" s="283" customFormat="1"/>
    <row r="2057" s="283" customFormat="1"/>
    <row r="2058" s="283" customFormat="1"/>
    <row r="2059" s="283" customFormat="1"/>
    <row r="2060" s="283" customFormat="1"/>
    <row r="2061" s="283" customFormat="1"/>
    <row r="2062" s="283" customFormat="1"/>
    <row r="2063" s="283" customFormat="1"/>
    <row r="2064" s="283" customFormat="1"/>
    <row r="2065" s="283" customFormat="1"/>
    <row r="2066" s="283" customFormat="1"/>
    <row r="2067" s="283" customFormat="1"/>
    <row r="2068" s="283" customFormat="1"/>
    <row r="2069" s="283" customFormat="1"/>
    <row r="2070" s="283" customFormat="1"/>
    <row r="2071" s="283" customFormat="1"/>
    <row r="2072" s="283" customFormat="1"/>
    <row r="2073" s="283" customFormat="1"/>
    <row r="2074" s="283" customFormat="1"/>
    <row r="2075" s="283" customFormat="1"/>
    <row r="2076" s="283" customFormat="1"/>
    <row r="2077" s="283" customFormat="1"/>
    <row r="2078" s="283" customFormat="1"/>
    <row r="2079" s="283" customFormat="1"/>
    <row r="2080" s="283" customFormat="1"/>
    <row r="2081" s="283" customFormat="1"/>
    <row r="2082" s="283" customFormat="1"/>
    <row r="2083" s="283" customFormat="1"/>
    <row r="2084" s="283" customFormat="1"/>
    <row r="2085" s="283" customFormat="1"/>
    <row r="2086" s="283" customFormat="1"/>
    <row r="2087" s="283" customFormat="1"/>
    <row r="2088" s="283" customFormat="1"/>
    <row r="2089" s="283" customFormat="1"/>
    <row r="2090" s="283" customFormat="1"/>
    <row r="2091" s="283" customFormat="1"/>
    <row r="2092" s="283" customFormat="1"/>
    <row r="2093" s="283" customFormat="1"/>
    <row r="2094" s="283" customFormat="1"/>
    <row r="2095" s="283" customFormat="1"/>
    <row r="2096" s="283" customFormat="1"/>
    <row r="2097" s="283" customFormat="1"/>
    <row r="2098" s="283" customFormat="1"/>
    <row r="2099" s="283" customFormat="1"/>
    <row r="2100" s="283" customFormat="1"/>
    <row r="2101" s="283" customFormat="1"/>
    <row r="2102" s="283" customFormat="1"/>
    <row r="2103" s="283" customFormat="1"/>
    <row r="2104" s="283" customFormat="1"/>
    <row r="2105" s="283" customFormat="1"/>
    <row r="2106" s="283" customFormat="1"/>
    <row r="2107" s="283" customFormat="1"/>
    <row r="2108" s="283" customFormat="1"/>
    <row r="2109" s="283" customFormat="1"/>
    <row r="2110" s="283" customFormat="1"/>
    <row r="2111" s="283" customFormat="1"/>
    <row r="2112" s="283" customFormat="1"/>
    <row r="2113" s="283" customFormat="1"/>
    <row r="2114" s="283" customFormat="1"/>
    <row r="2115" s="283" customFormat="1"/>
    <row r="2116" s="283" customFormat="1"/>
    <row r="2117" s="283" customFormat="1"/>
    <row r="2118" s="283" customFormat="1"/>
    <row r="2119" s="283" customFormat="1"/>
    <row r="2120" s="283" customFormat="1"/>
    <row r="2121" s="283" customFormat="1"/>
    <row r="2122" s="283" customFormat="1"/>
    <row r="2123" s="283" customFormat="1"/>
    <row r="2124" s="283" customFormat="1"/>
    <row r="2125" s="283" customFormat="1"/>
    <row r="2126" s="283" customFormat="1"/>
    <row r="2127" s="283" customFormat="1"/>
    <row r="2128" s="283" customFormat="1"/>
    <row r="2129" s="283" customFormat="1"/>
    <row r="2130" s="283" customFormat="1"/>
    <row r="2131" s="283" customFormat="1"/>
    <row r="2132" s="283" customFormat="1"/>
    <row r="2133" s="283" customFormat="1"/>
    <row r="2134" s="283" customFormat="1"/>
    <row r="2135" s="283" customFormat="1"/>
    <row r="2136" s="283" customFormat="1"/>
    <row r="2137" s="283" customFormat="1"/>
    <row r="2138" s="283" customFormat="1"/>
    <row r="2139" s="283" customFormat="1"/>
    <row r="2140" s="283" customFormat="1"/>
    <row r="2141" s="283" customFormat="1"/>
    <row r="2142" s="283" customFormat="1"/>
    <row r="2143" s="283" customFormat="1"/>
    <row r="2144" s="283" customFormat="1"/>
    <row r="2145" s="283" customFormat="1"/>
    <row r="2146" s="283" customFormat="1"/>
    <row r="2147" s="283" customFormat="1"/>
    <row r="2148" s="283" customFormat="1"/>
    <row r="2149" s="283" customFormat="1"/>
    <row r="2150" s="283" customFormat="1"/>
    <row r="2151" s="283" customFormat="1"/>
    <row r="2152" s="283" customFormat="1"/>
    <row r="2153" s="283" customFormat="1"/>
    <row r="2154" s="283" customFormat="1"/>
    <row r="2155" s="283" customFormat="1"/>
    <row r="2156" s="283" customFormat="1"/>
    <row r="2157" s="283" customFormat="1"/>
    <row r="2158" s="283" customFormat="1"/>
    <row r="2159" s="283" customFormat="1"/>
    <row r="2160" s="283" customFormat="1"/>
    <row r="2161" s="283" customFormat="1"/>
    <row r="2162" s="283" customFormat="1"/>
    <row r="2163" s="283" customFormat="1"/>
    <row r="2164" s="283" customFormat="1"/>
    <row r="2165" s="283" customFormat="1"/>
    <row r="2166" s="283" customFormat="1"/>
    <row r="2167" s="283" customFormat="1"/>
    <row r="2168" s="283" customFormat="1"/>
    <row r="2169" s="283" customFormat="1"/>
    <row r="2170" s="283" customFormat="1"/>
    <row r="2171" s="283" customFormat="1"/>
    <row r="2172" s="283" customFormat="1"/>
    <row r="2173" s="283" customFormat="1"/>
    <row r="2174" s="283" customFormat="1"/>
    <row r="2175" s="283" customFormat="1"/>
    <row r="2176" s="283" customFormat="1"/>
    <row r="2177" s="283" customFormat="1"/>
    <row r="2178" s="283" customFormat="1"/>
    <row r="2179" s="283" customFormat="1"/>
    <row r="2180" s="283" customFormat="1"/>
    <row r="2181" s="283" customFormat="1"/>
    <row r="2182" s="283" customFormat="1"/>
    <row r="2183" s="283" customFormat="1"/>
    <row r="2184" s="283" customFormat="1"/>
    <row r="2185" s="283" customFormat="1"/>
    <row r="2186" s="283" customFormat="1"/>
    <row r="2187" s="283" customFormat="1"/>
    <row r="2188" s="283" customFormat="1"/>
    <row r="2189" s="283" customFormat="1"/>
    <row r="2190" s="283" customFormat="1"/>
    <row r="2191" s="283" customFormat="1"/>
    <row r="2192" s="283" customFormat="1"/>
    <row r="2193" s="283" customFormat="1"/>
    <row r="2194" s="283" customFormat="1"/>
    <row r="2195" s="283" customFormat="1"/>
    <row r="2196" s="283" customFormat="1"/>
    <row r="2197" s="283" customFormat="1"/>
    <row r="2198" s="283" customFormat="1"/>
    <row r="2199" s="283" customFormat="1"/>
    <row r="2200" s="283" customFormat="1"/>
    <row r="2201" s="283" customFormat="1"/>
    <row r="2202" s="283" customFormat="1"/>
    <row r="2203" s="283" customFormat="1"/>
    <row r="2204" s="283" customFormat="1"/>
    <row r="2205" s="283" customFormat="1"/>
    <row r="2206" s="283" customFormat="1"/>
    <row r="2207" s="283" customFormat="1"/>
    <row r="2208" s="283" customFormat="1"/>
    <row r="2209" s="283" customFormat="1"/>
    <row r="2210" s="283" customFormat="1"/>
    <row r="2211" s="283" customFormat="1"/>
    <row r="2212" s="283" customFormat="1"/>
    <row r="2213" s="283" customFormat="1"/>
    <row r="2214" s="283" customFormat="1"/>
    <row r="2215" s="283" customFormat="1"/>
    <row r="2216" s="283" customFormat="1"/>
    <row r="2217" s="283" customFormat="1"/>
    <row r="2218" s="283" customFormat="1"/>
    <row r="2219" s="283" customFormat="1"/>
    <row r="2220" s="283" customFormat="1"/>
    <row r="2221" s="283" customFormat="1"/>
    <row r="2222" s="283" customFormat="1"/>
    <row r="2223" s="283" customFormat="1"/>
    <row r="2224" s="283" customFormat="1"/>
    <row r="2225" s="283" customFormat="1"/>
    <row r="2226" s="283" customFormat="1"/>
    <row r="2227" s="283" customFormat="1"/>
    <row r="2228" s="283" customFormat="1"/>
    <row r="2229" s="283" customFormat="1"/>
    <row r="2230" s="283" customFormat="1"/>
    <row r="2231" s="283" customFormat="1"/>
    <row r="2232" s="283" customFormat="1"/>
    <row r="2233" s="283" customFormat="1"/>
    <row r="2234" s="283" customFormat="1"/>
    <row r="2235" s="283" customFormat="1"/>
    <row r="2236" s="283" customFormat="1"/>
    <row r="2237" s="283" customFormat="1"/>
    <row r="2238" s="283" customFormat="1"/>
    <row r="2239" s="283" customFormat="1"/>
    <row r="2240" s="283" customFormat="1"/>
    <row r="2241" s="283" customFormat="1"/>
    <row r="2242" s="283" customFormat="1"/>
    <row r="2243" s="283" customFormat="1"/>
    <row r="2244" s="283" customFormat="1"/>
    <row r="2245" s="283" customFormat="1"/>
    <row r="2246" s="283" customFormat="1"/>
    <row r="2247" s="283" customFormat="1"/>
    <row r="2248" s="283" customFormat="1"/>
    <row r="2249" s="283" customFormat="1"/>
    <row r="2250" s="283" customFormat="1"/>
    <row r="2251" s="283" customFormat="1"/>
    <row r="2252" s="283" customFormat="1"/>
    <row r="2253" s="283" customFormat="1"/>
    <row r="2254" s="283" customFormat="1"/>
    <row r="2255" s="283" customFormat="1"/>
    <row r="2256" s="283" customFormat="1"/>
    <row r="2257" s="283" customFormat="1"/>
    <row r="2258" s="283" customFormat="1"/>
    <row r="2259" s="283" customFormat="1"/>
    <row r="2260" s="283" customFormat="1"/>
    <row r="2261" s="283" customFormat="1"/>
    <row r="2262" s="283" customFormat="1"/>
    <row r="2263" s="283" customFormat="1"/>
    <row r="2264" s="283" customFormat="1"/>
    <row r="2265" s="283" customFormat="1"/>
    <row r="2266" s="283" customFormat="1"/>
    <row r="2267" s="283" customFormat="1"/>
    <row r="2268" s="283" customFormat="1"/>
    <row r="2269" s="283" customFormat="1"/>
    <row r="2270" s="283" customFormat="1"/>
    <row r="2271" s="283" customFormat="1"/>
    <row r="2272" s="283" customFormat="1"/>
    <row r="2273" s="283" customFormat="1"/>
    <row r="2274" s="283" customFormat="1"/>
    <row r="2275" s="283" customFormat="1"/>
    <row r="2276" s="283" customFormat="1"/>
    <row r="2277" s="283" customFormat="1"/>
    <row r="2278" s="283" customFormat="1"/>
    <row r="2279" s="283" customFormat="1"/>
    <row r="2280" s="283" customFormat="1"/>
    <row r="2281" s="283" customFormat="1"/>
    <row r="2282" s="283" customFormat="1"/>
    <row r="2283" s="283" customFormat="1"/>
    <row r="2284" s="283" customFormat="1"/>
    <row r="2285" s="283" customFormat="1"/>
    <row r="2286" s="283" customFormat="1"/>
    <row r="2287" s="283" customFormat="1"/>
    <row r="2288" s="283" customFormat="1"/>
    <row r="2289" s="283" customFormat="1"/>
    <row r="2290" s="283" customFormat="1"/>
    <row r="2291" s="283" customFormat="1"/>
    <row r="2292" s="283" customFormat="1"/>
    <row r="2293" s="283" customFormat="1"/>
    <row r="2294" s="283" customFormat="1"/>
    <row r="2295" s="283" customFormat="1"/>
    <row r="2296" s="283" customFormat="1"/>
    <row r="2297" s="283" customFormat="1"/>
    <row r="2298" s="283" customFormat="1"/>
    <row r="2299" s="283" customFormat="1"/>
    <row r="2300" s="283" customFormat="1"/>
    <row r="2301" s="283" customFormat="1"/>
    <row r="2302" s="283" customFormat="1"/>
    <row r="2303" s="283" customFormat="1"/>
    <row r="2304" s="283" customFormat="1"/>
    <row r="2305" s="283" customFormat="1"/>
    <row r="2306" s="283" customFormat="1"/>
    <row r="2307" s="283" customFormat="1"/>
    <row r="2308" s="283" customFormat="1"/>
    <row r="2309" s="283" customFormat="1"/>
    <row r="2310" s="283" customFormat="1"/>
    <row r="2311" s="283" customFormat="1"/>
    <row r="2312" s="283" customFormat="1"/>
    <row r="2313" s="283" customFormat="1"/>
    <row r="2314" s="283" customFormat="1"/>
    <row r="2315" s="283" customFormat="1"/>
    <row r="2316" s="283" customFormat="1"/>
    <row r="2317" s="283" customFormat="1"/>
    <row r="2318" s="283" customFormat="1"/>
    <row r="2319" s="283" customFormat="1"/>
    <row r="2320" s="283" customFormat="1"/>
    <row r="2321" s="283" customFormat="1"/>
    <row r="2322" s="283" customFormat="1"/>
    <row r="2323" s="283" customFormat="1"/>
    <row r="2324" s="283" customFormat="1"/>
    <row r="2325" s="283" customFormat="1"/>
    <row r="2326" s="283" customFormat="1"/>
    <row r="2327" s="283" customFormat="1"/>
    <row r="2328" s="283" customFormat="1"/>
    <row r="2329" s="283" customFormat="1"/>
    <row r="2330" s="283" customFormat="1"/>
    <row r="2331" s="283" customFormat="1"/>
    <row r="2332" s="283" customFormat="1"/>
    <row r="2333" s="283" customFormat="1"/>
    <row r="2334" s="283" customFormat="1"/>
    <row r="2335" s="283" customFormat="1"/>
    <row r="2336" s="283" customFormat="1"/>
    <row r="2337" s="283" customFormat="1"/>
    <row r="2338" s="283" customFormat="1"/>
    <row r="2339" s="283" customFormat="1"/>
    <row r="2340" s="283" customFormat="1"/>
    <row r="2341" s="283" customFormat="1"/>
    <row r="2342" s="283" customFormat="1"/>
    <row r="2343" s="283" customFormat="1"/>
    <row r="2344" s="283" customFormat="1"/>
    <row r="2345" s="283" customFormat="1"/>
    <row r="2346" s="283" customFormat="1"/>
    <row r="2347" s="283" customFormat="1"/>
    <row r="2348" s="283" customFormat="1"/>
    <row r="2349" s="283" customFormat="1"/>
    <row r="2350" s="283" customFormat="1"/>
    <row r="2351" s="283" customFormat="1"/>
    <row r="2352" s="283" customFormat="1"/>
    <row r="2353" s="283" customFormat="1"/>
    <row r="2354" s="283" customFormat="1"/>
    <row r="2355" s="283" customFormat="1"/>
    <row r="2356" s="283" customFormat="1"/>
    <row r="2357" s="283" customFormat="1"/>
    <row r="2358" s="283" customFormat="1"/>
    <row r="2359" s="283" customFormat="1"/>
    <row r="2360" s="283" customFormat="1"/>
    <row r="2361" s="283" customFormat="1"/>
    <row r="2362" s="283" customFormat="1"/>
    <row r="2363" s="283" customFormat="1"/>
    <row r="2364" s="283" customFormat="1"/>
    <row r="2365" s="283" customFormat="1"/>
    <row r="2366" s="283" customFormat="1"/>
    <row r="2367" s="283" customFormat="1"/>
    <row r="2368" s="283" customFormat="1"/>
    <row r="2369" s="283" customFormat="1"/>
    <row r="2370" s="283" customFormat="1"/>
    <row r="2371" s="283" customFormat="1"/>
    <row r="2372" s="283" customFormat="1"/>
    <row r="2373" s="283" customFormat="1"/>
    <row r="2374" s="283" customFormat="1"/>
    <row r="2375" s="283" customFormat="1"/>
    <row r="2376" s="283" customFormat="1"/>
    <row r="2377" s="283" customFormat="1"/>
    <row r="2378" s="283" customFormat="1"/>
    <row r="2379" s="283" customFormat="1"/>
    <row r="2380" s="283" customFormat="1"/>
    <row r="2381" s="283" customFormat="1"/>
    <row r="2382" s="283" customFormat="1"/>
    <row r="2383" s="283" customFormat="1"/>
    <row r="2384" s="283" customFormat="1"/>
    <row r="2385" s="283" customFormat="1"/>
    <row r="2386" s="283" customFormat="1"/>
    <row r="2387" s="283" customFormat="1"/>
    <row r="2388" s="283" customFormat="1"/>
    <row r="2389" s="283" customFormat="1"/>
    <row r="2390" s="283" customFormat="1"/>
    <row r="2391" s="283" customFormat="1"/>
    <row r="2392" s="283" customFormat="1"/>
    <row r="2393" s="283" customFormat="1"/>
    <row r="2394" s="283" customFormat="1"/>
    <row r="2395" s="283" customFormat="1"/>
    <row r="2396" s="283" customFormat="1"/>
    <row r="2397" s="283" customFormat="1"/>
    <row r="2398" s="283" customFormat="1"/>
    <row r="2399" s="283" customFormat="1"/>
    <row r="2400" s="283" customFormat="1"/>
    <row r="2401" s="283" customFormat="1"/>
    <row r="2402" s="283" customFormat="1"/>
    <row r="2403" s="283" customFormat="1"/>
    <row r="2404" s="283" customFormat="1"/>
    <row r="2405" s="283" customFormat="1"/>
    <row r="2406" s="283" customFormat="1"/>
    <row r="2407" s="283" customFormat="1"/>
    <row r="2408" s="283" customFormat="1"/>
    <row r="2409" s="283" customFormat="1"/>
    <row r="2410" s="283" customFormat="1"/>
    <row r="2411" s="283" customFormat="1"/>
    <row r="2412" s="283" customFormat="1"/>
    <row r="2413" s="283" customFormat="1"/>
    <row r="2414" s="283" customFormat="1"/>
    <row r="2415" s="283" customFormat="1"/>
    <row r="2416" s="283" customFormat="1"/>
    <row r="2417" s="283" customFormat="1"/>
    <row r="2418" s="283" customFormat="1"/>
    <row r="2419" s="283" customFormat="1"/>
    <row r="2420" s="283" customFormat="1"/>
    <row r="2421" s="283" customFormat="1"/>
    <row r="2422" s="283" customFormat="1"/>
    <row r="2423" s="283" customFormat="1"/>
    <row r="2424" s="283" customFormat="1"/>
    <row r="2425" s="283" customFormat="1"/>
    <row r="2426" s="283" customFormat="1"/>
    <row r="2427" s="283" customFormat="1"/>
    <row r="2428" s="283" customFormat="1"/>
    <row r="2429" s="283" customFormat="1"/>
    <row r="2430" s="283" customFormat="1"/>
    <row r="2431" s="283" customFormat="1"/>
    <row r="2432" s="283" customFormat="1"/>
    <row r="2433" s="283" customFormat="1"/>
    <row r="2434" s="283" customFormat="1"/>
    <row r="2435" s="283" customFormat="1"/>
    <row r="2436" s="283" customFormat="1"/>
    <row r="2437" s="283" customFormat="1"/>
    <row r="2438" s="283" customFormat="1"/>
    <row r="2439" s="283" customFormat="1"/>
    <row r="2440" s="283" customFormat="1"/>
    <row r="2441" s="283" customFormat="1"/>
    <row r="2442" s="283" customFormat="1"/>
    <row r="2443" s="283" customFormat="1"/>
    <row r="2444" s="283" customFormat="1"/>
    <row r="2445" s="283" customFormat="1"/>
    <row r="2446" s="283" customFormat="1"/>
    <row r="2447" s="283" customFormat="1"/>
    <row r="2448" s="283" customFormat="1"/>
    <row r="2449" s="283" customFormat="1"/>
    <row r="2450" s="283" customFormat="1"/>
    <row r="2451" s="283" customFormat="1"/>
    <row r="2452" s="283" customFormat="1"/>
    <row r="2453" s="283" customFormat="1"/>
    <row r="2454" s="283" customFormat="1"/>
    <row r="2455" s="283" customFormat="1"/>
    <row r="2456" s="283" customFormat="1"/>
    <row r="2457" s="283" customFormat="1"/>
    <row r="2458" s="283" customFormat="1"/>
    <row r="2459" s="283" customFormat="1"/>
    <row r="2460" s="283" customFormat="1"/>
    <row r="2461" s="283" customFormat="1"/>
    <row r="2462" s="283" customFormat="1"/>
    <row r="2463" s="283" customFormat="1"/>
    <row r="2464" s="283" customFormat="1"/>
    <row r="2465" s="283" customFormat="1"/>
    <row r="2466" s="283" customFormat="1"/>
    <row r="2467" s="283" customFormat="1"/>
    <row r="2468" s="283" customFormat="1"/>
    <row r="2469" s="283" customFormat="1"/>
    <row r="2470" s="283" customFormat="1"/>
    <row r="2471" s="283" customFormat="1"/>
    <row r="2472" s="283" customFormat="1"/>
    <row r="2473" s="283" customFormat="1"/>
    <row r="2474" s="283" customFormat="1"/>
    <row r="2475" s="283" customFormat="1"/>
    <row r="2476" s="283" customFormat="1"/>
    <row r="2477" s="283" customFormat="1"/>
    <row r="2478" s="283" customFormat="1"/>
    <row r="2479" s="283" customFormat="1"/>
    <row r="2480" s="283" customFormat="1"/>
    <row r="2481" s="283" customFormat="1"/>
    <row r="2482" s="283" customFormat="1"/>
    <row r="2483" s="283" customFormat="1"/>
    <row r="2484" s="283" customFormat="1"/>
    <row r="2485" s="283" customFormat="1"/>
    <row r="2486" s="283" customFormat="1"/>
    <row r="2487" s="283" customFormat="1"/>
    <row r="2488" s="283" customFormat="1"/>
    <row r="2489" s="283" customFormat="1"/>
    <row r="2490" s="283" customFormat="1"/>
    <row r="2491" s="283" customFormat="1"/>
    <row r="2492" s="283" customFormat="1"/>
    <row r="2493" s="283" customFormat="1"/>
    <row r="2494" s="283" customFormat="1"/>
    <row r="2495" s="283" customFormat="1"/>
    <row r="2496" s="283" customFormat="1"/>
    <row r="2497" s="283" customFormat="1"/>
    <row r="2498" s="283" customFormat="1"/>
    <row r="2499" s="283" customFormat="1"/>
    <row r="2500" s="283" customFormat="1"/>
    <row r="2501" s="283" customFormat="1"/>
    <row r="2502" s="283" customFormat="1"/>
    <row r="2503" s="283" customFormat="1"/>
    <row r="2504" s="283" customFormat="1"/>
    <row r="2505" s="283" customFormat="1"/>
    <row r="2506" s="283" customFormat="1"/>
    <row r="2507" s="283" customFormat="1"/>
    <row r="2508" s="283" customFormat="1"/>
    <row r="2509" s="283" customFormat="1"/>
    <row r="2510" s="283" customFormat="1"/>
    <row r="2511" s="283" customFormat="1"/>
    <row r="2512" s="283" customFormat="1"/>
    <row r="2513" s="283" customFormat="1"/>
    <row r="2514" s="283" customFormat="1"/>
    <row r="2515" s="283" customFormat="1"/>
    <row r="2516" s="283" customFormat="1"/>
    <row r="2517" s="283" customFormat="1"/>
    <row r="2518" s="283" customFormat="1"/>
    <row r="2519" s="283" customFormat="1"/>
    <row r="2520" s="283" customFormat="1"/>
    <row r="2521" s="283" customFormat="1"/>
    <row r="2522" s="283" customFormat="1"/>
    <row r="2523" s="283" customFormat="1"/>
    <row r="2524" s="283" customFormat="1"/>
    <row r="2525" s="283" customFormat="1"/>
    <row r="2526" s="283" customFormat="1"/>
    <row r="2527" s="283" customFormat="1"/>
    <row r="2528" s="283" customFormat="1"/>
    <row r="2529" s="283" customFormat="1"/>
    <row r="2530" s="283" customFormat="1"/>
    <row r="2531" s="283" customFormat="1"/>
    <row r="2532" s="283" customFormat="1"/>
    <row r="2533" s="283" customFormat="1"/>
    <row r="2534" s="283" customFormat="1"/>
    <row r="2535" s="283" customFormat="1"/>
    <row r="2536" s="283" customFormat="1"/>
    <row r="2537" s="283" customFormat="1"/>
    <row r="2538" s="283" customFormat="1"/>
    <row r="2539" s="283" customFormat="1"/>
    <row r="2540" s="283" customFormat="1"/>
    <row r="2541" s="283" customFormat="1"/>
    <row r="2542" s="283" customFormat="1"/>
    <row r="2543" s="283" customFormat="1"/>
    <row r="2544" s="283" customFormat="1"/>
    <row r="2545" s="283" customFormat="1"/>
    <row r="2546" s="283" customFormat="1"/>
    <row r="2547" s="283" customFormat="1"/>
    <row r="2548" s="283" customFormat="1"/>
    <row r="2549" s="283" customFormat="1"/>
    <row r="2550" s="283" customFormat="1"/>
    <row r="2551" s="283" customFormat="1"/>
    <row r="2552" s="283" customFormat="1"/>
    <row r="2553" s="283" customFormat="1"/>
    <row r="2554" s="283" customFormat="1"/>
    <row r="2555" s="283" customFormat="1"/>
    <row r="2556" s="283" customFormat="1"/>
    <row r="2557" s="283" customFormat="1"/>
    <row r="2558" s="283" customFormat="1"/>
    <row r="2559" s="283" customFormat="1"/>
    <row r="2560" s="283" customFormat="1"/>
    <row r="2561" s="283" customFormat="1"/>
    <row r="2562" s="283" customFormat="1"/>
    <row r="2563" s="283" customFormat="1"/>
    <row r="2564" s="283" customFormat="1"/>
    <row r="2565" s="283" customFormat="1"/>
    <row r="2566" s="283" customFormat="1"/>
    <row r="2567" s="283" customFormat="1"/>
    <row r="2568" s="283" customFormat="1"/>
    <row r="2569" s="283" customFormat="1"/>
    <row r="2570" s="283" customFormat="1"/>
    <row r="2571" s="283" customFormat="1"/>
    <row r="2572" s="283" customFormat="1"/>
    <row r="2573" s="283" customFormat="1"/>
    <row r="2574" s="283" customFormat="1"/>
    <row r="2575" s="283" customFormat="1"/>
    <row r="2576" s="283" customFormat="1"/>
    <row r="2577" s="283" customFormat="1"/>
    <row r="2578" s="283" customFormat="1"/>
    <row r="2579" s="283" customFormat="1"/>
    <row r="2580" s="283" customFormat="1"/>
    <row r="2581" s="283" customFormat="1"/>
    <row r="2582" s="283" customFormat="1"/>
    <row r="2583" s="283" customFormat="1"/>
    <row r="2584" s="283" customFormat="1"/>
    <row r="2585" s="283" customFormat="1"/>
    <row r="2586" s="283" customFormat="1"/>
    <row r="2587" s="283" customFormat="1"/>
    <row r="2588" s="283" customFormat="1"/>
    <row r="2589" s="283" customFormat="1"/>
    <row r="2590" s="283" customFormat="1"/>
    <row r="2591" s="283" customFormat="1"/>
    <row r="2592" s="283" customFormat="1"/>
    <row r="2593" s="283" customFormat="1"/>
    <row r="2594" s="283" customFormat="1"/>
    <row r="2595" s="283" customFormat="1"/>
    <row r="2596" s="283" customFormat="1"/>
    <row r="2597" s="283" customFormat="1"/>
    <row r="2598" s="283" customFormat="1"/>
    <row r="2599" s="283" customFormat="1"/>
    <row r="2600" s="283" customFormat="1"/>
    <row r="2601" s="283" customFormat="1"/>
    <row r="2602" s="283" customFormat="1"/>
    <row r="2603" s="283" customFormat="1"/>
    <row r="2604" s="283" customFormat="1"/>
    <row r="2605" s="283" customFormat="1"/>
    <row r="2606" s="283" customFormat="1"/>
    <row r="2607" s="283" customFormat="1"/>
    <row r="2608" s="283" customFormat="1"/>
    <row r="2609" s="283" customFormat="1"/>
    <row r="2610" s="283" customFormat="1"/>
    <row r="2611" s="283" customFormat="1"/>
    <row r="2612" s="283" customFormat="1"/>
    <row r="2613" s="283" customFormat="1"/>
    <row r="2614" s="283" customFormat="1"/>
    <row r="2615" s="283" customFormat="1"/>
    <row r="2616" s="283" customFormat="1"/>
    <row r="2617" s="283" customFormat="1"/>
    <row r="2618" s="283" customFormat="1"/>
    <row r="2619" s="283" customFormat="1"/>
    <row r="2620" s="283" customFormat="1"/>
    <row r="2621" s="283" customFormat="1"/>
    <row r="2622" s="283" customFormat="1"/>
    <row r="2623" s="283" customFormat="1"/>
    <row r="2624" s="283" customFormat="1"/>
    <row r="2625" s="283" customFormat="1"/>
    <row r="2626" s="283" customFormat="1"/>
    <row r="2627" s="283" customFormat="1"/>
    <row r="2628" s="283" customFormat="1"/>
    <row r="2629" s="283" customFormat="1"/>
    <row r="2630" s="283" customFormat="1"/>
    <row r="2631" s="283" customFormat="1"/>
    <row r="2632" s="283" customFormat="1"/>
    <row r="2633" s="283" customFormat="1"/>
    <row r="2634" s="283" customFormat="1"/>
    <row r="2635" s="283" customFormat="1"/>
    <row r="2636" s="283" customFormat="1"/>
    <row r="2637" s="283" customFormat="1"/>
    <row r="2638" s="283" customFormat="1"/>
    <row r="2639" s="283" customFormat="1"/>
    <row r="2640" s="283" customFormat="1"/>
    <row r="2641" s="283" customFormat="1"/>
    <row r="2642" s="283" customFormat="1"/>
    <row r="2643" s="283" customFormat="1"/>
    <row r="2644" s="283" customFormat="1"/>
    <row r="2645" s="283" customFormat="1"/>
    <row r="2646" s="283" customFormat="1"/>
    <row r="2647" s="283" customFormat="1"/>
    <row r="2648" s="283" customFormat="1"/>
    <row r="2649" s="283" customFormat="1"/>
    <row r="2650" s="283" customFormat="1"/>
    <row r="2651" s="283" customFormat="1"/>
    <row r="2652" s="283" customFormat="1"/>
    <row r="2653" s="283" customFormat="1"/>
    <row r="2654" s="283" customFormat="1"/>
    <row r="2655" s="283" customFormat="1"/>
    <row r="2656" s="283" customFormat="1"/>
    <row r="2657" s="283" customFormat="1"/>
    <row r="2658" s="283" customFormat="1"/>
    <row r="2659" s="283" customFormat="1"/>
    <row r="2660" s="283" customFormat="1"/>
    <row r="2661" s="283" customFormat="1"/>
    <row r="2662" s="283" customFormat="1"/>
    <row r="2663" s="283" customFormat="1"/>
    <row r="2664" s="283" customFormat="1"/>
    <row r="2665" s="283" customFormat="1"/>
    <row r="2666" s="283" customFormat="1"/>
    <row r="2667" s="283" customFormat="1"/>
    <row r="2668" s="283" customFormat="1"/>
    <row r="2669" s="283" customFormat="1"/>
    <row r="2670" s="283" customFormat="1"/>
    <row r="2671" s="283" customFormat="1"/>
    <row r="2672" s="283" customFormat="1"/>
    <row r="2673" s="283" customFormat="1"/>
    <row r="2674" s="283" customFormat="1"/>
    <row r="2675" s="283" customFormat="1"/>
    <row r="2676" s="283" customFormat="1"/>
    <row r="2677" s="283" customFormat="1"/>
    <row r="2678" s="283" customFormat="1"/>
    <row r="2679" s="283" customFormat="1"/>
    <row r="2680" s="283" customFormat="1"/>
    <row r="2681" s="283" customFormat="1"/>
    <row r="2682" s="283" customFormat="1"/>
    <row r="2683" s="283" customFormat="1"/>
    <row r="2684" s="283" customFormat="1"/>
    <row r="2685" s="283" customFormat="1"/>
    <row r="2686" s="283" customFormat="1"/>
    <row r="2687" s="283" customFormat="1"/>
    <row r="2688" s="283" customFormat="1"/>
    <row r="2689" s="283" customFormat="1"/>
    <row r="2690" s="283" customFormat="1"/>
    <row r="2691" s="283" customFormat="1"/>
    <row r="2692" s="283" customFormat="1"/>
    <row r="2693" s="283" customFormat="1"/>
    <row r="2694" s="283" customFormat="1"/>
    <row r="2695" s="283" customFormat="1"/>
    <row r="2696" s="283" customFormat="1"/>
    <row r="2697" s="283" customFormat="1"/>
    <row r="2698" s="283" customFormat="1"/>
    <row r="2699" s="283" customFormat="1"/>
    <row r="2700" s="283" customFormat="1"/>
    <row r="2701" s="283" customFormat="1"/>
    <row r="2702" s="283" customFormat="1"/>
    <row r="2703" s="283" customFormat="1"/>
    <row r="2704" s="283" customFormat="1"/>
    <row r="2705" s="283" customFormat="1"/>
    <row r="2706" s="283" customFormat="1"/>
    <row r="2707" s="283" customFormat="1"/>
    <row r="2708" s="283" customFormat="1"/>
    <row r="2709" s="283" customFormat="1"/>
    <row r="2710" s="283" customFormat="1"/>
    <row r="2711" s="283" customFormat="1"/>
    <row r="2712" s="283" customFormat="1"/>
    <row r="2713" s="283" customFormat="1"/>
    <row r="2714" s="283" customFormat="1"/>
    <row r="2715" s="283" customFormat="1"/>
    <row r="2716" s="283" customFormat="1"/>
    <row r="2717" s="283" customFormat="1"/>
    <row r="2718" s="283" customFormat="1"/>
    <row r="2719" s="283" customFormat="1"/>
    <row r="2720" s="283" customFormat="1"/>
    <row r="2721" s="283" customFormat="1"/>
    <row r="2722" s="283" customFormat="1"/>
    <row r="2723" s="283" customFormat="1"/>
    <row r="2724" s="283" customFormat="1"/>
    <row r="2725" s="283" customFormat="1"/>
    <row r="2726" s="283" customFormat="1"/>
    <row r="2727" s="283" customFormat="1"/>
    <row r="2728" s="283" customFormat="1"/>
    <row r="2729" s="283" customFormat="1"/>
    <row r="2730" s="283" customFormat="1"/>
    <row r="2731" s="283" customFormat="1"/>
    <row r="2732" s="283" customFormat="1"/>
    <row r="2733" s="283" customFormat="1"/>
    <row r="2734" s="283" customFormat="1"/>
    <row r="2735" s="283" customFormat="1"/>
    <row r="2736" s="283" customFormat="1"/>
    <row r="2737" s="283" customFormat="1"/>
    <row r="2738" s="283" customFormat="1"/>
    <row r="2739" s="283" customFormat="1"/>
    <row r="2740" s="283" customFormat="1"/>
    <row r="2741" s="283" customFormat="1"/>
    <row r="2742" s="283" customFormat="1"/>
    <row r="2743" s="283" customFormat="1"/>
    <row r="2744" s="283" customFormat="1"/>
    <row r="2745" s="283" customFormat="1"/>
    <row r="2746" s="283" customFormat="1"/>
    <row r="2747" s="283" customFormat="1"/>
    <row r="2748" s="283" customFormat="1"/>
    <row r="2749" s="283" customFormat="1"/>
    <row r="2750" s="283" customFormat="1"/>
    <row r="2751" s="283" customFormat="1"/>
    <row r="2752" s="283" customFormat="1"/>
    <row r="2753" s="283" customFormat="1"/>
    <row r="2754" s="283" customFormat="1"/>
    <row r="2755" s="283" customFormat="1"/>
    <row r="2756" s="283" customFormat="1"/>
    <row r="2757" s="283" customFormat="1"/>
    <row r="2758" s="283" customFormat="1"/>
    <row r="2759" s="283" customFormat="1"/>
    <row r="2760" s="283" customFormat="1"/>
    <row r="2761" s="283" customFormat="1"/>
    <row r="2762" s="283" customFormat="1"/>
    <row r="2763" s="283" customFormat="1"/>
    <row r="2764" s="283" customFormat="1"/>
    <row r="2765" s="283" customFormat="1"/>
    <row r="2766" s="283" customFormat="1"/>
    <row r="2767" s="283" customFormat="1"/>
    <row r="2768" s="283" customFormat="1"/>
    <row r="2769" s="283" customFormat="1"/>
    <row r="2770" s="283" customFormat="1"/>
    <row r="2771" s="283" customFormat="1"/>
    <row r="2772" s="283" customFormat="1"/>
    <row r="2773" s="283" customFormat="1"/>
    <row r="2774" s="283" customFormat="1"/>
    <row r="2775" s="283" customFormat="1"/>
    <row r="2776" s="283" customFormat="1"/>
    <row r="2777" s="283" customFormat="1"/>
    <row r="2778" s="283" customFormat="1"/>
    <row r="2779" s="283" customFormat="1"/>
    <row r="2780" s="283" customFormat="1"/>
    <row r="2781" s="283" customFormat="1"/>
    <row r="2782" s="283" customFormat="1"/>
    <row r="2783" s="283" customFormat="1"/>
    <row r="2784" s="283" customFormat="1"/>
    <row r="2785" s="283" customFormat="1"/>
    <row r="2786" s="283" customFormat="1"/>
    <row r="2787" s="283" customFormat="1"/>
    <row r="2788" s="283" customFormat="1"/>
    <row r="2789" s="283" customFormat="1"/>
    <row r="2790" s="283" customFormat="1"/>
    <row r="2791" s="283" customFormat="1"/>
    <row r="2792" s="283" customFormat="1"/>
    <row r="2793" s="283" customFormat="1"/>
    <row r="2794" s="283" customFormat="1"/>
    <row r="2795" s="283" customFormat="1"/>
    <row r="2796" s="283" customFormat="1"/>
    <row r="2797" s="283" customFormat="1"/>
    <row r="2798" s="283" customFormat="1"/>
    <row r="2799" s="283" customFormat="1"/>
    <row r="2800" s="283" customFormat="1"/>
    <row r="2801" s="283" customFormat="1"/>
    <row r="2802" s="283" customFormat="1"/>
    <row r="2803" s="283" customFormat="1"/>
    <row r="2804" s="283" customFormat="1"/>
    <row r="2805" s="283" customFormat="1"/>
    <row r="2806" s="283" customFormat="1"/>
    <row r="2807" s="283" customFormat="1"/>
    <row r="2808" s="283" customFormat="1"/>
    <row r="2809" s="283" customFormat="1"/>
    <row r="2810" s="283" customFormat="1"/>
    <row r="2811" s="283" customFormat="1"/>
    <row r="2812" s="283" customFormat="1"/>
    <row r="2813" s="283" customFormat="1"/>
    <row r="2814" s="283" customFormat="1"/>
    <row r="2815" s="283" customFormat="1"/>
    <row r="2816" s="283" customFormat="1"/>
    <row r="2817" s="283" customFormat="1"/>
    <row r="2818" s="283" customFormat="1"/>
    <row r="2819" s="283" customFormat="1"/>
    <row r="2820" s="283" customFormat="1"/>
    <row r="2821" s="283" customFormat="1"/>
    <row r="2822" s="283" customFormat="1"/>
    <row r="2823" s="283" customFormat="1"/>
    <row r="2824" s="283" customFormat="1"/>
    <row r="2825" s="283" customFormat="1"/>
    <row r="2826" s="283" customFormat="1"/>
    <row r="2827" s="283" customFormat="1"/>
    <row r="2828" s="283" customFormat="1"/>
    <row r="2829" s="283" customFormat="1"/>
    <row r="2830" s="283" customFormat="1"/>
    <row r="2831" s="283" customFormat="1"/>
    <row r="2832" s="283" customFormat="1"/>
    <row r="2833" s="283" customFormat="1"/>
    <row r="2834" s="283" customFormat="1"/>
    <row r="2835" s="283" customFormat="1"/>
    <row r="2836" s="283" customFormat="1"/>
    <row r="2837" s="283" customFormat="1"/>
    <row r="2838" s="283" customFormat="1"/>
    <row r="2839" s="283" customFormat="1"/>
    <row r="2840" s="283" customFormat="1"/>
    <row r="2841" s="283" customFormat="1"/>
    <row r="2842" s="283" customFormat="1"/>
    <row r="2843" s="283" customFormat="1"/>
    <row r="2844" s="283" customFormat="1"/>
    <row r="2845" s="283" customFormat="1"/>
    <row r="2846" s="283" customFormat="1"/>
    <row r="2847" s="283" customFormat="1"/>
    <row r="2848" s="283" customFormat="1"/>
    <row r="2849" s="283" customFormat="1"/>
    <row r="2850" s="283" customFormat="1"/>
    <row r="2851" s="283" customFormat="1"/>
    <row r="2852" s="283" customFormat="1"/>
    <row r="2853" s="283" customFormat="1"/>
    <row r="2854" s="283" customFormat="1"/>
    <row r="2855" s="283" customFormat="1"/>
    <row r="2856" s="283" customFormat="1"/>
    <row r="2857" s="283" customFormat="1"/>
    <row r="2858" s="283" customFormat="1"/>
    <row r="2859" s="283" customFormat="1"/>
    <row r="2860" s="283" customFormat="1"/>
    <row r="2861" s="283" customFormat="1"/>
    <row r="2862" s="283" customFormat="1"/>
    <row r="2863" s="283" customFormat="1"/>
    <row r="2864" s="283" customFormat="1"/>
    <row r="2865" s="283" customFormat="1"/>
    <row r="2866" s="283" customFormat="1"/>
    <row r="2867" s="283" customFormat="1"/>
    <row r="2868" s="283" customFormat="1"/>
    <row r="2869" s="283" customFormat="1"/>
    <row r="2870" s="283" customFormat="1"/>
    <row r="2871" s="283" customFormat="1"/>
    <row r="2872" s="283" customFormat="1"/>
    <row r="2873" s="283" customFormat="1"/>
    <row r="2874" s="283" customFormat="1"/>
    <row r="2875" s="283" customFormat="1"/>
    <row r="2876" s="283" customFormat="1"/>
    <row r="2877" s="283" customFormat="1"/>
    <row r="2878" s="283" customFormat="1"/>
    <row r="2879" s="283" customFormat="1"/>
    <row r="2880" s="283" customFormat="1"/>
    <row r="2881" s="283" customFormat="1"/>
    <row r="2882" s="283" customFormat="1"/>
    <row r="2883" s="283" customFormat="1"/>
    <row r="2884" s="283" customFormat="1"/>
    <row r="2885" s="283" customFormat="1"/>
    <row r="2886" s="283" customFormat="1"/>
    <row r="2887" s="283" customFormat="1"/>
    <row r="2888" s="283" customFormat="1"/>
    <row r="2889" s="283" customFormat="1"/>
    <row r="2890" s="283" customFormat="1"/>
    <row r="2891" s="283" customFormat="1"/>
    <row r="2892" s="283" customFormat="1"/>
    <row r="2893" s="283" customFormat="1"/>
    <row r="2894" s="283" customFormat="1"/>
    <row r="2895" s="283" customFormat="1"/>
    <row r="2896" s="283" customFormat="1"/>
    <row r="2897" s="283" customFormat="1"/>
    <row r="2898" s="283" customFormat="1"/>
    <row r="2899" s="283" customFormat="1"/>
    <row r="2900" s="283" customFormat="1"/>
    <row r="2901" s="283" customFormat="1"/>
    <row r="2902" s="283" customFormat="1"/>
    <row r="2903" s="283" customFormat="1"/>
    <row r="2904" s="283" customFormat="1"/>
    <row r="2905" s="283" customFormat="1"/>
    <row r="2906" s="283" customFormat="1"/>
    <row r="2907" s="283" customFormat="1"/>
    <row r="2908" s="283" customFormat="1"/>
    <row r="2909" s="283" customFormat="1"/>
    <row r="2910" s="283" customFormat="1"/>
    <row r="2911" s="283" customFormat="1"/>
    <row r="2912" s="283" customFormat="1"/>
    <row r="2913" s="283" customFormat="1"/>
    <row r="2914" s="283" customFormat="1"/>
    <row r="2915" s="283" customFormat="1"/>
    <row r="2916" s="283" customFormat="1"/>
    <row r="2917" s="283" customFormat="1"/>
    <row r="2918" s="283" customFormat="1"/>
    <row r="2919" s="283" customFormat="1"/>
    <row r="2920" s="283" customFormat="1"/>
    <row r="2921" s="283" customFormat="1"/>
    <row r="2922" s="283" customFormat="1"/>
    <row r="2923" s="283" customFormat="1"/>
    <row r="2924" s="283" customFormat="1"/>
    <row r="2925" s="283" customFormat="1"/>
    <row r="2926" s="283" customFormat="1"/>
    <row r="2927" s="283" customFormat="1"/>
    <row r="2928" s="283" customFormat="1"/>
    <row r="2929" s="283" customFormat="1"/>
    <row r="2930" s="283" customFormat="1"/>
    <row r="2931" s="283" customFormat="1"/>
    <row r="2932" s="283" customFormat="1"/>
    <row r="2933" s="283" customFormat="1"/>
    <row r="2934" s="283" customFormat="1"/>
    <row r="2935" s="283" customFormat="1"/>
    <row r="2936" s="283" customFormat="1"/>
    <row r="2937" s="283" customFormat="1"/>
    <row r="2938" s="283" customFormat="1"/>
    <row r="2939" s="283" customFormat="1"/>
    <row r="2940" s="283" customFormat="1"/>
    <row r="2941" s="283" customFormat="1"/>
    <row r="2942" s="283" customFormat="1"/>
    <row r="2943" s="283" customFormat="1"/>
    <row r="2944" s="283" customFormat="1"/>
    <row r="2945" s="283" customFormat="1"/>
    <row r="2946" s="283" customFormat="1"/>
    <row r="2947" s="283" customFormat="1"/>
    <row r="2948" s="283" customFormat="1"/>
    <row r="2949" s="283" customFormat="1"/>
    <row r="2950" s="283" customFormat="1"/>
    <row r="2951" s="283" customFormat="1"/>
    <row r="2952" s="283" customFormat="1"/>
    <row r="2953" s="283" customFormat="1"/>
    <row r="2954" s="283" customFormat="1"/>
    <row r="2955" s="283" customFormat="1"/>
    <row r="2956" s="283" customFormat="1"/>
    <row r="2957" s="283" customFormat="1"/>
    <row r="2958" s="283" customFormat="1"/>
    <row r="2959" s="283" customFormat="1"/>
    <row r="2960" s="283" customFormat="1"/>
    <row r="2961" s="283" customFormat="1"/>
    <row r="2962" s="283" customFormat="1"/>
    <row r="2963" s="283" customFormat="1"/>
    <row r="2964" s="283" customFormat="1"/>
    <row r="2965" s="283" customFormat="1"/>
    <row r="2966" s="283" customFormat="1"/>
    <row r="2967" s="283" customFormat="1"/>
    <row r="2968" s="283" customFormat="1"/>
    <row r="2969" s="283" customFormat="1"/>
    <row r="2970" s="283" customFormat="1"/>
    <row r="2971" s="283" customFormat="1"/>
    <row r="2972" s="283" customFormat="1"/>
    <row r="2973" s="283" customFormat="1"/>
    <row r="2974" s="283" customFormat="1"/>
    <row r="2975" s="283" customFormat="1"/>
    <row r="2976" s="283" customFormat="1"/>
    <row r="2977" s="283" customFormat="1"/>
    <row r="2978" s="283" customFormat="1"/>
    <row r="2979" s="283" customFormat="1"/>
    <row r="2980" s="283" customFormat="1"/>
    <row r="2981" s="283" customFormat="1"/>
    <row r="2982" s="283" customFormat="1"/>
    <row r="2983" s="283" customFormat="1"/>
    <row r="2984" s="283" customFormat="1"/>
    <row r="2985" s="283" customFormat="1"/>
    <row r="2986" s="283" customFormat="1"/>
    <row r="2987" s="283" customFormat="1"/>
    <row r="2988" s="283" customFormat="1"/>
    <row r="2989" s="283" customFormat="1"/>
    <row r="2990" s="283" customFormat="1"/>
    <row r="2991" s="283" customFormat="1"/>
    <row r="2992" s="283" customFormat="1"/>
    <row r="2993" s="283" customFormat="1"/>
    <row r="2994" s="283" customFormat="1"/>
    <row r="2995" s="283" customFormat="1"/>
    <row r="2996" s="283" customFormat="1"/>
    <row r="2997" s="283" customFormat="1"/>
    <row r="2998" s="283" customFormat="1"/>
    <row r="2999" s="283" customFormat="1"/>
    <row r="3000" s="283" customFormat="1"/>
    <row r="3001" s="283" customFormat="1"/>
    <row r="3002" s="283" customFormat="1"/>
    <row r="3003" s="283" customFormat="1"/>
    <row r="3004" s="283" customFormat="1"/>
    <row r="3005" s="283" customFormat="1"/>
    <row r="3006" s="283" customFormat="1"/>
    <row r="3007" s="283" customFormat="1"/>
    <row r="3008" s="283" customFormat="1"/>
    <row r="3009" s="283" customFormat="1"/>
    <row r="3010" s="283" customFormat="1"/>
    <row r="3011" s="283" customFormat="1"/>
    <row r="3012" s="283" customFormat="1"/>
    <row r="3013" s="283" customFormat="1"/>
    <row r="3014" s="283" customFormat="1"/>
    <row r="3015" s="283" customFormat="1"/>
    <row r="3016" s="283" customFormat="1"/>
    <row r="3017" s="283" customFormat="1"/>
    <row r="3018" s="283" customFormat="1"/>
    <row r="3019" s="283" customFormat="1"/>
    <row r="3020" s="283" customFormat="1"/>
    <row r="3021" s="283" customFormat="1"/>
    <row r="3022" s="283" customFormat="1"/>
    <row r="3023" s="283" customFormat="1"/>
    <row r="3024" s="283" customFormat="1"/>
    <row r="3025" s="283" customFormat="1"/>
    <row r="3026" s="283" customFormat="1"/>
    <row r="3027" s="283" customFormat="1"/>
    <row r="3028" s="283" customFormat="1"/>
    <row r="3029" s="283" customFormat="1"/>
    <row r="3030" s="283" customFormat="1"/>
    <row r="3031" s="283" customFormat="1"/>
    <row r="3032" s="283" customFormat="1"/>
    <row r="3033" s="283" customFormat="1"/>
    <row r="3034" s="283" customFormat="1"/>
    <row r="3035" s="283" customFormat="1"/>
    <row r="3036" s="283" customFormat="1"/>
    <row r="3037" s="283" customFormat="1"/>
    <row r="3038" s="283" customFormat="1"/>
    <row r="3039" s="283" customFormat="1"/>
    <row r="3040" s="283" customFormat="1"/>
    <row r="3041" s="283" customFormat="1"/>
    <row r="3042" s="283" customFormat="1"/>
    <row r="3043" s="283" customFormat="1"/>
    <row r="3044" s="283" customFormat="1"/>
    <row r="3045" s="283" customFormat="1"/>
    <row r="3046" s="283" customFormat="1"/>
    <row r="3047" s="283" customFormat="1"/>
    <row r="3048" s="283" customFormat="1"/>
    <row r="3049" s="283" customFormat="1"/>
    <row r="3050" s="283" customFormat="1"/>
    <row r="3051" s="283" customFormat="1"/>
    <row r="3052" s="283" customFormat="1"/>
    <row r="3053" s="283" customFormat="1"/>
    <row r="3054" s="283" customFormat="1"/>
    <row r="3055" s="283" customFormat="1"/>
    <row r="3056" s="283" customFormat="1"/>
    <row r="3057" s="283" customFormat="1"/>
    <row r="3058" s="283" customFormat="1"/>
    <row r="3059" s="283" customFormat="1"/>
    <row r="3060" s="283" customFormat="1"/>
    <row r="3061" s="283" customFormat="1"/>
    <row r="3062" s="283" customFormat="1"/>
    <row r="3063" s="283" customFormat="1"/>
    <row r="3064" s="283" customFormat="1"/>
    <row r="3065" s="283" customFormat="1"/>
    <row r="3066" s="283" customFormat="1"/>
    <row r="3067" s="283" customFormat="1"/>
    <row r="3068" s="283" customFormat="1"/>
    <row r="3069" s="283" customFormat="1"/>
    <row r="3070" s="283" customFormat="1"/>
    <row r="3071" s="283" customFormat="1"/>
    <row r="3072" s="283" customFormat="1"/>
    <row r="3073" s="283" customFormat="1"/>
    <row r="3074" s="283" customFormat="1"/>
    <row r="3075" s="283" customFormat="1"/>
    <row r="3076" s="283" customFormat="1"/>
    <row r="3077" s="283" customFormat="1"/>
    <row r="3078" s="283" customFormat="1"/>
    <row r="3079" s="283" customFormat="1"/>
    <row r="3080" s="283" customFormat="1"/>
    <row r="3081" s="283" customFormat="1"/>
    <row r="3082" s="283" customFormat="1"/>
    <row r="3083" s="283" customFormat="1"/>
    <row r="3084" s="283" customFormat="1"/>
    <row r="3085" s="283" customFormat="1"/>
    <row r="3086" s="283" customFormat="1"/>
    <row r="3087" s="283" customFormat="1"/>
    <row r="3088" s="283" customFormat="1"/>
    <row r="3089" s="283" customFormat="1"/>
    <row r="3090" s="283" customFormat="1"/>
    <row r="3091" s="283" customFormat="1"/>
    <row r="3092" s="283" customFormat="1"/>
    <row r="3093" s="283" customFormat="1"/>
    <row r="3094" s="283" customFormat="1"/>
    <row r="3095" s="283" customFormat="1"/>
    <row r="3096" s="283" customFormat="1"/>
    <row r="3097" s="283" customFormat="1"/>
    <row r="3098" s="283" customFormat="1"/>
    <row r="3099" s="283" customFormat="1"/>
    <row r="3100" s="283" customFormat="1"/>
    <row r="3101" s="283" customFormat="1"/>
    <row r="3102" s="283" customFormat="1"/>
    <row r="3103" s="283" customFormat="1"/>
    <row r="3104" s="283" customFormat="1"/>
    <row r="3105" s="283" customFormat="1"/>
    <row r="3106" s="283" customFormat="1"/>
    <row r="3107" s="283" customFormat="1"/>
    <row r="3108" s="283" customFormat="1"/>
    <row r="3109" s="283" customFormat="1"/>
    <row r="3110" s="283" customFormat="1"/>
    <row r="3111" s="283" customFormat="1"/>
    <row r="3112" s="283" customFormat="1"/>
    <row r="3113" s="283" customFormat="1"/>
    <row r="3114" s="283" customFormat="1"/>
    <row r="3115" s="283" customFormat="1"/>
    <row r="3116" s="283" customFormat="1"/>
    <row r="3117" s="283" customFormat="1"/>
    <row r="3118" s="283" customFormat="1"/>
    <row r="3119" s="283" customFormat="1"/>
    <row r="3120" s="283" customFormat="1"/>
    <row r="3121" s="283" customFormat="1"/>
    <row r="3122" s="283" customFormat="1"/>
    <row r="3123" s="283" customFormat="1"/>
    <row r="3124" s="283" customFormat="1"/>
    <row r="3125" s="283" customFormat="1"/>
    <row r="3126" s="283" customFormat="1"/>
    <row r="3127" s="283" customFormat="1"/>
    <row r="3128" s="283" customFormat="1"/>
    <row r="3129" s="283" customFormat="1"/>
    <row r="3130" s="283" customFormat="1"/>
    <row r="3131" s="283" customFormat="1"/>
    <row r="3132" s="283" customFormat="1"/>
    <row r="3133" s="283" customFormat="1"/>
    <row r="3134" s="283" customFormat="1"/>
    <row r="3135" s="283" customFormat="1"/>
    <row r="3136" s="283" customFormat="1"/>
    <row r="3137" s="283" customFormat="1"/>
    <row r="3138" s="283" customFormat="1"/>
    <row r="3139" s="283" customFormat="1"/>
    <row r="3140" s="283" customFormat="1"/>
    <row r="3141" s="283" customFormat="1"/>
    <row r="3142" s="283" customFormat="1"/>
    <row r="3143" s="283" customFormat="1"/>
    <row r="3144" s="283" customFormat="1"/>
    <row r="3145" s="283" customFormat="1"/>
    <row r="3146" s="283" customFormat="1"/>
    <row r="3147" s="283" customFormat="1"/>
    <row r="3148" s="283" customFormat="1"/>
    <row r="3149" s="283" customFormat="1"/>
    <row r="3150" s="283" customFormat="1"/>
    <row r="3151" s="283" customFormat="1"/>
    <row r="3152" s="283" customFormat="1"/>
    <row r="3153" s="283" customFormat="1"/>
    <row r="3154" s="283" customFormat="1"/>
    <row r="3155" s="283" customFormat="1"/>
    <row r="3156" s="283" customFormat="1"/>
    <row r="3157" s="283" customFormat="1"/>
    <row r="3158" s="283" customFormat="1"/>
    <row r="3159" s="283" customFormat="1"/>
    <row r="3160" s="283" customFormat="1"/>
    <row r="3161" s="283" customFormat="1"/>
    <row r="3162" s="283" customFormat="1"/>
    <row r="3163" s="283" customFormat="1"/>
    <row r="3164" s="283" customFormat="1"/>
    <row r="3165" s="283" customFormat="1"/>
    <row r="3166" s="283" customFormat="1"/>
    <row r="3167" s="283" customFormat="1"/>
    <row r="3168" s="283" customFormat="1"/>
    <row r="3169" s="283" customFormat="1"/>
    <row r="3170" s="283" customFormat="1"/>
    <row r="3171" s="283" customFormat="1"/>
    <row r="3172" s="283" customFormat="1"/>
    <row r="3173" s="283" customFormat="1"/>
    <row r="3174" s="283" customFormat="1"/>
    <row r="3175" s="283" customFormat="1"/>
    <row r="3176" s="283" customFormat="1"/>
    <row r="3177" s="283" customFormat="1"/>
    <row r="3178" s="283" customFormat="1"/>
    <row r="3179" s="283" customFormat="1"/>
    <row r="3180" s="283" customFormat="1"/>
    <row r="3181" s="283" customFormat="1"/>
    <row r="3182" s="283" customFormat="1"/>
    <row r="3183" s="283" customFormat="1"/>
    <row r="3184" s="283" customFormat="1"/>
    <row r="3185" s="283" customFormat="1"/>
    <row r="3186" s="283" customFormat="1"/>
    <row r="3187" s="283" customFormat="1"/>
    <row r="3188" s="283" customFormat="1"/>
    <row r="3189" s="283" customFormat="1"/>
    <row r="3190" s="283" customFormat="1"/>
    <row r="3191" s="283" customFormat="1"/>
    <row r="3192" s="283" customFormat="1"/>
    <row r="3193" s="283" customFormat="1"/>
    <row r="3194" s="283" customFormat="1"/>
    <row r="3195" s="283" customFormat="1"/>
    <row r="3196" s="283" customFormat="1"/>
    <row r="3197" s="283" customFormat="1"/>
    <row r="3198" s="283" customFormat="1"/>
    <row r="3199" s="283" customFormat="1"/>
    <row r="3200" s="283" customFormat="1"/>
    <row r="3201" s="283" customFormat="1"/>
    <row r="3202" s="283" customFormat="1"/>
    <row r="3203" s="283" customFormat="1"/>
    <row r="3204" s="283" customFormat="1"/>
    <row r="3205" s="283" customFormat="1"/>
    <row r="3206" s="283" customFormat="1"/>
    <row r="3207" s="283" customFormat="1"/>
    <row r="3208" s="283" customFormat="1"/>
    <row r="3209" s="283" customFormat="1"/>
    <row r="3210" s="283" customFormat="1"/>
    <row r="3211" s="283" customFormat="1"/>
    <row r="3212" s="283" customFormat="1"/>
    <row r="3213" s="283" customFormat="1"/>
    <row r="3214" s="283" customFormat="1"/>
    <row r="3215" s="283" customFormat="1"/>
    <row r="3216" s="283" customFormat="1"/>
    <row r="3217" s="283" customFormat="1"/>
    <row r="3218" s="283" customFormat="1"/>
    <row r="3219" s="283" customFormat="1"/>
    <row r="3220" s="283" customFormat="1"/>
    <row r="3221" s="283" customFormat="1"/>
    <row r="3222" s="283" customFormat="1"/>
    <row r="3223" s="283" customFormat="1"/>
    <row r="3224" s="283" customFormat="1"/>
    <row r="3225" s="283" customFormat="1"/>
    <row r="3226" s="283" customFormat="1"/>
    <row r="3227" s="283" customFormat="1"/>
    <row r="3228" s="283" customFormat="1"/>
    <row r="3229" s="283" customFormat="1"/>
    <row r="3230" s="283" customFormat="1"/>
    <row r="3231" s="283" customFormat="1"/>
    <row r="3232" s="283" customFormat="1"/>
    <row r="3233" s="283" customFormat="1"/>
    <row r="3234" s="283" customFormat="1"/>
    <row r="3235" s="283" customFormat="1"/>
    <row r="3236" s="283" customFormat="1"/>
    <row r="3237" s="283" customFormat="1"/>
    <row r="3238" s="283" customFormat="1"/>
    <row r="3239" s="283" customFormat="1"/>
    <row r="3240" s="283" customFormat="1"/>
    <row r="3241" s="283" customFormat="1"/>
    <row r="3242" s="283" customFormat="1"/>
    <row r="3243" s="283" customFormat="1"/>
    <row r="3244" s="283" customFormat="1"/>
    <row r="3245" s="283" customFormat="1"/>
    <row r="3246" s="283" customFormat="1"/>
    <row r="3247" s="283" customFormat="1"/>
    <row r="3248" s="283" customFormat="1"/>
    <row r="3249" s="283" customFormat="1"/>
    <row r="3250" s="283" customFormat="1"/>
    <row r="3251" s="283" customFormat="1"/>
    <row r="3252" s="283" customFormat="1"/>
    <row r="3253" s="283" customFormat="1"/>
    <row r="3254" s="283" customFormat="1"/>
    <row r="3255" s="283" customFormat="1"/>
    <row r="3256" s="283" customFormat="1"/>
    <row r="3257" s="283" customFormat="1"/>
    <row r="3258" s="283" customFormat="1"/>
    <row r="3259" s="283" customFormat="1"/>
    <row r="3260" s="283" customFormat="1"/>
    <row r="3261" s="283" customFormat="1"/>
    <row r="3262" s="283" customFormat="1"/>
    <row r="3263" s="283" customFormat="1"/>
    <row r="3264" s="283" customFormat="1"/>
    <row r="3265" s="283" customFormat="1"/>
    <row r="3266" s="283" customFormat="1"/>
    <row r="3267" s="283" customFormat="1"/>
    <row r="3268" s="283" customFormat="1"/>
    <row r="3269" s="283" customFormat="1"/>
    <row r="3270" s="283" customFormat="1"/>
    <row r="3271" s="283" customFormat="1"/>
    <row r="3272" s="283" customFormat="1"/>
    <row r="3273" s="283" customFormat="1"/>
    <row r="3274" s="283" customFormat="1"/>
    <row r="3275" s="283" customFormat="1"/>
    <row r="3276" s="283" customFormat="1"/>
    <row r="3277" s="283" customFormat="1"/>
    <row r="3278" s="283" customFormat="1"/>
    <row r="3279" s="283" customFormat="1"/>
    <row r="3280" s="283" customFormat="1"/>
    <row r="3281" s="283" customFormat="1"/>
    <row r="3282" s="283" customFormat="1"/>
    <row r="3283" s="283" customFormat="1"/>
    <row r="3284" s="283" customFormat="1"/>
    <row r="3285" s="283" customFormat="1"/>
    <row r="3286" s="283" customFormat="1"/>
    <row r="3287" s="283" customFormat="1"/>
    <row r="3288" s="283" customFormat="1"/>
    <row r="3289" s="283" customFormat="1"/>
    <row r="3290" s="283" customFormat="1"/>
    <row r="3291" s="283" customFormat="1"/>
    <row r="3292" s="283" customFormat="1"/>
    <row r="3293" s="283" customFormat="1"/>
    <row r="3294" s="283" customFormat="1"/>
    <row r="3295" s="283" customFormat="1"/>
    <row r="3296" s="283" customFormat="1"/>
    <row r="3297" s="283" customFormat="1"/>
    <row r="3298" s="283" customFormat="1"/>
    <row r="3299" s="283" customFormat="1"/>
    <row r="3300" s="283" customFormat="1"/>
    <row r="3301" s="283" customFormat="1"/>
    <row r="3302" s="283" customFormat="1"/>
    <row r="3303" s="283" customFormat="1"/>
    <row r="3304" s="283" customFormat="1"/>
    <row r="3305" s="283" customFormat="1"/>
    <row r="3306" s="283" customFormat="1"/>
    <row r="3307" s="283" customFormat="1"/>
    <row r="3308" s="283" customFormat="1"/>
    <row r="3309" s="283" customFormat="1"/>
    <row r="3310" s="283" customFormat="1"/>
    <row r="3311" s="283" customFormat="1"/>
    <row r="3312" s="283" customFormat="1"/>
    <row r="3313" s="283" customFormat="1"/>
    <row r="3314" s="283" customFormat="1"/>
    <row r="3315" s="283" customFormat="1"/>
    <row r="3316" s="283" customFormat="1"/>
    <row r="3317" s="283" customFormat="1"/>
    <row r="3318" s="283" customFormat="1"/>
    <row r="3319" s="283" customFormat="1"/>
    <row r="3320" s="283" customFormat="1"/>
    <row r="3321" s="283" customFormat="1"/>
    <row r="3322" s="283" customFormat="1"/>
    <row r="3323" s="283" customFormat="1"/>
    <row r="3324" s="283" customFormat="1"/>
    <row r="3325" s="283" customFormat="1"/>
    <row r="3326" s="283" customFormat="1"/>
    <row r="3327" s="283" customFormat="1"/>
    <row r="3328" s="283" customFormat="1"/>
    <row r="3329" s="283" customFormat="1"/>
    <row r="3330" s="283" customFormat="1"/>
    <row r="3331" s="283" customFormat="1"/>
    <row r="3332" s="283" customFormat="1"/>
    <row r="3333" s="283" customFormat="1"/>
    <row r="3334" s="283" customFormat="1"/>
    <row r="3335" s="283" customFormat="1"/>
    <row r="3336" s="283" customFormat="1"/>
    <row r="3337" s="283" customFormat="1"/>
    <row r="3338" s="283" customFormat="1"/>
    <row r="3339" s="283" customFormat="1"/>
    <row r="3340" s="283" customFormat="1"/>
    <row r="3341" s="283" customFormat="1"/>
    <row r="3342" s="283" customFormat="1"/>
    <row r="3343" s="283" customFormat="1"/>
    <row r="3344" s="283" customFormat="1"/>
    <row r="3345" s="283" customFormat="1"/>
    <row r="3346" s="283" customFormat="1"/>
    <row r="3347" s="283" customFormat="1"/>
    <row r="3348" s="283" customFormat="1"/>
    <row r="3349" s="283" customFormat="1"/>
    <row r="3350" s="283" customFormat="1"/>
    <row r="3351" s="283" customFormat="1"/>
    <row r="3352" s="283" customFormat="1"/>
    <row r="3353" s="283" customFormat="1"/>
    <row r="3354" s="283" customFormat="1"/>
    <row r="3355" s="283" customFormat="1"/>
    <row r="3356" s="283" customFormat="1"/>
    <row r="3357" s="283" customFormat="1"/>
    <row r="3358" s="283" customFormat="1"/>
    <row r="3359" s="283" customFormat="1"/>
    <row r="3360" s="283" customFormat="1"/>
    <row r="3361" s="283" customFormat="1"/>
    <row r="3362" s="283" customFormat="1"/>
    <row r="3363" s="283" customFormat="1"/>
    <row r="3364" s="283" customFormat="1"/>
    <row r="3365" s="283" customFormat="1"/>
    <row r="3366" s="283" customFormat="1"/>
    <row r="3367" s="283" customFormat="1"/>
    <row r="3368" s="283" customFormat="1"/>
    <row r="3369" s="283" customFormat="1"/>
    <row r="3370" s="283" customFormat="1"/>
    <row r="3371" s="283" customFormat="1"/>
    <row r="3372" s="283" customFormat="1"/>
    <row r="3373" s="283" customFormat="1"/>
    <row r="3374" s="283" customFormat="1"/>
    <row r="3375" s="283" customFormat="1"/>
    <row r="3376" s="283" customFormat="1"/>
    <row r="3377" s="283" customFormat="1"/>
    <row r="3378" s="283" customFormat="1"/>
    <row r="3379" s="283" customFormat="1"/>
    <row r="3380" s="283" customFormat="1"/>
    <row r="3381" s="283" customFormat="1"/>
    <row r="3382" s="283" customFormat="1"/>
    <row r="3383" s="283" customFormat="1"/>
    <row r="3384" s="283" customFormat="1"/>
    <row r="3385" s="283" customFormat="1"/>
    <row r="3386" s="283" customFormat="1"/>
    <row r="3387" s="283" customFormat="1"/>
    <row r="3388" s="283" customFormat="1"/>
    <row r="3389" s="283" customFormat="1"/>
    <row r="3390" s="283" customFormat="1"/>
    <row r="3391" s="283" customFormat="1"/>
    <row r="3392" s="283" customFormat="1"/>
    <row r="3393" s="283" customFormat="1"/>
    <row r="3394" s="283" customFormat="1"/>
    <row r="3395" s="283" customFormat="1"/>
    <row r="3396" s="283" customFormat="1"/>
    <row r="3397" s="283" customFormat="1"/>
    <row r="3398" s="283" customFormat="1"/>
    <row r="3399" s="283" customFormat="1"/>
    <row r="3400" s="283" customFormat="1"/>
    <row r="3401" s="283" customFormat="1"/>
    <row r="3402" s="283" customFormat="1"/>
    <row r="3403" s="283" customFormat="1"/>
    <row r="3404" s="283" customFormat="1"/>
    <row r="3405" s="283" customFormat="1"/>
    <row r="3406" s="283" customFormat="1"/>
    <row r="3407" s="283" customFormat="1"/>
    <row r="3408" s="283" customFormat="1"/>
    <row r="3409" s="283" customFormat="1"/>
    <row r="3410" s="283" customFormat="1"/>
    <row r="3411" s="283" customFormat="1"/>
    <row r="3412" s="283" customFormat="1"/>
    <row r="3413" s="283" customFormat="1"/>
    <row r="3414" s="283" customFormat="1"/>
    <row r="3415" s="283" customFormat="1"/>
    <row r="3416" s="283" customFormat="1"/>
    <row r="3417" s="283" customFormat="1"/>
    <row r="3418" s="283" customFormat="1"/>
    <row r="3419" s="283" customFormat="1"/>
    <row r="3420" s="283" customFormat="1"/>
    <row r="3421" s="283" customFormat="1"/>
    <row r="3422" s="283" customFormat="1"/>
    <row r="3423" s="283" customFormat="1"/>
    <row r="3424" s="283" customFormat="1"/>
    <row r="3425" s="283" customFormat="1"/>
    <row r="3426" s="283" customFormat="1"/>
    <row r="3427" s="283" customFormat="1"/>
    <row r="3428" s="283" customFormat="1"/>
    <row r="3429" s="283" customFormat="1"/>
    <row r="3430" s="283" customFormat="1"/>
    <row r="3431" s="283" customFormat="1"/>
    <row r="3432" s="283" customFormat="1"/>
    <row r="3433" s="283" customFormat="1"/>
    <row r="3434" s="283" customFormat="1"/>
    <row r="3435" s="283" customFormat="1"/>
    <row r="3436" s="283" customFormat="1"/>
    <row r="3437" s="283" customFormat="1"/>
    <row r="3438" s="283" customFormat="1"/>
    <row r="3439" s="283" customFormat="1"/>
    <row r="3440" s="283" customFormat="1"/>
    <row r="3441" s="283" customFormat="1"/>
    <row r="3442" s="283" customFormat="1"/>
    <row r="3443" s="283" customFormat="1"/>
    <row r="3444" s="283" customFormat="1"/>
    <row r="3445" s="283" customFormat="1"/>
    <row r="3446" s="283" customFormat="1"/>
    <row r="3447" s="283" customFormat="1"/>
    <row r="3448" s="283" customFormat="1"/>
    <row r="3449" s="283" customFormat="1"/>
    <row r="3450" s="283" customFormat="1"/>
    <row r="3451" s="283" customFormat="1"/>
    <row r="3452" s="283" customFormat="1"/>
    <row r="3453" s="283" customFormat="1"/>
    <row r="3454" s="283" customFormat="1"/>
    <row r="3455" s="283" customFormat="1"/>
    <row r="3456" s="283" customFormat="1"/>
    <row r="3457" s="283" customFormat="1"/>
    <row r="3458" s="283" customFormat="1"/>
    <row r="3459" s="283" customFormat="1"/>
    <row r="3460" s="283" customFormat="1"/>
    <row r="3461" s="283" customFormat="1"/>
    <row r="3462" s="283" customFormat="1"/>
    <row r="3463" s="283" customFormat="1"/>
    <row r="3464" s="283" customFormat="1"/>
    <row r="3465" s="283" customFormat="1"/>
    <row r="3466" s="283" customFormat="1"/>
    <row r="3467" s="283" customFormat="1"/>
    <row r="3468" s="283" customFormat="1"/>
    <row r="3469" s="283" customFormat="1"/>
    <row r="3470" s="283" customFormat="1"/>
    <row r="3471" s="283" customFormat="1"/>
    <row r="3472" s="283" customFormat="1"/>
    <row r="3473" s="283" customFormat="1"/>
    <row r="3474" s="283" customFormat="1"/>
    <row r="3475" s="283" customFormat="1"/>
    <row r="3476" s="283" customFormat="1"/>
    <row r="3477" s="283" customFormat="1"/>
    <row r="3478" s="283" customFormat="1"/>
    <row r="3479" s="283" customFormat="1"/>
    <row r="3480" s="283" customFormat="1"/>
    <row r="3481" s="283" customFormat="1"/>
    <row r="3482" s="283" customFormat="1"/>
    <row r="3483" s="283" customFormat="1"/>
    <row r="3484" s="283" customFormat="1"/>
    <row r="3485" s="283" customFormat="1"/>
    <row r="3486" s="283" customFormat="1"/>
    <row r="3487" s="283" customFormat="1"/>
    <row r="3488" s="283" customFormat="1"/>
    <row r="3489" s="283" customFormat="1"/>
    <row r="3490" s="283" customFormat="1"/>
    <row r="3491" s="283" customFormat="1"/>
    <row r="3492" s="283" customFormat="1"/>
    <row r="3493" s="283" customFormat="1"/>
    <row r="3494" s="283" customFormat="1"/>
    <row r="3495" s="283" customFormat="1"/>
    <row r="3496" s="283" customFormat="1"/>
    <row r="3497" s="283" customFormat="1"/>
    <row r="3498" s="283" customFormat="1"/>
    <row r="3499" s="283" customFormat="1"/>
    <row r="3500" s="283" customFormat="1"/>
    <row r="3501" s="283" customFormat="1"/>
    <row r="3502" s="283" customFormat="1"/>
    <row r="3503" s="283" customFormat="1"/>
    <row r="3504" s="283" customFormat="1"/>
    <row r="3505" s="283" customFormat="1"/>
    <row r="3506" s="283" customFormat="1"/>
    <row r="3507" s="283" customFormat="1"/>
    <row r="3508" s="283" customFormat="1"/>
    <row r="3509" s="283" customFormat="1"/>
    <row r="3510" s="283" customFormat="1"/>
    <row r="3511" s="283" customFormat="1"/>
    <row r="3512" s="283" customFormat="1"/>
    <row r="3513" s="283" customFormat="1"/>
    <row r="3514" s="283" customFormat="1"/>
    <row r="3515" s="283" customFormat="1"/>
    <row r="3516" s="283" customFormat="1"/>
    <row r="3517" s="283" customFormat="1"/>
    <row r="3518" s="283" customFormat="1"/>
    <row r="3519" s="283" customFormat="1"/>
    <row r="3520" s="283" customFormat="1"/>
    <row r="3521" s="283" customFormat="1"/>
    <row r="3522" s="283" customFormat="1"/>
    <row r="3523" s="283" customFormat="1"/>
    <row r="3524" s="283" customFormat="1"/>
    <row r="3525" s="283" customFormat="1"/>
    <row r="3526" s="283" customFormat="1"/>
    <row r="3527" s="283" customFormat="1"/>
    <row r="3528" s="283" customFormat="1"/>
    <row r="3529" s="283" customFormat="1"/>
    <row r="3530" s="283" customFormat="1"/>
    <row r="3531" s="283" customFormat="1"/>
    <row r="3532" s="283" customFormat="1"/>
    <row r="3533" s="283" customFormat="1"/>
    <row r="3534" s="283" customFormat="1"/>
    <row r="3535" s="283" customFormat="1"/>
    <row r="3536" s="283" customFormat="1"/>
    <row r="3537" s="283" customFormat="1"/>
    <row r="3538" s="283" customFormat="1"/>
    <row r="3539" s="283" customFormat="1"/>
    <row r="3540" s="283" customFormat="1"/>
    <row r="3541" s="283" customFormat="1"/>
    <row r="3542" s="283" customFormat="1"/>
    <row r="3543" s="283" customFormat="1"/>
    <row r="3544" s="283" customFormat="1"/>
    <row r="3545" s="283" customFormat="1"/>
    <row r="3546" s="283" customFormat="1"/>
    <row r="3547" s="283" customFormat="1"/>
    <row r="3548" s="283" customFormat="1"/>
    <row r="3549" s="283" customFormat="1"/>
    <row r="3550" s="283" customFormat="1"/>
    <row r="3551" s="283" customFormat="1"/>
    <row r="3552" s="283" customFormat="1"/>
    <row r="3553" s="283" customFormat="1"/>
    <row r="3554" s="283" customFormat="1"/>
    <row r="3555" s="283" customFormat="1"/>
    <row r="3556" s="283" customFormat="1"/>
    <row r="3557" s="283" customFormat="1"/>
    <row r="3558" s="283" customFormat="1"/>
    <row r="3559" s="283" customFormat="1"/>
    <row r="3560" s="283" customFormat="1"/>
    <row r="3561" s="283" customFormat="1"/>
    <row r="3562" s="283" customFormat="1"/>
    <row r="3563" s="283" customFormat="1"/>
    <row r="3564" s="283" customFormat="1"/>
    <row r="3565" s="283" customFormat="1"/>
    <row r="3566" s="283" customFormat="1"/>
    <row r="3567" s="283" customFormat="1"/>
    <row r="3568" s="283" customFormat="1"/>
    <row r="3569" s="283" customFormat="1"/>
    <row r="3570" s="283" customFormat="1"/>
    <row r="3571" s="283" customFormat="1"/>
    <row r="3572" s="283" customFormat="1"/>
    <row r="3573" s="283" customFormat="1"/>
    <row r="3574" s="283" customFormat="1"/>
    <row r="3575" s="283" customFormat="1"/>
    <row r="3576" s="283" customFormat="1"/>
    <row r="3577" s="283" customFormat="1"/>
    <row r="3578" s="283" customFormat="1"/>
    <row r="3579" s="283" customFormat="1"/>
    <row r="3580" s="283" customFormat="1"/>
    <row r="3581" s="283" customFormat="1"/>
    <row r="3582" s="283" customFormat="1"/>
    <row r="3583" s="283" customFormat="1"/>
    <row r="3584" s="283" customFormat="1"/>
    <row r="3585" s="283" customFormat="1"/>
    <row r="3586" s="283" customFormat="1"/>
    <row r="3587" s="283" customFormat="1"/>
    <row r="3588" s="283" customFormat="1"/>
    <row r="3589" s="283" customFormat="1"/>
    <row r="3590" s="283" customFormat="1"/>
    <row r="3591" s="283" customFormat="1"/>
    <row r="3592" s="283" customFormat="1"/>
    <row r="3593" s="283" customFormat="1"/>
    <row r="3594" s="283" customFormat="1"/>
    <row r="3595" s="283" customFormat="1"/>
    <row r="3596" s="283" customFormat="1"/>
    <row r="3597" s="283" customFormat="1"/>
    <row r="3598" s="283" customFormat="1"/>
    <row r="3599" s="283" customFormat="1"/>
    <row r="3600" s="283" customFormat="1"/>
    <row r="3601" s="283" customFormat="1"/>
    <row r="3602" s="283" customFormat="1"/>
    <row r="3603" s="283" customFormat="1"/>
    <row r="3604" s="283" customFormat="1"/>
    <row r="3605" s="283" customFormat="1"/>
    <row r="3606" s="283" customFormat="1"/>
    <row r="3607" s="283" customFormat="1"/>
    <row r="3608" s="283" customFormat="1"/>
    <row r="3609" s="283" customFormat="1"/>
    <row r="3610" s="283" customFormat="1"/>
    <row r="3611" s="283" customFormat="1"/>
    <row r="3612" s="283" customFormat="1"/>
    <row r="3613" s="283" customFormat="1"/>
    <row r="3614" s="283" customFormat="1"/>
    <row r="3615" s="283" customFormat="1"/>
    <row r="3616" s="283" customFormat="1"/>
    <row r="3617" s="283" customFormat="1"/>
    <row r="3618" s="283" customFormat="1"/>
    <row r="3619" s="283" customFormat="1"/>
    <row r="3620" s="283" customFormat="1"/>
    <row r="3621" s="283" customFormat="1"/>
    <row r="3622" s="283" customFormat="1"/>
    <row r="3623" s="283" customFormat="1"/>
    <row r="3624" s="283" customFormat="1"/>
    <row r="3625" s="283" customFormat="1"/>
    <row r="3626" s="283" customFormat="1"/>
    <row r="3627" s="283" customFormat="1"/>
    <row r="3628" s="283" customFormat="1"/>
    <row r="3629" s="283" customFormat="1"/>
    <row r="3630" s="283" customFormat="1"/>
    <row r="3631" s="283" customFormat="1"/>
    <row r="3632" s="283" customFormat="1"/>
    <row r="3633" s="283" customFormat="1"/>
    <row r="3634" s="283" customFormat="1"/>
    <row r="3635" s="283" customFormat="1"/>
    <row r="3636" s="283" customFormat="1"/>
    <row r="3637" s="283" customFormat="1"/>
    <row r="3638" s="283" customFormat="1"/>
    <row r="3639" s="283" customFormat="1"/>
    <row r="3640" s="283" customFormat="1"/>
    <row r="3641" s="283" customFormat="1"/>
    <row r="3642" s="283" customFormat="1"/>
    <row r="3643" s="283" customFormat="1"/>
    <row r="3644" s="283" customFormat="1"/>
    <row r="3645" s="283" customFormat="1"/>
    <row r="3646" s="283" customFormat="1"/>
    <row r="3647" s="283" customFormat="1"/>
    <row r="3648" s="283" customFormat="1"/>
    <row r="3649" s="283" customFormat="1"/>
    <row r="3650" s="283" customFormat="1"/>
    <row r="3651" s="283" customFormat="1"/>
    <row r="3652" s="283" customFormat="1"/>
    <row r="3653" s="283" customFormat="1"/>
    <row r="3654" s="283" customFormat="1"/>
    <row r="3655" s="283" customFormat="1"/>
    <row r="3656" s="283" customFormat="1"/>
    <row r="3657" s="283" customFormat="1"/>
    <row r="3658" s="283" customFormat="1"/>
    <row r="3659" s="283" customFormat="1"/>
    <row r="3660" s="283" customFormat="1"/>
    <row r="3661" s="283" customFormat="1"/>
    <row r="3662" s="283" customFormat="1"/>
    <row r="3663" s="283" customFormat="1"/>
    <row r="3664" s="283" customFormat="1"/>
    <row r="3665" s="283" customFormat="1"/>
    <row r="3666" s="283" customFormat="1"/>
    <row r="3667" s="283" customFormat="1"/>
    <row r="3668" s="283" customFormat="1"/>
    <row r="3669" s="283" customFormat="1"/>
    <row r="3670" s="283" customFormat="1"/>
    <row r="3671" s="283" customFormat="1"/>
    <row r="3672" s="283" customFormat="1"/>
    <row r="3673" s="283" customFormat="1"/>
    <row r="3674" s="283" customFormat="1"/>
    <row r="3675" s="283" customFormat="1"/>
    <row r="3676" s="283" customFormat="1"/>
    <row r="3677" s="283" customFormat="1"/>
    <row r="3678" s="283" customFormat="1"/>
    <row r="3679" s="283" customFormat="1"/>
    <row r="3680" s="283" customFormat="1"/>
    <row r="3681" s="283" customFormat="1"/>
    <row r="3682" s="283" customFormat="1"/>
    <row r="3683" s="283" customFormat="1"/>
    <row r="3684" s="283" customFormat="1"/>
    <row r="3685" s="283" customFormat="1"/>
    <row r="3686" s="283" customFormat="1"/>
    <row r="3687" s="283" customFormat="1"/>
    <row r="3688" s="283" customFormat="1"/>
    <row r="3689" s="283" customFormat="1"/>
    <row r="3690" s="283" customFormat="1"/>
    <row r="3691" s="283" customFormat="1"/>
    <row r="3692" s="283" customFormat="1"/>
    <row r="3693" s="283" customFormat="1"/>
    <row r="3694" s="283" customFormat="1"/>
    <row r="3695" s="283" customFormat="1"/>
    <row r="3696" s="283" customFormat="1"/>
    <row r="3697" s="283" customFormat="1"/>
    <row r="3698" s="283" customFormat="1"/>
    <row r="3699" s="283" customFormat="1"/>
    <row r="3700" s="283" customFormat="1"/>
    <row r="3701" s="283" customFormat="1"/>
    <row r="3702" s="283" customFormat="1"/>
    <row r="3703" s="283" customFormat="1"/>
    <row r="3704" s="283" customFormat="1"/>
    <row r="3705" s="283" customFormat="1"/>
    <row r="3706" s="283" customFormat="1"/>
    <row r="3707" s="283" customFormat="1"/>
    <row r="3708" s="283" customFormat="1"/>
    <row r="3709" s="283" customFormat="1"/>
    <row r="3710" s="283" customFormat="1"/>
    <row r="3711" s="283" customFormat="1"/>
    <row r="3712" s="283" customFormat="1"/>
    <row r="3713" s="283" customFormat="1"/>
    <row r="3714" s="283" customFormat="1"/>
    <row r="3715" s="283" customFormat="1"/>
    <row r="3716" s="283" customFormat="1"/>
    <row r="3717" s="283" customFormat="1"/>
    <row r="3718" s="283" customFormat="1"/>
    <row r="3719" s="283" customFormat="1"/>
    <row r="3720" s="283" customFormat="1"/>
    <row r="3721" s="283" customFormat="1"/>
    <row r="3722" s="283" customFormat="1"/>
    <row r="3723" s="283" customFormat="1"/>
    <row r="3724" s="283" customFormat="1"/>
    <row r="3725" s="283" customFormat="1"/>
    <row r="3726" s="283" customFormat="1"/>
    <row r="3727" s="283" customFormat="1"/>
    <row r="3728" s="283" customFormat="1"/>
    <row r="3729" s="283" customFormat="1"/>
    <row r="3730" s="283" customFormat="1"/>
    <row r="3731" s="283" customFormat="1"/>
    <row r="3732" s="283" customFormat="1"/>
    <row r="3733" s="283" customFormat="1"/>
    <row r="3734" s="283" customFormat="1"/>
    <row r="3735" s="283" customFormat="1"/>
    <row r="3736" s="283" customFormat="1"/>
    <row r="3737" s="283" customFormat="1"/>
    <row r="3738" s="283" customFormat="1"/>
    <row r="3739" s="283" customFormat="1"/>
    <row r="3740" s="283" customFormat="1"/>
    <row r="3741" s="283" customFormat="1"/>
    <row r="3742" s="283" customFormat="1"/>
    <row r="3743" s="283" customFormat="1"/>
    <row r="3744" s="283" customFormat="1"/>
    <row r="3745" s="283" customFormat="1"/>
    <row r="3746" s="283" customFormat="1"/>
    <row r="3747" s="283" customFormat="1"/>
    <row r="3748" s="283" customFormat="1"/>
    <row r="3749" s="283" customFormat="1"/>
    <row r="3750" s="283" customFormat="1"/>
    <row r="3751" s="283" customFormat="1"/>
    <row r="3752" s="283" customFormat="1"/>
    <row r="3753" s="283" customFormat="1"/>
    <row r="3754" s="283" customFormat="1"/>
    <row r="3755" s="283" customFormat="1"/>
    <row r="3756" s="283" customFormat="1"/>
    <row r="3757" s="283" customFormat="1"/>
    <row r="3758" s="283" customFormat="1"/>
    <row r="3759" s="283" customFormat="1"/>
    <row r="3760" s="283" customFormat="1"/>
    <row r="3761" s="283" customFormat="1"/>
    <row r="3762" s="283" customFormat="1"/>
    <row r="3763" s="283" customFormat="1"/>
    <row r="3764" s="283" customFormat="1"/>
    <row r="3765" s="283" customFormat="1"/>
    <row r="3766" s="283" customFormat="1"/>
    <row r="3767" s="283" customFormat="1"/>
    <row r="3768" s="283" customFormat="1"/>
    <row r="3769" s="283" customFormat="1"/>
    <row r="3770" s="283" customFormat="1"/>
    <row r="3771" s="283" customFormat="1"/>
    <row r="3772" s="283" customFormat="1"/>
    <row r="3773" s="283" customFormat="1"/>
    <row r="3774" s="283" customFormat="1"/>
    <row r="3775" s="283" customFormat="1"/>
    <row r="3776" s="283" customFormat="1"/>
    <row r="3777" s="283" customFormat="1"/>
    <row r="3778" s="283" customFormat="1"/>
    <row r="3779" s="283" customFormat="1"/>
    <row r="3780" s="283" customFormat="1"/>
    <row r="3781" s="283" customFormat="1"/>
    <row r="3782" s="283" customFormat="1"/>
    <row r="3783" s="283" customFormat="1"/>
    <row r="3784" s="283" customFormat="1"/>
    <row r="3785" s="283" customFormat="1"/>
    <row r="3786" s="283" customFormat="1"/>
    <row r="3787" s="283" customFormat="1"/>
    <row r="3788" s="283" customFormat="1"/>
    <row r="3789" s="283" customFormat="1"/>
    <row r="3790" s="283" customFormat="1"/>
    <row r="3791" s="283" customFormat="1"/>
    <row r="3792" s="283" customFormat="1"/>
    <row r="3793" s="283" customFormat="1"/>
    <row r="3794" s="283" customFormat="1"/>
    <row r="3795" s="283" customFormat="1"/>
    <row r="3796" s="283" customFormat="1"/>
    <row r="3797" s="283" customFormat="1"/>
    <row r="3798" s="283" customFormat="1"/>
    <row r="3799" s="283" customFormat="1"/>
    <row r="3800" s="283" customFormat="1"/>
    <row r="3801" s="283" customFormat="1"/>
    <row r="3802" s="283" customFormat="1"/>
    <row r="3803" s="283" customFormat="1"/>
    <row r="3804" s="283" customFormat="1"/>
    <row r="3805" s="283" customFormat="1"/>
    <row r="3806" s="283" customFormat="1"/>
    <row r="3807" s="283" customFormat="1"/>
    <row r="3808" s="283" customFormat="1"/>
    <row r="3809" s="283" customFormat="1"/>
    <row r="3810" s="283" customFormat="1"/>
    <row r="3811" s="283" customFormat="1"/>
    <row r="3812" s="283" customFormat="1"/>
    <row r="3813" s="283" customFormat="1"/>
    <row r="3814" s="283" customFormat="1"/>
    <row r="3815" s="283" customFormat="1"/>
    <row r="3816" s="283" customFormat="1"/>
    <row r="3817" s="283" customFormat="1"/>
    <row r="3818" s="283" customFormat="1"/>
    <row r="3819" s="283" customFormat="1"/>
    <row r="3820" s="283" customFormat="1"/>
    <row r="3821" s="283" customFormat="1"/>
    <row r="3822" s="283" customFormat="1"/>
    <row r="3823" s="283" customFormat="1"/>
    <row r="3824" s="283" customFormat="1"/>
    <row r="3825" s="283" customFormat="1"/>
    <row r="3826" s="283" customFormat="1"/>
    <row r="3827" s="283" customFormat="1"/>
    <row r="3828" s="283" customFormat="1"/>
    <row r="3829" s="283" customFormat="1"/>
    <row r="3830" s="283" customFormat="1"/>
    <row r="3831" s="283" customFormat="1"/>
    <row r="3832" s="283" customFormat="1"/>
    <row r="3833" s="283" customFormat="1"/>
    <row r="3834" s="283" customFormat="1"/>
    <row r="3835" s="283" customFormat="1"/>
    <row r="3836" s="283" customFormat="1"/>
    <row r="3837" s="283" customFormat="1"/>
    <row r="3838" s="283" customFormat="1"/>
    <row r="3839" s="283" customFormat="1"/>
    <row r="3840" s="283" customFormat="1"/>
    <row r="3841" s="283" customFormat="1"/>
    <row r="3842" s="283" customFormat="1"/>
    <row r="3843" s="283" customFormat="1"/>
    <row r="3844" s="283" customFormat="1"/>
    <row r="3845" s="283" customFormat="1"/>
    <row r="3846" s="283" customFormat="1"/>
    <row r="3847" s="283" customFormat="1"/>
    <row r="3848" s="283" customFormat="1"/>
    <row r="3849" s="283" customFormat="1"/>
    <row r="3850" s="283" customFormat="1"/>
    <row r="3851" s="283" customFormat="1"/>
    <row r="3852" s="283" customFormat="1"/>
    <row r="3853" s="283" customFormat="1"/>
    <row r="3854" s="283" customFormat="1"/>
    <row r="3855" s="283" customFormat="1"/>
    <row r="3856" s="283" customFormat="1"/>
    <row r="3857" s="283" customFormat="1"/>
    <row r="3858" s="283" customFormat="1"/>
    <row r="3859" s="283" customFormat="1"/>
    <row r="3860" s="283" customFormat="1"/>
    <row r="3861" s="283" customFormat="1"/>
    <row r="3862" s="283" customFormat="1"/>
    <row r="3863" s="283" customFormat="1"/>
    <row r="3864" s="283" customFormat="1"/>
    <row r="3865" s="283" customFormat="1"/>
    <row r="3866" s="283" customFormat="1"/>
    <row r="3867" s="283" customFormat="1"/>
    <row r="3868" s="283" customFormat="1"/>
    <row r="3869" s="283" customFormat="1"/>
    <row r="3870" s="283" customFormat="1"/>
    <row r="3871" s="283" customFormat="1"/>
    <row r="3872" s="283" customFormat="1"/>
    <row r="3873" s="283" customFormat="1"/>
    <row r="3874" s="283" customFormat="1"/>
    <row r="3875" s="283" customFormat="1"/>
    <row r="3876" s="283" customFormat="1"/>
    <row r="3877" s="283" customFormat="1"/>
    <row r="3878" s="283" customFormat="1"/>
    <row r="3879" s="283" customFormat="1"/>
    <row r="3880" s="283" customFormat="1"/>
    <row r="3881" s="283" customFormat="1"/>
    <row r="3882" s="283" customFormat="1"/>
    <row r="3883" s="283" customFormat="1"/>
    <row r="3884" s="283" customFormat="1"/>
    <row r="3885" s="283" customFormat="1"/>
    <row r="3886" s="283" customFormat="1"/>
    <row r="3887" s="283" customFormat="1"/>
    <row r="3888" s="283" customFormat="1"/>
    <row r="3889" s="283" customFormat="1"/>
    <row r="3890" s="283" customFormat="1"/>
    <row r="3891" s="283" customFormat="1"/>
    <row r="3892" s="283" customFormat="1"/>
    <row r="3893" s="283" customFormat="1"/>
    <row r="3894" s="283" customFormat="1"/>
    <row r="3895" s="283" customFormat="1"/>
    <row r="3896" s="283" customFormat="1"/>
    <row r="3897" s="283" customFormat="1"/>
    <row r="3898" s="283" customFormat="1"/>
    <row r="3899" s="283" customFormat="1"/>
    <row r="3900" s="283" customFormat="1"/>
    <row r="3901" s="283" customFormat="1"/>
    <row r="3902" s="283" customFormat="1"/>
    <row r="3903" s="283" customFormat="1"/>
    <row r="3904" s="283" customFormat="1"/>
    <row r="3905" s="283" customFormat="1"/>
    <row r="3906" s="283" customFormat="1"/>
    <row r="3907" s="283" customFormat="1"/>
    <row r="3908" s="283" customFormat="1"/>
    <row r="3909" s="283" customFormat="1"/>
    <row r="3910" s="283" customFormat="1"/>
    <row r="3911" s="283" customFormat="1"/>
    <row r="3912" s="283" customFormat="1"/>
    <row r="3913" s="283" customFormat="1"/>
    <row r="3914" s="283" customFormat="1"/>
    <row r="3915" s="283" customFormat="1"/>
    <row r="3916" s="283" customFormat="1"/>
    <row r="3917" s="283" customFormat="1"/>
    <row r="3918" s="283" customFormat="1"/>
    <row r="3919" s="283" customFormat="1"/>
    <row r="3920" s="283" customFormat="1"/>
    <row r="3921" s="283" customFormat="1"/>
    <row r="3922" s="283" customFormat="1"/>
    <row r="3923" s="283" customFormat="1"/>
    <row r="3924" s="283" customFormat="1"/>
    <row r="3925" s="283" customFormat="1"/>
    <row r="3926" s="283" customFormat="1"/>
    <row r="3927" s="283" customFormat="1"/>
    <row r="3928" s="283" customFormat="1"/>
    <row r="3929" s="283" customFormat="1"/>
    <row r="3930" s="283" customFormat="1"/>
    <row r="3931" s="283" customFormat="1"/>
    <row r="3932" s="283" customFormat="1"/>
    <row r="3933" s="283" customFormat="1"/>
    <row r="3934" s="283" customFormat="1"/>
    <row r="3935" s="283" customFormat="1"/>
    <row r="3936" s="283" customFormat="1"/>
    <row r="3937" s="283" customFormat="1"/>
    <row r="3938" s="283" customFormat="1"/>
    <row r="3939" s="283" customFormat="1"/>
    <row r="3940" s="283" customFormat="1"/>
    <row r="3941" s="283" customFormat="1"/>
    <row r="3942" s="283" customFormat="1"/>
    <row r="3943" s="283" customFormat="1"/>
    <row r="3944" s="283" customFormat="1"/>
    <row r="3945" s="283" customFormat="1"/>
    <row r="3946" s="283" customFormat="1"/>
    <row r="3947" s="283" customFormat="1"/>
    <row r="3948" s="283" customFormat="1"/>
    <row r="3949" s="283" customFormat="1"/>
    <row r="3950" s="283" customFormat="1"/>
    <row r="3951" s="283" customFormat="1"/>
    <row r="3952" s="283" customFormat="1"/>
    <row r="3953" s="283" customFormat="1"/>
    <row r="3954" s="283" customFormat="1"/>
    <row r="3955" s="283" customFormat="1"/>
    <row r="3956" s="283" customFormat="1"/>
    <row r="3957" s="283" customFormat="1"/>
    <row r="3958" s="283" customFormat="1"/>
    <row r="3959" s="283" customFormat="1"/>
    <row r="3960" s="283" customFormat="1"/>
    <row r="3961" s="283" customFormat="1"/>
    <row r="3962" s="283" customFormat="1"/>
    <row r="3963" s="283" customFormat="1"/>
    <row r="3964" s="283" customFormat="1"/>
    <row r="3965" s="283" customFormat="1"/>
    <row r="3966" s="283" customFormat="1"/>
    <row r="3967" s="283" customFormat="1"/>
    <row r="3968" s="283" customFormat="1"/>
    <row r="3969" s="283" customFormat="1"/>
    <row r="3970" s="283" customFormat="1"/>
    <row r="3971" s="283" customFormat="1"/>
    <row r="3972" s="283" customFormat="1"/>
    <row r="3973" s="283" customFormat="1"/>
    <row r="3974" s="283" customFormat="1"/>
    <row r="3975" s="283" customFormat="1"/>
    <row r="3976" s="283" customFormat="1"/>
    <row r="3977" s="283" customFormat="1"/>
    <row r="3978" s="283" customFormat="1"/>
    <row r="3979" s="283" customFormat="1"/>
    <row r="3980" s="283" customFormat="1"/>
    <row r="3981" s="283" customFormat="1"/>
    <row r="3982" s="283" customFormat="1"/>
    <row r="3983" s="283" customFormat="1"/>
    <row r="3984" s="283" customFormat="1"/>
    <row r="3985" s="283" customFormat="1"/>
    <row r="3986" s="283" customFormat="1"/>
    <row r="3987" s="283" customFormat="1"/>
    <row r="3988" s="283" customFormat="1"/>
    <row r="3989" s="283" customFormat="1"/>
    <row r="3990" s="283" customFormat="1"/>
    <row r="3991" s="283" customFormat="1"/>
    <row r="3992" s="283" customFormat="1"/>
    <row r="3993" s="283" customFormat="1"/>
    <row r="3994" s="283" customFormat="1"/>
    <row r="3995" s="283" customFormat="1"/>
    <row r="3996" s="283" customFormat="1"/>
    <row r="3997" s="283" customFormat="1"/>
    <row r="3998" s="283" customFormat="1"/>
    <row r="3999" s="283" customFormat="1"/>
    <row r="4000" s="283" customFormat="1"/>
    <row r="4001" s="283" customFormat="1"/>
    <row r="4002" s="283" customFormat="1"/>
    <row r="4003" s="283" customFormat="1"/>
    <row r="4004" s="283" customFormat="1"/>
    <row r="4005" s="283" customFormat="1"/>
    <row r="4006" s="283" customFormat="1"/>
    <row r="4007" s="283" customFormat="1"/>
    <row r="4008" s="283" customFormat="1"/>
    <row r="4009" s="283" customFormat="1"/>
    <row r="4010" s="283" customFormat="1"/>
    <row r="4011" s="283" customFormat="1"/>
    <row r="4012" s="283" customFormat="1"/>
    <row r="4013" s="283" customFormat="1"/>
    <row r="4014" s="283" customFormat="1"/>
    <row r="4015" s="283" customFormat="1"/>
    <row r="4016" s="283" customFormat="1"/>
    <row r="4017" s="283" customFormat="1"/>
    <row r="4018" s="283" customFormat="1"/>
    <row r="4019" s="283" customFormat="1"/>
    <row r="4020" s="283" customFormat="1"/>
    <row r="4021" s="283" customFormat="1"/>
    <row r="4022" s="283" customFormat="1"/>
    <row r="4023" s="283" customFormat="1"/>
    <row r="4024" s="283" customFormat="1"/>
    <row r="4025" s="283" customFormat="1"/>
    <row r="4026" s="283" customFormat="1"/>
    <row r="4027" s="283" customFormat="1"/>
    <row r="4028" s="283" customFormat="1"/>
    <row r="4029" s="283" customFormat="1"/>
    <row r="4030" s="283" customFormat="1"/>
    <row r="4031" s="283" customFormat="1"/>
    <row r="4032" s="283" customFormat="1"/>
    <row r="4033" s="283" customFormat="1"/>
    <row r="4034" s="283" customFormat="1"/>
    <row r="4035" s="283" customFormat="1"/>
    <row r="4036" s="283" customFormat="1"/>
    <row r="4037" s="283" customFormat="1"/>
    <row r="4038" s="283" customFormat="1"/>
    <row r="4039" s="283" customFormat="1"/>
    <row r="4040" s="283" customFormat="1"/>
    <row r="4041" s="283" customFormat="1"/>
    <row r="4042" s="283" customFormat="1"/>
    <row r="4043" s="283" customFormat="1"/>
    <row r="4044" s="283" customFormat="1"/>
    <row r="4045" s="283" customFormat="1"/>
    <row r="4046" s="283" customFormat="1"/>
    <row r="4047" s="283" customFormat="1"/>
    <row r="4048" s="283" customFormat="1"/>
    <row r="4049" s="283" customFormat="1"/>
    <row r="4050" s="283" customFormat="1"/>
    <row r="4051" s="283" customFormat="1"/>
    <row r="4052" s="283" customFormat="1"/>
    <row r="4053" s="283" customFormat="1"/>
    <row r="4054" s="283" customFormat="1"/>
    <row r="4055" s="283" customFormat="1"/>
    <row r="4056" s="283" customFormat="1"/>
    <row r="4057" s="283" customFormat="1"/>
    <row r="4058" s="283" customFormat="1"/>
    <row r="4059" s="283" customFormat="1"/>
    <row r="4060" s="283" customFormat="1"/>
    <row r="4061" s="283" customFormat="1"/>
    <row r="4062" s="283" customFormat="1"/>
    <row r="4063" s="283" customFormat="1"/>
    <row r="4064" s="283" customFormat="1"/>
    <row r="4065" s="283" customFormat="1"/>
    <row r="4066" s="283" customFormat="1"/>
    <row r="4067" s="283" customFormat="1"/>
    <row r="4068" s="283" customFormat="1"/>
    <row r="4069" s="283" customFormat="1"/>
    <row r="4070" s="283" customFormat="1"/>
    <row r="4071" s="283" customFormat="1"/>
    <row r="4072" s="283" customFormat="1"/>
    <row r="4073" s="283" customFormat="1"/>
    <row r="4074" s="283" customFormat="1"/>
    <row r="4075" s="283" customFormat="1"/>
    <row r="4076" s="283" customFormat="1"/>
    <row r="4077" s="283" customFormat="1"/>
    <row r="4078" s="283" customFormat="1"/>
    <row r="4079" s="283" customFormat="1"/>
    <row r="4080" s="283" customFormat="1"/>
    <row r="4081" s="283" customFormat="1"/>
    <row r="4082" s="283" customFormat="1"/>
    <row r="4083" s="283" customFormat="1"/>
    <row r="4084" s="283" customFormat="1"/>
    <row r="4085" s="283" customFormat="1"/>
    <row r="4086" s="283" customFormat="1"/>
    <row r="4087" s="283" customFormat="1"/>
    <row r="4088" s="283" customFormat="1"/>
    <row r="4089" s="283" customFormat="1"/>
    <row r="4090" s="283" customFormat="1"/>
    <row r="4091" s="283" customFormat="1"/>
    <row r="4092" s="283" customFormat="1"/>
    <row r="4093" s="283" customFormat="1"/>
    <row r="4094" s="283" customFormat="1"/>
    <row r="4095" s="283" customFormat="1"/>
    <row r="4096" s="283" customFormat="1"/>
    <row r="4097" s="283" customFormat="1"/>
    <row r="4098" s="283" customFormat="1"/>
    <row r="4099" s="283" customFormat="1"/>
    <row r="4100" s="283" customFormat="1"/>
    <row r="4101" s="283" customFormat="1"/>
    <row r="4102" s="283" customFormat="1"/>
    <row r="4103" s="283" customFormat="1"/>
    <row r="4104" s="283" customFormat="1"/>
    <row r="4105" s="283" customFormat="1"/>
    <row r="4106" s="283" customFormat="1"/>
    <row r="4107" s="283" customFormat="1"/>
    <row r="4108" s="283" customFormat="1"/>
    <row r="4109" s="283" customFormat="1"/>
    <row r="4110" s="283" customFormat="1"/>
    <row r="4111" s="283" customFormat="1"/>
    <row r="4112" s="283" customFormat="1"/>
    <row r="4113" s="283" customFormat="1"/>
    <row r="4114" s="283" customFormat="1"/>
    <row r="4115" s="283" customFormat="1"/>
    <row r="4116" s="283" customFormat="1"/>
    <row r="4117" s="283" customFormat="1"/>
    <row r="4118" s="283" customFormat="1"/>
    <row r="4119" s="283" customFormat="1"/>
    <row r="4120" s="283" customFormat="1"/>
    <row r="4121" s="283" customFormat="1"/>
    <row r="4122" s="283" customFormat="1"/>
    <row r="4123" s="283" customFormat="1"/>
    <row r="4124" s="283" customFormat="1"/>
    <row r="4125" s="283" customFormat="1"/>
    <row r="4126" s="283" customFormat="1"/>
    <row r="4127" s="283" customFormat="1"/>
    <row r="4128" s="283" customFormat="1"/>
    <row r="4129" s="283" customFormat="1"/>
    <row r="4130" s="283" customFormat="1"/>
    <row r="4131" s="283" customFormat="1"/>
    <row r="4132" s="283" customFormat="1"/>
    <row r="4133" s="283" customFormat="1"/>
    <row r="4134" s="283" customFormat="1"/>
    <row r="4135" s="283" customFormat="1"/>
    <row r="4136" s="283" customFormat="1"/>
    <row r="4137" s="283" customFormat="1"/>
    <row r="4138" s="283" customFormat="1"/>
    <row r="4139" s="283" customFormat="1"/>
    <row r="4140" s="283" customFormat="1"/>
    <row r="4141" s="283" customFormat="1"/>
    <row r="4142" s="283" customFormat="1"/>
    <row r="4143" s="283" customFormat="1"/>
    <row r="4144" s="283" customFormat="1"/>
    <row r="4145" s="283" customFormat="1"/>
    <row r="4146" s="283" customFormat="1"/>
    <row r="4147" s="283" customFormat="1"/>
    <row r="4148" s="283" customFormat="1"/>
    <row r="4149" s="283" customFormat="1"/>
    <row r="4150" s="283" customFormat="1"/>
    <row r="4151" s="283" customFormat="1"/>
    <row r="4152" s="283" customFormat="1"/>
    <row r="4153" s="283" customFormat="1"/>
    <row r="4154" s="283" customFormat="1"/>
    <row r="4155" s="283" customFormat="1"/>
    <row r="4156" s="283" customFormat="1"/>
    <row r="4157" s="283" customFormat="1"/>
    <row r="4158" s="283" customFormat="1"/>
    <row r="4159" s="283" customFormat="1"/>
    <row r="4160" s="283" customFormat="1"/>
    <row r="4161" s="283" customFormat="1"/>
    <row r="4162" s="283" customFormat="1"/>
    <row r="4163" s="283" customFormat="1"/>
    <row r="4164" s="283" customFormat="1"/>
    <row r="4165" s="283" customFormat="1"/>
    <row r="4166" s="283" customFormat="1"/>
    <row r="4167" s="283" customFormat="1"/>
    <row r="4168" s="283" customFormat="1"/>
    <row r="4169" s="283" customFormat="1"/>
    <row r="4170" s="283" customFormat="1"/>
    <row r="4171" s="283" customFormat="1"/>
    <row r="4172" s="283" customFormat="1"/>
    <row r="4173" s="283" customFormat="1"/>
    <row r="4174" s="283" customFormat="1"/>
    <row r="4175" s="283" customFormat="1"/>
    <row r="4176" s="283" customFormat="1"/>
    <row r="4177" s="283" customFormat="1"/>
    <row r="4178" s="283" customFormat="1"/>
    <row r="4179" s="283" customFormat="1"/>
    <row r="4180" s="283" customFormat="1"/>
    <row r="4181" s="283" customFormat="1"/>
    <row r="4182" s="283" customFormat="1"/>
    <row r="4183" s="283" customFormat="1"/>
    <row r="4184" s="283" customFormat="1"/>
    <row r="4185" s="283" customFormat="1"/>
    <row r="4186" s="283" customFormat="1"/>
    <row r="4187" s="283" customFormat="1"/>
    <row r="4188" s="283" customFormat="1"/>
    <row r="4189" s="283" customFormat="1"/>
    <row r="4190" s="283" customFormat="1"/>
    <row r="4191" s="283" customFormat="1"/>
    <row r="4192" s="283" customFormat="1"/>
    <row r="4193" s="283" customFormat="1"/>
    <row r="4194" s="283" customFormat="1"/>
    <row r="4195" s="283" customFormat="1"/>
    <row r="4196" s="283" customFormat="1"/>
    <row r="4197" s="283" customFormat="1"/>
    <row r="4198" s="283" customFormat="1"/>
    <row r="4199" s="283" customFormat="1"/>
    <row r="4200" s="283" customFormat="1"/>
    <row r="4201" s="283" customFormat="1"/>
    <row r="4202" s="283" customFormat="1"/>
    <row r="4203" s="283" customFormat="1"/>
    <row r="4204" s="283" customFormat="1"/>
    <row r="4205" s="283" customFormat="1"/>
    <row r="4206" s="283" customFormat="1"/>
    <row r="4207" s="283" customFormat="1"/>
    <row r="4208" s="283" customFormat="1"/>
    <row r="4209" s="283" customFormat="1"/>
    <row r="4210" s="283" customFormat="1"/>
    <row r="4211" s="283" customFormat="1"/>
    <row r="4212" s="283" customFormat="1"/>
    <row r="4213" s="283" customFormat="1"/>
    <row r="4214" s="283" customFormat="1"/>
    <row r="4215" s="283" customFormat="1"/>
    <row r="4216" s="283" customFormat="1"/>
    <row r="4217" s="283" customFormat="1"/>
    <row r="4218" s="283" customFormat="1"/>
    <row r="4219" s="283" customFormat="1"/>
    <row r="4220" s="283" customFormat="1"/>
    <row r="4221" s="283" customFormat="1"/>
    <row r="4222" s="283" customFormat="1"/>
    <row r="4223" s="283" customFormat="1"/>
    <row r="4224" s="283" customFormat="1"/>
    <row r="4225" s="283" customFormat="1"/>
    <row r="4226" s="283" customFormat="1"/>
    <row r="4227" s="283" customFormat="1"/>
    <row r="4228" s="283" customFormat="1"/>
    <row r="4229" s="283" customFormat="1"/>
    <row r="4230" s="283" customFormat="1"/>
    <row r="4231" s="283" customFormat="1"/>
    <row r="4232" s="283" customFormat="1"/>
    <row r="4233" s="283" customFormat="1"/>
    <row r="4234" s="283" customFormat="1"/>
    <row r="4235" s="283" customFormat="1"/>
    <row r="4236" s="283" customFormat="1"/>
    <row r="4237" s="283" customFormat="1"/>
    <row r="4238" s="283" customFormat="1"/>
    <row r="4239" s="283" customFormat="1"/>
    <row r="4240" s="283" customFormat="1"/>
    <row r="4241" s="283" customFormat="1"/>
    <row r="4242" s="283" customFormat="1"/>
    <row r="4243" s="283" customFormat="1"/>
    <row r="4244" s="283" customFormat="1"/>
    <row r="4245" s="283" customFormat="1"/>
    <row r="4246" s="283" customFormat="1"/>
    <row r="4247" s="283" customFormat="1"/>
    <row r="4248" s="283" customFormat="1"/>
    <row r="4249" s="283" customFormat="1"/>
    <row r="4250" s="283" customFormat="1"/>
    <row r="4251" s="283" customFormat="1"/>
    <row r="4252" s="283" customFormat="1"/>
    <row r="4253" s="283" customFormat="1"/>
    <row r="4254" s="283" customFormat="1"/>
    <row r="4255" s="283" customFormat="1"/>
    <row r="4256" s="283" customFormat="1"/>
    <row r="4257" s="283" customFormat="1"/>
    <row r="4258" s="283" customFormat="1"/>
    <row r="4259" s="283" customFormat="1"/>
    <row r="4260" s="283" customFormat="1"/>
    <row r="4261" s="283" customFormat="1"/>
    <row r="4262" s="283" customFormat="1"/>
    <row r="4263" s="283" customFormat="1"/>
    <row r="4264" s="283" customFormat="1"/>
    <row r="4265" s="283" customFormat="1"/>
    <row r="4266" s="283" customFormat="1"/>
    <row r="4267" s="283" customFormat="1"/>
    <row r="4268" s="283" customFormat="1"/>
    <row r="4269" s="283" customFormat="1"/>
    <row r="4270" s="283" customFormat="1"/>
    <row r="4271" s="283" customFormat="1"/>
    <row r="4272" s="283" customFormat="1"/>
    <row r="4273" s="283" customFormat="1"/>
    <row r="4274" s="283" customFormat="1"/>
    <row r="4275" s="283" customFormat="1"/>
    <row r="4276" s="283" customFormat="1"/>
    <row r="4277" s="283" customFormat="1"/>
    <row r="4278" s="283" customFormat="1"/>
    <row r="4279" s="283" customFormat="1"/>
    <row r="4280" s="283" customFormat="1"/>
    <row r="4281" s="283" customFormat="1"/>
    <row r="4282" s="283" customFormat="1"/>
    <row r="4283" s="283" customFormat="1"/>
    <row r="4284" s="283" customFormat="1"/>
    <row r="4285" s="283" customFormat="1"/>
    <row r="4286" s="283" customFormat="1"/>
    <row r="4287" s="283" customFormat="1"/>
    <row r="4288" s="283" customFormat="1"/>
    <row r="4289" s="283" customFormat="1"/>
    <row r="4290" s="283" customFormat="1"/>
    <row r="4291" s="283" customFormat="1"/>
    <row r="4292" s="283" customFormat="1"/>
    <row r="4293" s="283" customFormat="1"/>
    <row r="4294" s="283" customFormat="1"/>
    <row r="4295" s="283" customFormat="1"/>
    <row r="4296" s="283" customFormat="1"/>
    <row r="4297" s="283" customFormat="1"/>
    <row r="4298" s="283" customFormat="1"/>
    <row r="4299" s="283" customFormat="1"/>
    <row r="4300" s="283" customFormat="1"/>
    <row r="4301" s="283" customFormat="1"/>
    <row r="4302" s="283" customFormat="1"/>
    <row r="4303" s="283" customFormat="1"/>
    <row r="4304" s="283" customFormat="1"/>
    <row r="4305" s="283" customFormat="1"/>
    <row r="4306" s="283" customFormat="1"/>
    <row r="4307" s="283" customFormat="1"/>
    <row r="4308" s="283" customFormat="1"/>
    <row r="4309" s="283" customFormat="1"/>
    <row r="4310" s="283" customFormat="1"/>
    <row r="4311" s="283" customFormat="1"/>
    <row r="4312" s="283" customFormat="1"/>
    <row r="4313" s="283" customFormat="1"/>
    <row r="4314" s="283" customFormat="1"/>
    <row r="4315" s="283" customFormat="1"/>
    <row r="4316" s="283" customFormat="1"/>
    <row r="4317" s="283" customFormat="1"/>
    <row r="4318" s="283" customFormat="1"/>
    <row r="4319" s="283" customFormat="1"/>
    <row r="4320" s="283" customFormat="1"/>
    <row r="4321" s="283" customFormat="1"/>
    <row r="4322" s="283" customFormat="1"/>
    <row r="4323" s="283" customFormat="1"/>
    <row r="4324" s="283" customFormat="1"/>
    <row r="4325" s="283" customFormat="1"/>
    <row r="4326" s="283" customFormat="1"/>
    <row r="4327" s="283" customFormat="1"/>
    <row r="4328" s="283" customFormat="1"/>
    <row r="4329" s="283" customFormat="1"/>
    <row r="4330" s="283" customFormat="1"/>
    <row r="4331" s="283" customFormat="1"/>
    <row r="4332" s="283" customFormat="1"/>
    <row r="4333" s="283" customFormat="1"/>
    <row r="4334" s="283" customFormat="1"/>
    <row r="4335" s="283" customFormat="1"/>
    <row r="4336" s="283" customFormat="1"/>
    <row r="4337" s="283" customFormat="1"/>
    <row r="4338" s="283" customFormat="1"/>
    <row r="4339" s="283" customFormat="1"/>
    <row r="4340" s="283" customFormat="1"/>
    <row r="4341" s="283" customFormat="1"/>
    <row r="4342" s="283" customFormat="1"/>
    <row r="4343" s="283" customFormat="1"/>
    <row r="4344" s="283" customFormat="1"/>
    <row r="4345" s="283" customFormat="1"/>
    <row r="4346" s="283" customFormat="1"/>
    <row r="4347" s="283" customFormat="1"/>
    <row r="4348" s="283" customFormat="1"/>
    <row r="4349" s="283" customFormat="1"/>
    <row r="4350" s="283" customFormat="1"/>
    <row r="4351" s="283" customFormat="1"/>
    <row r="4352" s="283" customFormat="1"/>
    <row r="4353" s="283" customFormat="1"/>
    <row r="4354" s="283" customFormat="1"/>
    <row r="4355" s="283" customFormat="1"/>
    <row r="4356" s="283" customFormat="1"/>
    <row r="4357" s="283" customFormat="1"/>
    <row r="4358" s="283" customFormat="1"/>
    <row r="4359" s="283" customFormat="1"/>
    <row r="4360" s="283" customFormat="1"/>
    <row r="4361" s="283" customFormat="1"/>
    <row r="4362" s="283" customFormat="1"/>
    <row r="4363" s="283" customFormat="1"/>
    <row r="4364" s="283" customFormat="1"/>
    <row r="4365" s="283" customFormat="1"/>
    <row r="4366" s="283" customFormat="1"/>
    <row r="4367" s="283" customFormat="1"/>
    <row r="4368" s="283" customFormat="1"/>
    <row r="4369" s="283" customFormat="1"/>
    <row r="4370" s="283" customFormat="1"/>
    <row r="4371" s="283" customFormat="1"/>
    <row r="4372" s="283" customFormat="1"/>
    <row r="4373" s="283" customFormat="1"/>
    <row r="4374" s="283" customFormat="1"/>
    <row r="4375" s="283" customFormat="1"/>
    <row r="4376" s="283" customFormat="1"/>
    <row r="4377" s="283" customFormat="1"/>
    <row r="4378" s="283" customFormat="1"/>
    <row r="4379" s="283" customFormat="1"/>
    <row r="4380" s="283" customFormat="1"/>
    <row r="4381" s="283" customFormat="1"/>
    <row r="4382" s="283" customFormat="1"/>
    <row r="4383" s="283" customFormat="1"/>
    <row r="4384" s="283" customFormat="1"/>
    <row r="4385" s="283" customFormat="1"/>
    <row r="4386" s="283" customFormat="1"/>
    <row r="4387" s="283" customFormat="1"/>
    <row r="4388" s="283" customFormat="1"/>
    <row r="4389" s="283" customFormat="1"/>
    <row r="4390" s="283" customFormat="1"/>
    <row r="4391" s="283" customFormat="1"/>
    <row r="4392" s="283" customFormat="1"/>
    <row r="4393" s="283" customFormat="1"/>
    <row r="4394" s="283" customFormat="1"/>
    <row r="4395" s="283" customFormat="1"/>
    <row r="4396" s="283" customFormat="1"/>
    <row r="4397" s="283" customFormat="1"/>
    <row r="4398" s="283" customFormat="1"/>
    <row r="4399" s="283" customFormat="1"/>
    <row r="4400" s="283" customFormat="1"/>
    <row r="4401" s="283" customFormat="1"/>
    <row r="4402" s="283" customFormat="1"/>
    <row r="4403" s="283" customFormat="1"/>
    <row r="4404" s="283" customFormat="1"/>
    <row r="4405" s="283" customFormat="1"/>
    <row r="4406" s="283" customFormat="1"/>
    <row r="4407" s="283" customFormat="1"/>
    <row r="4408" s="283" customFormat="1"/>
    <row r="4409" s="283" customFormat="1"/>
    <row r="4410" s="283" customFormat="1"/>
    <row r="4411" s="283" customFormat="1"/>
    <row r="4412" s="283" customFormat="1"/>
    <row r="4413" s="283" customFormat="1"/>
    <row r="4414" s="283" customFormat="1"/>
    <row r="4415" s="283" customFormat="1"/>
    <row r="4416" s="283" customFormat="1"/>
    <row r="4417" s="283" customFormat="1"/>
    <row r="4418" s="283" customFormat="1"/>
    <row r="4419" s="283" customFormat="1"/>
    <row r="4420" s="283" customFormat="1"/>
    <row r="4421" s="283" customFormat="1"/>
    <row r="4422" s="283" customFormat="1"/>
    <row r="4423" s="283" customFormat="1"/>
    <row r="4424" s="283" customFormat="1"/>
    <row r="4425" s="283" customFormat="1"/>
    <row r="4426" s="283" customFormat="1"/>
    <row r="4427" s="283" customFormat="1"/>
    <row r="4428" s="283" customFormat="1"/>
    <row r="4429" s="283" customFormat="1"/>
    <row r="4430" s="283" customFormat="1"/>
    <row r="4431" s="283" customFormat="1"/>
    <row r="4432" s="283" customFormat="1"/>
    <row r="4433" s="283" customFormat="1"/>
    <row r="4434" s="283" customFormat="1"/>
    <row r="4435" s="283" customFormat="1"/>
    <row r="4436" s="283" customFormat="1"/>
    <row r="4437" s="283" customFormat="1"/>
    <row r="4438" s="283" customFormat="1"/>
    <row r="4439" s="283" customFormat="1"/>
    <row r="4440" s="283" customFormat="1"/>
    <row r="4441" s="283" customFormat="1"/>
    <row r="4442" s="283" customFormat="1"/>
    <row r="4443" s="283" customFormat="1"/>
    <row r="4444" s="283" customFormat="1"/>
    <row r="4445" s="283" customFormat="1"/>
    <row r="4446" s="283" customFormat="1"/>
    <row r="4447" s="283" customFormat="1"/>
    <row r="4448" s="283" customFormat="1"/>
    <row r="4449" s="283" customFormat="1"/>
    <row r="4450" s="283" customFormat="1"/>
    <row r="4451" s="283" customFormat="1"/>
    <row r="4452" s="283" customFormat="1"/>
    <row r="4453" s="283" customFormat="1"/>
    <row r="4454" s="283" customFormat="1"/>
    <row r="4455" s="283" customFormat="1"/>
    <row r="4456" s="283" customFormat="1"/>
    <row r="4457" s="283" customFormat="1"/>
    <row r="4458" s="283" customFormat="1"/>
    <row r="4459" s="283" customFormat="1"/>
    <row r="4460" s="283" customFormat="1"/>
    <row r="4461" s="283" customFormat="1"/>
    <row r="4462" s="283" customFormat="1"/>
    <row r="4463" s="283" customFormat="1"/>
    <row r="4464" s="283" customFormat="1"/>
    <row r="4465" s="283" customFormat="1"/>
    <row r="4466" s="283" customFormat="1"/>
    <row r="4467" s="283" customFormat="1"/>
    <row r="4468" s="283" customFormat="1"/>
    <row r="4469" s="283" customFormat="1"/>
    <row r="4470" s="283" customFormat="1"/>
    <row r="4471" s="283" customFormat="1"/>
    <row r="4472" s="283" customFormat="1"/>
    <row r="4473" s="283" customFormat="1"/>
    <row r="4474" s="283" customFormat="1"/>
    <row r="4475" s="283" customFormat="1"/>
    <row r="4476" s="283" customFormat="1"/>
    <row r="4477" s="283" customFormat="1"/>
    <row r="4478" s="283" customFormat="1"/>
    <row r="4479" s="283" customFormat="1"/>
    <row r="4480" s="283" customFormat="1"/>
    <row r="4481" s="283" customFormat="1"/>
    <row r="4482" s="283" customFormat="1"/>
    <row r="4483" s="283" customFormat="1"/>
    <row r="4484" s="283" customFormat="1"/>
    <row r="4485" s="283" customFormat="1"/>
    <row r="4486" s="283" customFormat="1"/>
    <row r="4487" s="283" customFormat="1"/>
    <row r="4488" s="283" customFormat="1"/>
    <row r="4489" s="283" customFormat="1"/>
    <row r="4490" s="283" customFormat="1"/>
    <row r="4491" s="283" customFormat="1"/>
    <row r="4492" s="283" customFormat="1"/>
    <row r="4493" s="283" customFormat="1"/>
    <row r="4494" s="283" customFormat="1"/>
    <row r="4495" s="283" customFormat="1"/>
    <row r="4496" s="283" customFormat="1"/>
    <row r="4497" s="283" customFormat="1"/>
    <row r="4498" s="283" customFormat="1"/>
    <row r="4499" s="283" customFormat="1"/>
    <row r="4500" s="283" customFormat="1"/>
    <row r="4501" s="283" customFormat="1"/>
    <row r="4502" s="283" customFormat="1"/>
    <row r="4503" s="283" customFormat="1"/>
    <row r="4504" s="283" customFormat="1"/>
    <row r="4505" s="283" customFormat="1"/>
    <row r="4506" s="283" customFormat="1"/>
    <row r="4507" s="283" customFormat="1"/>
    <row r="4508" s="283" customFormat="1"/>
    <row r="4509" s="283" customFormat="1"/>
    <row r="4510" s="283" customFormat="1"/>
    <row r="4511" s="283" customFormat="1"/>
    <row r="4512" s="283" customFormat="1"/>
    <row r="4513" s="283" customFormat="1"/>
    <row r="4514" s="283" customFormat="1"/>
    <row r="4515" s="283" customFormat="1"/>
    <row r="4516" s="283" customFormat="1"/>
    <row r="4517" s="283" customFormat="1"/>
    <row r="4518" s="283" customFormat="1"/>
    <row r="4519" s="283" customFormat="1"/>
    <row r="4520" s="283" customFormat="1"/>
    <row r="4521" s="283" customFormat="1"/>
    <row r="4522" s="283" customFormat="1"/>
    <row r="4523" s="283" customFormat="1"/>
    <row r="4524" s="283" customFormat="1"/>
    <row r="4525" s="283" customFormat="1"/>
    <row r="4526" s="283" customFormat="1"/>
    <row r="4527" s="283" customFormat="1"/>
    <row r="4528" s="283" customFormat="1"/>
    <row r="4529" s="283" customFormat="1"/>
    <row r="4530" s="283" customFormat="1"/>
    <row r="4531" s="283" customFormat="1"/>
    <row r="4532" s="283" customFormat="1"/>
    <row r="4533" s="283" customFormat="1"/>
    <row r="4534" s="283" customFormat="1"/>
    <row r="4535" s="283" customFormat="1"/>
    <row r="4536" s="283" customFormat="1"/>
    <row r="4537" s="283" customFormat="1"/>
    <row r="4538" s="283" customFormat="1"/>
    <row r="4539" s="283" customFormat="1"/>
    <row r="4540" s="283" customFormat="1"/>
    <row r="4541" s="283" customFormat="1"/>
    <row r="4542" s="283" customFormat="1"/>
    <row r="4543" s="283" customFormat="1"/>
    <row r="4544" s="283" customFormat="1"/>
    <row r="4545" s="283" customFormat="1"/>
    <row r="4546" s="283" customFormat="1"/>
    <row r="4547" s="283" customFormat="1"/>
    <row r="4548" s="283" customFormat="1"/>
    <row r="4549" s="283" customFormat="1"/>
    <row r="4550" s="283" customFormat="1"/>
    <row r="4551" s="283" customFormat="1"/>
    <row r="4552" s="283" customFormat="1"/>
    <row r="4553" s="283" customFormat="1"/>
    <row r="4554" s="283" customFormat="1"/>
    <row r="4555" s="283" customFormat="1"/>
    <row r="4556" s="283" customFormat="1"/>
    <row r="4557" s="283" customFormat="1"/>
    <row r="4558" s="283" customFormat="1"/>
    <row r="4559" s="283" customFormat="1"/>
    <row r="4560" s="283" customFormat="1"/>
    <row r="4561" s="283" customFormat="1"/>
    <row r="4562" s="283" customFormat="1"/>
    <row r="4563" s="283" customFormat="1"/>
    <row r="4564" s="283" customFormat="1"/>
    <row r="4565" s="283" customFormat="1"/>
    <row r="4566" s="283" customFormat="1"/>
    <row r="4567" s="283" customFormat="1"/>
    <row r="4568" s="283" customFormat="1"/>
    <row r="4569" s="283" customFormat="1"/>
    <row r="4570" s="283" customFormat="1"/>
    <row r="4571" s="283" customFormat="1"/>
    <row r="4572" s="283" customFormat="1"/>
    <row r="4573" s="283" customFormat="1"/>
    <row r="4574" s="283" customFormat="1"/>
    <row r="4575" s="283" customFormat="1"/>
    <row r="4576" s="283" customFormat="1"/>
    <row r="4577" s="283" customFormat="1"/>
    <row r="4578" s="283" customFormat="1"/>
    <row r="4579" s="283" customFormat="1"/>
    <row r="4580" s="283" customFormat="1"/>
    <row r="4581" s="283" customFormat="1"/>
    <row r="4582" s="283" customFormat="1"/>
    <row r="4583" s="283" customFormat="1"/>
    <row r="4584" s="283" customFormat="1"/>
    <row r="4585" s="283" customFormat="1"/>
    <row r="4586" s="283" customFormat="1"/>
    <row r="4587" s="283" customFormat="1"/>
    <row r="4588" s="283" customFormat="1"/>
    <row r="4589" s="283" customFormat="1"/>
    <row r="4590" s="283" customFormat="1"/>
    <row r="4591" s="283" customFormat="1"/>
    <row r="4592" s="283" customFormat="1"/>
    <row r="4593" s="283" customFormat="1"/>
    <row r="4594" s="283" customFormat="1"/>
    <row r="4595" s="283" customFormat="1"/>
    <row r="4596" s="283" customFormat="1"/>
    <row r="4597" s="283" customFormat="1"/>
    <row r="4598" s="283" customFormat="1"/>
    <row r="4599" s="283" customFormat="1"/>
    <row r="4600" s="283" customFormat="1"/>
    <row r="4601" s="283" customFormat="1"/>
    <row r="4602" s="283" customFormat="1"/>
    <row r="4603" s="283" customFormat="1"/>
    <row r="4604" s="283" customFormat="1"/>
    <row r="4605" s="283" customFormat="1"/>
    <row r="4606" s="283" customFormat="1"/>
    <row r="4607" s="283" customFormat="1"/>
    <row r="4608" s="283" customFormat="1"/>
    <row r="4609" s="283" customFormat="1"/>
    <row r="4610" s="283" customFormat="1"/>
    <row r="4611" s="283" customFormat="1"/>
    <row r="4612" s="283" customFormat="1"/>
    <row r="4613" s="283" customFormat="1"/>
    <row r="4614" s="283" customFormat="1"/>
    <row r="4615" s="283" customFormat="1"/>
    <row r="4616" s="283" customFormat="1"/>
    <row r="4617" s="283" customFormat="1"/>
    <row r="4618" s="283" customFormat="1"/>
    <row r="4619" s="283" customFormat="1"/>
    <row r="4620" s="283" customFormat="1"/>
    <row r="4621" s="283" customFormat="1"/>
    <row r="4622" s="283" customFormat="1"/>
    <row r="4623" s="283" customFormat="1"/>
    <row r="4624" s="283" customFormat="1"/>
    <row r="4625" s="283" customFormat="1"/>
    <row r="4626" s="283" customFormat="1"/>
    <row r="4627" s="283" customFormat="1"/>
    <row r="4628" s="283" customFormat="1"/>
    <row r="4629" s="283" customFormat="1"/>
    <row r="4630" s="283" customFormat="1"/>
    <row r="4631" s="283" customFormat="1"/>
    <row r="4632" s="283" customFormat="1"/>
    <row r="4633" s="283" customFormat="1"/>
    <row r="4634" s="283" customFormat="1"/>
    <row r="4635" s="283" customFormat="1"/>
    <row r="4636" s="283" customFormat="1"/>
    <row r="4637" s="283" customFormat="1"/>
    <row r="4638" s="283" customFormat="1"/>
    <row r="4639" s="283" customFormat="1"/>
    <row r="4640" s="283" customFormat="1"/>
    <row r="4641" s="283" customFormat="1"/>
    <row r="4642" s="283" customFormat="1"/>
    <row r="4643" s="283" customFormat="1"/>
    <row r="4644" s="283" customFormat="1"/>
    <row r="4645" s="283" customFormat="1"/>
    <row r="4646" s="283" customFormat="1"/>
    <row r="4647" s="283" customFormat="1"/>
    <row r="4648" s="283" customFormat="1"/>
    <row r="4649" s="283" customFormat="1"/>
    <row r="4650" s="283" customFormat="1"/>
    <row r="4651" s="283" customFormat="1"/>
    <row r="4652" s="283" customFormat="1"/>
    <row r="4653" s="283" customFormat="1"/>
    <row r="4654" s="283" customFormat="1"/>
    <row r="4655" s="283" customFormat="1"/>
    <row r="4656" s="283" customFormat="1"/>
    <row r="4657" s="283" customFormat="1"/>
    <row r="4658" s="283" customFormat="1"/>
    <row r="4659" s="283" customFormat="1"/>
    <row r="4660" s="283" customFormat="1"/>
    <row r="4661" s="283" customFormat="1"/>
    <row r="4662" s="283" customFormat="1"/>
    <row r="4663" s="283" customFormat="1"/>
    <row r="4664" s="283" customFormat="1"/>
    <row r="4665" s="283" customFormat="1"/>
    <row r="4666" s="283" customFormat="1"/>
    <row r="4667" s="283" customFormat="1"/>
    <row r="4668" s="283" customFormat="1"/>
    <row r="4669" s="283" customFormat="1"/>
    <row r="4670" s="283" customFormat="1"/>
    <row r="4671" s="283" customFormat="1"/>
    <row r="4672" s="283" customFormat="1"/>
    <row r="4673" s="283" customFormat="1"/>
    <row r="4674" s="283" customFormat="1"/>
    <row r="4675" s="283" customFormat="1"/>
    <row r="4676" s="283" customFormat="1"/>
    <row r="4677" s="283" customFormat="1"/>
    <row r="4678" s="283" customFormat="1"/>
    <row r="4679" s="283" customFormat="1"/>
    <row r="4680" s="283" customFormat="1"/>
    <row r="4681" s="283" customFormat="1"/>
    <row r="4682" s="283" customFormat="1"/>
    <row r="4683" s="283" customFormat="1"/>
    <row r="4684" s="283" customFormat="1"/>
    <row r="4685" s="283" customFormat="1"/>
    <row r="4686" s="283" customFormat="1"/>
    <row r="4687" s="283" customFormat="1"/>
    <row r="4688" s="283" customFormat="1"/>
    <row r="4689" s="283" customFormat="1"/>
    <row r="4690" s="283" customFormat="1"/>
    <row r="4691" s="283" customFormat="1"/>
    <row r="4692" s="283" customFormat="1"/>
    <row r="4693" s="283" customFormat="1"/>
    <row r="4694" s="283" customFormat="1"/>
    <row r="4695" s="283" customFormat="1"/>
    <row r="4696" s="283" customFormat="1"/>
    <row r="4697" s="283" customFormat="1"/>
    <row r="4698" s="283" customFormat="1"/>
    <row r="4699" s="283" customFormat="1"/>
    <row r="4700" s="283" customFormat="1"/>
    <row r="4701" s="283" customFormat="1"/>
    <row r="4702" s="283" customFormat="1"/>
    <row r="4703" s="283" customFormat="1"/>
    <row r="4704" s="283" customFormat="1"/>
    <row r="4705" s="283" customFormat="1"/>
    <row r="4706" s="283" customFormat="1"/>
    <row r="4707" s="283" customFormat="1"/>
    <row r="4708" s="283" customFormat="1"/>
    <row r="4709" s="283" customFormat="1"/>
    <row r="4710" s="283" customFormat="1"/>
    <row r="4711" s="283" customFormat="1"/>
    <row r="4712" s="283" customFormat="1"/>
    <row r="4713" s="283" customFormat="1"/>
    <row r="4714" s="283" customFormat="1"/>
    <row r="4715" s="283" customFormat="1"/>
    <row r="4716" s="283" customFormat="1"/>
    <row r="4717" s="283" customFormat="1"/>
    <row r="4718" s="283" customFormat="1"/>
    <row r="4719" s="283" customFormat="1"/>
    <row r="4720" s="283" customFormat="1"/>
    <row r="4721" s="283" customFormat="1"/>
    <row r="4722" s="283" customFormat="1"/>
    <row r="4723" s="283" customFormat="1"/>
    <row r="4724" s="283" customFormat="1"/>
    <row r="4725" s="283" customFormat="1"/>
    <row r="4726" s="283" customFormat="1"/>
    <row r="4727" s="283" customFormat="1"/>
    <row r="4728" s="283" customFormat="1"/>
    <row r="4729" s="283" customFormat="1"/>
    <row r="4730" s="283" customFormat="1"/>
    <row r="4731" s="283" customFormat="1"/>
    <row r="4732" s="283" customFormat="1"/>
    <row r="4733" s="283" customFormat="1"/>
    <row r="4734" s="283" customFormat="1"/>
    <row r="4735" s="283" customFormat="1"/>
    <row r="4736" s="283" customFormat="1"/>
    <row r="4737" s="283" customFormat="1"/>
    <row r="4738" s="283" customFormat="1"/>
    <row r="4739" s="283" customFormat="1"/>
    <row r="4740" s="283" customFormat="1"/>
    <row r="4741" s="283" customFormat="1"/>
    <row r="4742" s="283" customFormat="1"/>
    <row r="4743" s="283" customFormat="1"/>
    <row r="4744" s="283" customFormat="1"/>
    <row r="4745" s="283" customFormat="1"/>
    <row r="4746" s="283" customFormat="1"/>
    <row r="4747" s="283" customFormat="1"/>
    <row r="4748" s="283" customFormat="1"/>
    <row r="4749" s="283" customFormat="1"/>
    <row r="4750" s="283" customFormat="1"/>
    <row r="4751" s="283" customFormat="1"/>
    <row r="4752" s="283" customFormat="1"/>
    <row r="4753" s="283" customFormat="1"/>
    <row r="4754" s="283" customFormat="1"/>
    <row r="4755" s="283" customFormat="1"/>
    <row r="4756" s="283" customFormat="1"/>
    <row r="4757" s="283" customFormat="1"/>
    <row r="4758" s="283" customFormat="1"/>
    <row r="4759" s="283" customFormat="1"/>
    <row r="4760" s="283" customFormat="1"/>
    <row r="4761" s="283" customFormat="1"/>
    <row r="4762" s="283" customFormat="1"/>
    <row r="4763" s="283" customFormat="1"/>
    <row r="4764" s="283" customFormat="1"/>
    <row r="4765" s="283" customFormat="1"/>
    <row r="4766" s="283" customFormat="1"/>
    <row r="4767" s="283" customFormat="1"/>
    <row r="4768" s="283" customFormat="1"/>
    <row r="4769" s="283" customFormat="1"/>
    <row r="4770" s="283" customFormat="1"/>
    <row r="4771" s="283" customFormat="1"/>
    <row r="4772" s="283" customFormat="1"/>
    <row r="4773" s="283" customFormat="1"/>
    <row r="4774" s="283" customFormat="1"/>
    <row r="4775" s="283" customFormat="1"/>
    <row r="4776" s="283" customFormat="1"/>
    <row r="4777" s="283" customFormat="1"/>
    <row r="4778" s="283" customFormat="1"/>
    <row r="4779" s="283" customFormat="1"/>
    <row r="4780" s="283" customFormat="1"/>
    <row r="4781" s="283" customFormat="1"/>
    <row r="4782" s="283" customFormat="1"/>
    <row r="4783" s="283" customFormat="1"/>
    <row r="4784" s="283" customFormat="1"/>
    <row r="4785" s="283" customFormat="1"/>
    <row r="4786" s="283" customFormat="1"/>
    <row r="4787" s="283" customFormat="1"/>
    <row r="4788" s="283" customFormat="1"/>
    <row r="4789" s="283" customFormat="1"/>
    <row r="4790" s="283" customFormat="1"/>
    <row r="4791" s="283" customFormat="1"/>
    <row r="4792" s="283" customFormat="1"/>
    <row r="4793" s="283" customFormat="1"/>
    <row r="4794" s="283" customFormat="1"/>
    <row r="4795" s="283" customFormat="1"/>
    <row r="4796" s="283" customFormat="1"/>
    <row r="4797" s="283" customFormat="1"/>
    <row r="4798" s="283" customFormat="1"/>
    <row r="4799" s="283" customFormat="1"/>
    <row r="4800" s="283" customFormat="1"/>
    <row r="4801" s="283" customFormat="1"/>
    <row r="4802" s="283" customFormat="1"/>
    <row r="4803" s="283" customFormat="1"/>
    <row r="4804" s="283" customFormat="1"/>
    <row r="4805" s="283" customFormat="1"/>
    <row r="4806" s="283" customFormat="1"/>
    <row r="4807" s="283" customFormat="1"/>
    <row r="4808" s="283" customFormat="1"/>
    <row r="4809" s="283" customFormat="1"/>
    <row r="4810" s="283" customFormat="1"/>
    <row r="4811" s="283" customFormat="1"/>
    <row r="4812" s="283" customFormat="1"/>
    <row r="4813" s="283" customFormat="1"/>
    <row r="4814" s="283" customFormat="1"/>
    <row r="4815" s="283" customFormat="1"/>
    <row r="4816" s="283" customFormat="1"/>
    <row r="4817" s="283" customFormat="1"/>
    <row r="4818" s="283" customFormat="1"/>
    <row r="4819" s="283" customFormat="1"/>
    <row r="4820" s="283" customFormat="1"/>
    <row r="4821" s="283" customFormat="1"/>
    <row r="4822" s="283" customFormat="1"/>
    <row r="4823" s="283" customFormat="1"/>
    <row r="4824" s="283" customFormat="1"/>
    <row r="4825" s="283" customFormat="1"/>
    <row r="4826" s="283" customFormat="1"/>
    <row r="4827" s="283" customFormat="1"/>
    <row r="4828" s="283" customFormat="1"/>
    <row r="4829" s="283" customFormat="1"/>
    <row r="4830" s="283" customFormat="1"/>
    <row r="4831" s="283" customFormat="1"/>
    <row r="4832" s="283" customFormat="1"/>
    <row r="4833" s="283" customFormat="1"/>
    <row r="4834" s="283" customFormat="1"/>
    <row r="4835" s="283" customFormat="1"/>
    <row r="4836" s="283" customFormat="1"/>
    <row r="4837" s="283" customFormat="1"/>
    <row r="4838" s="283" customFormat="1"/>
    <row r="4839" s="283" customFormat="1"/>
    <row r="4840" s="283" customFormat="1"/>
    <row r="4841" s="283" customFormat="1"/>
    <row r="4842" s="283" customFormat="1"/>
    <row r="4843" s="283" customFormat="1"/>
    <row r="4844" s="283" customFormat="1"/>
    <row r="4845" s="283" customFormat="1"/>
    <row r="4846" s="283" customFormat="1"/>
    <row r="4847" s="283" customFormat="1"/>
    <row r="4848" s="283" customFormat="1"/>
    <row r="4849" s="283" customFormat="1"/>
    <row r="4850" s="283" customFormat="1"/>
    <row r="4851" s="283" customFormat="1"/>
    <row r="4852" s="283" customFormat="1"/>
    <row r="4853" s="283" customFormat="1"/>
    <row r="4854" s="283" customFormat="1"/>
    <row r="4855" s="283" customFormat="1"/>
    <row r="4856" s="283" customFormat="1"/>
    <row r="4857" s="283" customFormat="1"/>
    <row r="4858" s="283" customFormat="1"/>
    <row r="4859" s="283" customFormat="1"/>
    <row r="4860" s="283" customFormat="1"/>
    <row r="4861" s="283" customFormat="1"/>
    <row r="4862" s="283" customFormat="1"/>
    <row r="4863" s="283" customFormat="1"/>
    <row r="4864" s="283" customFormat="1"/>
    <row r="4865" s="283" customFormat="1"/>
    <row r="4866" s="283" customFormat="1"/>
    <row r="4867" s="283" customFormat="1"/>
    <row r="4868" s="283" customFormat="1"/>
    <row r="4869" s="283" customFormat="1"/>
    <row r="4870" s="283" customFormat="1"/>
    <row r="4871" s="283" customFormat="1"/>
    <row r="4872" s="283" customFormat="1"/>
    <row r="4873" s="283" customFormat="1"/>
    <row r="4874" s="283" customFormat="1"/>
    <row r="4875" s="283" customFormat="1"/>
    <row r="4876" s="283" customFormat="1"/>
    <row r="4877" s="283" customFormat="1"/>
    <row r="4878" s="283" customFormat="1"/>
    <row r="4879" s="283" customFormat="1"/>
    <row r="4880" s="283" customFormat="1"/>
    <row r="4881" s="283" customFormat="1"/>
    <row r="4882" s="283" customFormat="1"/>
    <row r="4883" s="283" customFormat="1"/>
    <row r="4884" s="283" customFormat="1"/>
    <row r="4885" s="283" customFormat="1"/>
    <row r="4886" s="283" customFormat="1"/>
    <row r="4887" s="283" customFormat="1"/>
    <row r="4888" s="283" customFormat="1"/>
    <row r="4889" s="283" customFormat="1"/>
    <row r="4890" s="283" customFormat="1"/>
    <row r="4891" s="283" customFormat="1"/>
    <row r="4892" s="283" customFormat="1"/>
    <row r="4893" s="283" customFormat="1"/>
    <row r="4894" s="283" customFormat="1"/>
    <row r="4895" s="283" customFormat="1"/>
    <row r="4896" s="283" customFormat="1"/>
    <row r="4897" s="283" customFormat="1"/>
    <row r="4898" s="283" customFormat="1"/>
    <row r="4899" s="283" customFormat="1"/>
    <row r="4900" s="283" customFormat="1"/>
    <row r="4901" s="283" customFormat="1"/>
    <row r="4902" s="283" customFormat="1"/>
    <row r="4903" s="283" customFormat="1"/>
    <row r="4904" s="283" customFormat="1"/>
    <row r="4905" s="283" customFormat="1"/>
    <row r="4906" s="283" customFormat="1"/>
    <row r="4907" s="283" customFormat="1"/>
    <row r="4908" s="283" customFormat="1"/>
    <row r="4909" s="283" customFormat="1"/>
    <row r="4910" s="283" customFormat="1"/>
    <row r="4911" s="283" customFormat="1"/>
    <row r="4912" s="283" customFormat="1"/>
    <row r="4913" s="283" customFormat="1"/>
    <row r="4914" s="283" customFormat="1"/>
    <row r="4915" s="283" customFormat="1"/>
    <row r="4916" s="283" customFormat="1"/>
    <row r="4917" s="283" customFormat="1"/>
    <row r="4918" s="283" customFormat="1"/>
    <row r="4919" s="283" customFormat="1"/>
    <row r="4920" s="283" customFormat="1"/>
    <row r="4921" s="283" customFormat="1"/>
    <row r="4922" s="283" customFormat="1"/>
    <row r="4923" s="283" customFormat="1"/>
    <row r="4924" s="283" customFormat="1"/>
    <row r="4925" s="283" customFormat="1"/>
    <row r="4926" s="283" customFormat="1"/>
    <row r="4927" s="283" customFormat="1"/>
    <row r="4928" s="283" customFormat="1"/>
    <row r="4929" s="283" customFormat="1"/>
    <row r="4930" s="283" customFormat="1"/>
    <row r="4931" s="283" customFormat="1"/>
    <row r="4932" s="283" customFormat="1"/>
    <row r="4933" s="283" customFormat="1"/>
    <row r="4934" s="283" customFormat="1"/>
    <row r="4935" s="283" customFormat="1"/>
    <row r="4936" s="283" customFormat="1"/>
    <row r="4937" s="283" customFormat="1"/>
    <row r="4938" s="283" customFormat="1"/>
    <row r="4939" s="283" customFormat="1"/>
    <row r="4940" s="283" customFormat="1"/>
    <row r="4941" s="283" customFormat="1"/>
    <row r="4942" s="283" customFormat="1"/>
    <row r="4943" s="283" customFormat="1"/>
    <row r="4944" s="283" customFormat="1"/>
    <row r="4945" s="283" customFormat="1"/>
    <row r="4946" s="283" customFormat="1"/>
    <row r="4947" s="283" customFormat="1"/>
    <row r="4948" s="283" customFormat="1"/>
    <row r="4949" s="283" customFormat="1"/>
    <row r="4950" s="283" customFormat="1"/>
    <row r="4951" s="283" customFormat="1"/>
    <row r="4952" s="283" customFormat="1"/>
    <row r="4953" s="283" customFormat="1"/>
    <row r="4954" s="283" customFormat="1"/>
    <row r="4955" s="283" customFormat="1"/>
    <row r="4956" s="283" customFormat="1"/>
    <row r="4957" s="283" customFormat="1"/>
    <row r="4958" s="283" customFormat="1"/>
    <row r="4959" s="283" customFormat="1"/>
    <row r="4960" s="283" customFormat="1"/>
    <row r="4961" s="283" customFormat="1"/>
    <row r="4962" s="283" customFormat="1"/>
    <row r="4963" s="283" customFormat="1"/>
    <row r="4964" s="283" customFormat="1"/>
    <row r="4965" s="283" customFormat="1"/>
    <row r="4966" s="283" customFormat="1"/>
    <row r="4967" s="283" customFormat="1"/>
    <row r="4968" s="283" customFormat="1"/>
    <row r="4969" s="283" customFormat="1"/>
    <row r="4970" s="283" customFormat="1"/>
    <row r="4971" s="283" customFormat="1"/>
    <row r="4972" s="283" customFormat="1"/>
    <row r="4973" s="283" customFormat="1"/>
    <row r="4974" s="283" customFormat="1"/>
    <row r="4975" s="283" customFormat="1"/>
    <row r="4976" s="283" customFormat="1"/>
    <row r="4977" s="283" customFormat="1"/>
    <row r="4978" s="283" customFormat="1"/>
    <row r="4979" s="283" customFormat="1"/>
    <row r="4980" s="283" customFormat="1"/>
    <row r="4981" s="283" customFormat="1"/>
    <row r="4982" s="283" customFormat="1"/>
    <row r="4983" s="283" customFormat="1"/>
    <row r="4984" s="283" customFormat="1"/>
    <row r="4985" s="283" customFormat="1"/>
    <row r="4986" s="283" customFormat="1"/>
    <row r="4987" s="283" customFormat="1"/>
    <row r="4988" s="283" customFormat="1"/>
    <row r="4989" s="283" customFormat="1"/>
    <row r="4990" s="283" customFormat="1"/>
    <row r="4991" s="283" customFormat="1"/>
    <row r="4992" s="283" customFormat="1"/>
    <row r="4993" s="283" customFormat="1"/>
    <row r="4994" s="283" customFormat="1"/>
    <row r="4995" s="283" customFormat="1"/>
    <row r="4996" s="283" customFormat="1"/>
    <row r="4997" s="283" customFormat="1"/>
    <row r="4998" s="283" customFormat="1"/>
    <row r="4999" s="283" customFormat="1"/>
    <row r="5000" s="283" customFormat="1"/>
    <row r="5001" s="283" customFormat="1"/>
    <row r="5002" s="283" customFormat="1"/>
    <row r="5003" s="283" customFormat="1"/>
    <row r="5004" s="283" customFormat="1"/>
    <row r="5005" s="283" customFormat="1"/>
    <row r="5006" s="283" customFormat="1"/>
    <row r="5007" s="283" customFormat="1"/>
    <row r="5008" s="283" customFormat="1"/>
    <row r="5009" s="283" customFormat="1"/>
    <row r="5010" s="283" customFormat="1"/>
    <row r="5011" s="283" customFormat="1"/>
    <row r="5012" s="283" customFormat="1"/>
    <row r="5013" s="283" customFormat="1"/>
    <row r="5014" s="283" customFormat="1"/>
    <row r="5015" s="283" customFormat="1"/>
    <row r="5016" s="283" customFormat="1"/>
    <row r="5017" s="283" customFormat="1"/>
    <row r="5018" s="283" customFormat="1"/>
    <row r="5019" s="283" customFormat="1"/>
    <row r="5020" s="283" customFormat="1"/>
    <row r="5021" s="283" customFormat="1"/>
    <row r="5022" s="283" customFormat="1"/>
    <row r="5023" s="283" customFormat="1"/>
    <row r="5024" s="283" customFormat="1"/>
    <row r="5025" s="283" customFormat="1"/>
    <row r="5026" s="283" customFormat="1"/>
    <row r="5027" s="283" customFormat="1"/>
    <row r="5028" s="283" customFormat="1"/>
    <row r="5029" s="283" customFormat="1"/>
    <row r="5030" s="283" customFormat="1"/>
    <row r="5031" s="283" customFormat="1"/>
    <row r="5032" s="283" customFormat="1"/>
    <row r="5033" s="283" customFormat="1"/>
    <row r="5034" s="283" customFormat="1"/>
    <row r="5035" s="283" customFormat="1"/>
    <row r="5036" s="283" customFormat="1"/>
    <row r="5037" s="283" customFormat="1"/>
    <row r="5038" s="283" customFormat="1"/>
    <row r="5039" s="283" customFormat="1"/>
    <row r="5040" s="283" customFormat="1"/>
    <row r="5041" s="283" customFormat="1"/>
    <row r="5042" s="283" customFormat="1"/>
    <row r="5043" s="283" customFormat="1"/>
    <row r="5044" s="283" customFormat="1"/>
    <row r="5045" s="283" customFormat="1"/>
    <row r="5046" s="283" customFormat="1"/>
    <row r="5047" s="283" customFormat="1"/>
    <row r="5048" s="283" customFormat="1"/>
    <row r="5049" s="283" customFormat="1"/>
    <row r="5050" s="283" customFormat="1"/>
    <row r="5051" s="283" customFormat="1"/>
    <row r="5052" s="283" customFormat="1"/>
    <row r="5053" s="283" customFormat="1"/>
    <row r="5054" s="283" customFormat="1"/>
    <row r="5055" s="283" customFormat="1"/>
    <row r="5056" s="283" customFormat="1"/>
    <row r="5057" s="283" customFormat="1"/>
    <row r="5058" s="283" customFormat="1"/>
    <row r="5059" s="283" customFormat="1"/>
    <row r="5060" s="283" customFormat="1"/>
    <row r="5061" s="283" customFormat="1"/>
    <row r="5062" s="283" customFormat="1"/>
    <row r="5063" s="283" customFormat="1"/>
    <row r="5064" s="283" customFormat="1"/>
    <row r="5065" s="283" customFormat="1"/>
    <row r="5066" s="283" customFormat="1"/>
    <row r="5067" s="283" customFormat="1"/>
    <row r="5068" s="283" customFormat="1"/>
    <row r="5069" s="283" customFormat="1"/>
    <row r="5070" s="283" customFormat="1"/>
    <row r="5071" s="283" customFormat="1"/>
    <row r="5072" s="283" customFormat="1"/>
    <row r="5073" s="283" customFormat="1"/>
    <row r="5074" s="283" customFormat="1"/>
    <row r="5075" s="283" customFormat="1"/>
    <row r="5076" s="283" customFormat="1"/>
    <row r="5077" s="283" customFormat="1"/>
    <row r="5078" s="283" customFormat="1"/>
    <row r="5079" s="283" customFormat="1"/>
    <row r="5080" s="283" customFormat="1"/>
    <row r="5081" s="283" customFormat="1"/>
    <row r="5082" s="283" customFormat="1"/>
    <row r="5083" s="283" customFormat="1"/>
    <row r="5084" s="283" customFormat="1"/>
    <row r="5085" s="283" customFormat="1"/>
    <row r="5086" s="283" customFormat="1"/>
    <row r="5087" s="283" customFormat="1"/>
    <row r="5088" s="283" customFormat="1"/>
    <row r="5089" s="283" customFormat="1"/>
    <row r="5090" s="283" customFormat="1"/>
    <row r="5091" s="283" customFormat="1"/>
    <row r="5092" s="283" customFormat="1"/>
    <row r="5093" s="283" customFormat="1"/>
    <row r="5094" s="283" customFormat="1"/>
    <row r="5095" s="283" customFormat="1"/>
    <row r="5096" s="283" customFormat="1"/>
    <row r="5097" s="283" customFormat="1"/>
    <row r="5098" s="283" customFormat="1"/>
    <row r="5099" s="283" customFormat="1"/>
    <row r="5100" s="283" customFormat="1"/>
    <row r="5101" s="283" customFormat="1"/>
    <row r="5102" s="283" customFormat="1"/>
    <row r="5103" s="283" customFormat="1"/>
    <row r="5104" s="283" customFormat="1"/>
    <row r="5105" s="283" customFormat="1"/>
    <row r="5106" s="283" customFormat="1"/>
    <row r="5107" s="283" customFormat="1"/>
    <row r="5108" s="283" customFormat="1"/>
    <row r="5109" s="283" customFormat="1"/>
    <row r="5110" s="283" customFormat="1"/>
    <row r="5111" s="283" customFormat="1"/>
    <row r="5112" s="283" customFormat="1"/>
    <row r="5113" s="283" customFormat="1"/>
    <row r="5114" s="283" customFormat="1"/>
    <row r="5115" s="283" customFormat="1"/>
    <row r="5116" s="283" customFormat="1"/>
    <row r="5117" s="283" customFormat="1"/>
    <row r="5118" s="283" customFormat="1"/>
    <row r="5119" s="283" customFormat="1"/>
    <row r="5120" s="283" customFormat="1"/>
    <row r="5121" s="283" customFormat="1"/>
    <row r="5122" s="283" customFormat="1"/>
    <row r="5123" s="283" customFormat="1"/>
    <row r="5124" s="283" customFormat="1"/>
    <row r="5125" s="283" customFormat="1"/>
    <row r="5126" s="283" customFormat="1"/>
    <row r="5127" s="283" customFormat="1"/>
    <row r="5128" s="283" customFormat="1"/>
    <row r="5129" s="283" customFormat="1"/>
    <row r="5130" s="283" customFormat="1"/>
    <row r="5131" s="283" customFormat="1"/>
    <row r="5132" s="283" customFormat="1"/>
    <row r="5133" s="283" customFormat="1"/>
    <row r="5134" s="283" customFormat="1"/>
    <row r="5135" s="283" customFormat="1"/>
    <row r="5136" s="283" customFormat="1"/>
    <row r="5137" s="283" customFormat="1"/>
    <row r="5138" s="283" customFormat="1"/>
    <row r="5139" s="283" customFormat="1"/>
    <row r="5140" s="283" customFormat="1"/>
    <row r="5141" s="283" customFormat="1"/>
    <row r="5142" s="283" customFormat="1"/>
    <row r="5143" s="283" customFormat="1"/>
    <row r="5144" s="283" customFormat="1"/>
    <row r="5145" s="283" customFormat="1"/>
    <row r="5146" s="283" customFormat="1"/>
    <row r="5147" s="283" customFormat="1"/>
    <row r="5148" s="283" customFormat="1"/>
    <row r="5149" s="283" customFormat="1"/>
    <row r="5150" s="283" customFormat="1"/>
    <row r="5151" s="283" customFormat="1"/>
    <row r="5152" s="283" customFormat="1"/>
    <row r="5153" s="283" customFormat="1"/>
    <row r="5154" s="283" customFormat="1"/>
    <row r="5155" s="283" customFormat="1"/>
    <row r="5156" s="283" customFormat="1"/>
    <row r="5157" s="283" customFormat="1"/>
    <row r="5158" s="283" customFormat="1"/>
    <row r="5159" s="283" customFormat="1"/>
    <row r="5160" s="283" customFormat="1"/>
    <row r="5161" s="283" customFormat="1"/>
    <row r="5162" s="283" customFormat="1"/>
    <row r="5163" s="283" customFormat="1"/>
    <row r="5164" s="283" customFormat="1"/>
    <row r="5165" s="283" customFormat="1"/>
    <row r="5166" s="283" customFormat="1"/>
    <row r="5167" s="283" customFormat="1"/>
    <row r="5168" s="283" customFormat="1"/>
    <row r="5169" s="283" customFormat="1"/>
    <row r="5170" s="283" customFormat="1"/>
    <row r="5171" s="283" customFormat="1"/>
    <row r="5172" s="283" customFormat="1"/>
    <row r="5173" s="283" customFormat="1"/>
    <row r="5174" s="283" customFormat="1"/>
    <row r="5175" s="283" customFormat="1"/>
    <row r="5176" s="283" customFormat="1"/>
    <row r="5177" s="283" customFormat="1"/>
    <row r="5178" s="283" customFormat="1"/>
    <row r="5179" s="283" customFormat="1"/>
    <row r="5180" s="283" customFormat="1"/>
    <row r="5181" s="283" customFormat="1"/>
    <row r="5182" s="283" customFormat="1"/>
    <row r="5183" s="283" customFormat="1"/>
    <row r="5184" s="283" customFormat="1"/>
    <row r="5185" s="283" customFormat="1"/>
    <row r="5186" s="283" customFormat="1"/>
    <row r="5187" s="283" customFormat="1"/>
    <row r="5188" s="283" customFormat="1"/>
    <row r="5189" s="283" customFormat="1"/>
    <row r="5190" s="283" customFormat="1"/>
    <row r="5191" s="283" customFormat="1"/>
    <row r="5192" s="283" customFormat="1"/>
    <row r="5193" s="283" customFormat="1"/>
    <row r="5194" s="283" customFormat="1"/>
    <row r="5195" s="283" customFormat="1"/>
    <row r="5196" s="283" customFormat="1"/>
    <row r="5197" s="283" customFormat="1"/>
    <row r="5198" s="283" customFormat="1"/>
    <row r="5199" s="283" customFormat="1"/>
    <row r="5200" s="283" customFormat="1"/>
    <row r="5201" s="283" customFormat="1"/>
    <row r="5202" s="283" customFormat="1"/>
    <row r="5203" s="283" customFormat="1"/>
    <row r="5204" s="283" customFormat="1"/>
    <row r="5205" s="283" customFormat="1"/>
    <row r="5206" s="283" customFormat="1"/>
    <row r="5207" s="283" customFormat="1"/>
    <row r="5208" s="283" customFormat="1"/>
    <row r="5209" s="283" customFormat="1"/>
    <row r="5210" s="283" customFormat="1"/>
    <row r="5211" s="283" customFormat="1"/>
    <row r="5212" s="283" customFormat="1"/>
    <row r="5213" s="283" customFormat="1"/>
    <row r="5214" s="283" customFormat="1"/>
    <row r="5215" s="283" customFormat="1"/>
    <row r="5216" s="283" customFormat="1"/>
    <row r="5217" s="283" customFormat="1"/>
    <row r="5218" s="283" customFormat="1"/>
    <row r="5219" s="283" customFormat="1"/>
    <row r="5220" s="283" customFormat="1"/>
    <row r="5221" s="283" customFormat="1"/>
    <row r="5222" s="283" customFormat="1"/>
    <row r="5223" s="283" customFormat="1"/>
    <row r="5224" s="283" customFormat="1"/>
    <row r="5225" s="283" customFormat="1"/>
    <row r="5226" s="283" customFormat="1"/>
    <row r="5227" s="283" customFormat="1"/>
    <row r="5228" s="283" customFormat="1"/>
    <row r="5229" s="283" customFormat="1"/>
    <row r="5230" s="283" customFormat="1"/>
    <row r="5231" s="283" customFormat="1"/>
    <row r="5232" s="283" customFormat="1"/>
    <row r="5233" s="283" customFormat="1"/>
    <row r="5234" s="283" customFormat="1"/>
    <row r="5235" s="283" customFormat="1"/>
    <row r="5236" s="283" customFormat="1"/>
    <row r="5237" s="283" customFormat="1"/>
    <row r="5238" s="283" customFormat="1"/>
    <row r="5239" s="283" customFormat="1"/>
    <row r="5240" s="283" customFormat="1"/>
    <row r="5241" s="283" customFormat="1"/>
    <row r="5242" s="283" customFormat="1"/>
    <row r="5243" s="283" customFormat="1"/>
    <row r="5244" s="283" customFormat="1"/>
    <row r="5245" s="283" customFormat="1"/>
    <row r="5246" s="283" customFormat="1"/>
    <row r="5247" s="283" customFormat="1"/>
    <row r="5248" s="283" customFormat="1"/>
    <row r="5249" s="283" customFormat="1"/>
    <row r="5250" s="283" customFormat="1"/>
    <row r="5251" s="283" customFormat="1"/>
    <row r="5252" s="283" customFormat="1"/>
    <row r="5253" s="283" customFormat="1"/>
    <row r="5254" s="283" customFormat="1"/>
    <row r="5255" s="283" customFormat="1"/>
    <row r="5256" s="283" customFormat="1"/>
    <row r="5257" s="283" customFormat="1"/>
    <row r="5258" s="283" customFormat="1"/>
    <row r="5259" s="283" customFormat="1"/>
    <row r="5260" s="283" customFormat="1"/>
    <row r="5261" s="283" customFormat="1"/>
    <row r="5262" s="283" customFormat="1"/>
    <row r="5263" s="283" customFormat="1"/>
    <row r="5264" s="283" customFormat="1"/>
    <row r="5265" s="283" customFormat="1"/>
    <row r="5266" s="283" customFormat="1"/>
    <row r="5267" s="283" customFormat="1"/>
    <row r="5268" s="283" customFormat="1"/>
    <row r="5269" s="283" customFormat="1"/>
    <row r="5270" s="283" customFormat="1"/>
    <row r="5271" s="283" customFormat="1"/>
    <row r="5272" s="283" customFormat="1"/>
    <row r="5273" s="283" customFormat="1"/>
    <row r="5274" s="283" customFormat="1"/>
    <row r="5275" s="283" customFormat="1"/>
    <row r="5276" s="283" customFormat="1"/>
    <row r="5277" s="283" customFormat="1"/>
    <row r="5278" s="283" customFormat="1"/>
    <row r="5279" s="283" customFormat="1"/>
    <row r="5280" s="283" customFormat="1"/>
    <row r="5281" s="283" customFormat="1"/>
    <row r="5282" s="283" customFormat="1"/>
    <row r="5283" s="283" customFormat="1"/>
    <row r="5284" s="283" customFormat="1"/>
    <row r="5285" s="283" customFormat="1"/>
    <row r="5286" s="283" customFormat="1"/>
    <row r="5287" s="283" customFormat="1"/>
    <row r="5288" s="283" customFormat="1"/>
    <row r="5289" s="283" customFormat="1"/>
    <row r="5290" s="283" customFormat="1"/>
    <row r="5291" s="283" customFormat="1"/>
    <row r="5292" s="283" customFormat="1"/>
    <row r="5293" s="283" customFormat="1"/>
    <row r="5294" s="283" customFormat="1"/>
    <row r="5295" s="283" customFormat="1"/>
    <row r="5296" s="283" customFormat="1"/>
    <row r="5297" s="283" customFormat="1"/>
    <row r="5298" s="283" customFormat="1"/>
    <row r="5299" s="283" customFormat="1"/>
    <row r="5300" s="283" customFormat="1"/>
    <row r="5301" s="283" customFormat="1"/>
    <row r="5302" s="283" customFormat="1"/>
    <row r="5303" s="283" customFormat="1"/>
    <row r="5304" s="283" customFormat="1"/>
    <row r="5305" s="283" customFormat="1"/>
    <row r="5306" s="283" customFormat="1"/>
    <row r="5307" s="283" customFormat="1"/>
    <row r="5308" s="283" customFormat="1"/>
    <row r="5309" s="283" customFormat="1"/>
    <row r="5310" s="283" customFormat="1"/>
    <row r="5311" s="283" customFormat="1"/>
    <row r="5312" s="283" customFormat="1"/>
    <row r="5313" s="283" customFormat="1"/>
    <row r="5314" s="283" customFormat="1"/>
    <row r="5315" s="283" customFormat="1"/>
    <row r="5316" s="283" customFormat="1"/>
    <row r="5317" s="283" customFormat="1"/>
    <row r="5318" s="283" customFormat="1"/>
    <row r="5319" s="283" customFormat="1"/>
    <row r="5320" s="283" customFormat="1"/>
    <row r="5321" s="283" customFormat="1"/>
    <row r="5322" s="283" customFormat="1"/>
    <row r="5323" s="283" customFormat="1"/>
    <row r="5324" s="283" customFormat="1"/>
    <row r="5325" s="283" customFormat="1"/>
    <row r="5326" s="283" customFormat="1"/>
    <row r="5327" s="283" customFormat="1"/>
    <row r="5328" s="283" customFormat="1"/>
    <row r="5329" s="283" customFormat="1"/>
    <row r="5330" s="283" customFormat="1"/>
    <row r="5331" s="283" customFormat="1"/>
    <row r="5332" s="283" customFormat="1"/>
    <row r="5333" s="283" customFormat="1"/>
    <row r="5334" s="283" customFormat="1"/>
    <row r="5335" s="283" customFormat="1"/>
    <row r="5336" s="283" customFormat="1"/>
    <row r="5337" s="283" customFormat="1"/>
    <row r="5338" s="283" customFormat="1"/>
    <row r="5339" s="283" customFormat="1"/>
    <row r="5340" s="283" customFormat="1"/>
    <row r="5341" s="283" customFormat="1"/>
    <row r="5342" s="283" customFormat="1"/>
    <row r="5343" s="283" customFormat="1"/>
    <row r="5344" s="283" customFormat="1"/>
    <row r="5345" s="283" customFormat="1"/>
    <row r="5346" s="283" customFormat="1"/>
    <row r="5347" s="283" customFormat="1"/>
    <row r="5348" s="283" customFormat="1"/>
    <row r="5349" s="283" customFormat="1"/>
    <row r="5350" s="283" customFormat="1"/>
    <row r="5351" s="283" customFormat="1"/>
    <row r="5352" s="283" customFormat="1"/>
    <row r="5353" s="283" customFormat="1"/>
    <row r="5354" s="283" customFormat="1"/>
    <row r="5355" s="283" customFormat="1"/>
    <row r="5356" s="283" customFormat="1"/>
    <row r="5357" s="283" customFormat="1"/>
    <row r="5358" s="283" customFormat="1"/>
    <row r="5359" s="283" customFormat="1"/>
    <row r="5360" s="283" customFormat="1"/>
    <row r="5361" s="283" customFormat="1"/>
    <row r="5362" s="283" customFormat="1"/>
    <row r="5363" s="283" customFormat="1"/>
    <row r="5364" s="283" customFormat="1"/>
    <row r="5365" s="283" customFormat="1"/>
    <row r="5366" s="283" customFormat="1"/>
    <row r="5367" s="283" customFormat="1"/>
    <row r="5368" s="283" customFormat="1"/>
    <row r="5369" s="283" customFormat="1"/>
    <row r="5370" s="283" customFormat="1"/>
    <row r="5371" s="283" customFormat="1"/>
    <row r="5372" s="283" customFormat="1"/>
    <row r="5373" s="283" customFormat="1"/>
    <row r="5374" s="283" customFormat="1"/>
    <row r="5375" s="283" customFormat="1"/>
    <row r="5376" s="283" customFormat="1"/>
    <row r="5377" s="283" customFormat="1"/>
    <row r="5378" s="283" customFormat="1"/>
    <row r="5379" s="283" customFormat="1"/>
    <row r="5380" s="283" customFormat="1"/>
    <row r="5381" s="283" customFormat="1"/>
    <row r="5382" s="283" customFormat="1"/>
    <row r="5383" s="283" customFormat="1"/>
    <row r="5384" s="283" customFormat="1"/>
    <row r="5385" s="283" customFormat="1"/>
    <row r="5386" s="283" customFormat="1"/>
    <row r="5387" s="283" customFormat="1"/>
    <row r="5388" s="283" customFormat="1"/>
    <row r="5389" s="283" customFormat="1"/>
    <row r="5390" s="283" customFormat="1"/>
    <row r="5391" s="283" customFormat="1"/>
    <row r="5392" s="283" customFormat="1"/>
    <row r="5393" s="283" customFormat="1"/>
    <row r="5394" s="283" customFormat="1"/>
    <row r="5395" s="283" customFormat="1"/>
    <row r="5396" s="283" customFormat="1"/>
    <row r="5397" s="283" customFormat="1"/>
    <row r="5398" s="283" customFormat="1"/>
    <row r="5399" s="283" customFormat="1"/>
    <row r="5400" s="283" customFormat="1"/>
    <row r="5401" s="283" customFormat="1"/>
    <row r="5402" s="283" customFormat="1"/>
    <row r="5403" s="283" customFormat="1"/>
    <row r="5404" s="283" customFormat="1"/>
    <row r="5405" s="283" customFormat="1"/>
    <row r="5406" s="283" customFormat="1"/>
    <row r="5407" s="283" customFormat="1"/>
    <row r="5408" s="283" customFormat="1"/>
    <row r="5409" s="283" customFormat="1"/>
    <row r="5410" s="283" customFormat="1"/>
    <row r="5411" s="283" customFormat="1"/>
    <row r="5412" s="283" customFormat="1"/>
    <row r="5413" s="283" customFormat="1"/>
    <row r="5414" s="283" customFormat="1"/>
    <row r="5415" s="283" customFormat="1"/>
    <row r="5416" s="283" customFormat="1"/>
    <row r="5417" s="283" customFormat="1"/>
    <row r="5418" s="283" customFormat="1"/>
    <row r="5419" s="283" customFormat="1"/>
    <row r="5420" s="283" customFormat="1"/>
    <row r="5421" s="283" customFormat="1"/>
    <row r="5422" s="283" customFormat="1"/>
    <row r="5423" s="283" customFormat="1"/>
    <row r="5424" s="283" customFormat="1"/>
    <row r="5425" s="283" customFormat="1"/>
    <row r="5426" s="283" customFormat="1"/>
    <row r="5427" s="283" customFormat="1"/>
    <row r="5428" s="283" customFormat="1"/>
    <row r="5429" s="283" customFormat="1"/>
    <row r="5430" s="283" customFormat="1"/>
    <row r="5431" s="283" customFormat="1"/>
    <row r="5432" s="283" customFormat="1"/>
    <row r="5433" s="283" customFormat="1"/>
    <row r="5434" s="283" customFormat="1"/>
    <row r="5435" s="283" customFormat="1"/>
    <row r="5436" s="283" customFormat="1"/>
    <row r="5437" s="283" customFormat="1"/>
    <row r="5438" s="283" customFormat="1"/>
    <row r="5439" s="283" customFormat="1"/>
    <row r="5440" s="283" customFormat="1"/>
    <row r="5441" s="283" customFormat="1"/>
    <row r="5442" s="283" customFormat="1"/>
    <row r="5443" s="283" customFormat="1"/>
    <row r="5444" s="283" customFormat="1"/>
    <row r="5445" s="283" customFormat="1"/>
    <row r="5446" s="283" customFormat="1"/>
    <row r="5447" s="283" customFormat="1"/>
    <row r="5448" s="283" customFormat="1"/>
    <row r="5449" s="283" customFormat="1"/>
    <row r="5450" s="283" customFormat="1"/>
    <row r="5451" s="283" customFormat="1"/>
    <row r="5452" s="283" customFormat="1"/>
    <row r="5453" s="283" customFormat="1"/>
    <row r="5454" s="283" customFormat="1"/>
    <row r="5455" s="283" customFormat="1"/>
    <row r="5456" s="283" customFormat="1"/>
    <row r="5457" s="283" customFormat="1"/>
    <row r="5458" s="283" customFormat="1"/>
    <row r="5459" s="283" customFormat="1"/>
    <row r="5460" s="283" customFormat="1"/>
    <row r="5461" s="283" customFormat="1"/>
    <row r="5462" s="283" customFormat="1"/>
    <row r="5463" s="283" customFormat="1"/>
    <row r="5464" s="283" customFormat="1"/>
    <row r="5465" s="283" customFormat="1"/>
    <row r="5466" s="283" customFormat="1"/>
    <row r="5467" s="283" customFormat="1"/>
    <row r="5468" s="283" customFormat="1"/>
    <row r="5469" s="283" customFormat="1"/>
    <row r="5470" s="283" customFormat="1"/>
    <row r="5471" s="283" customFormat="1"/>
    <row r="5472" s="283" customFormat="1"/>
    <row r="5473" s="283" customFormat="1"/>
    <row r="5474" s="283" customFormat="1"/>
    <row r="5475" s="283" customFormat="1"/>
    <row r="5476" s="283" customFormat="1"/>
    <row r="5477" s="283" customFormat="1"/>
    <row r="5478" s="283" customFormat="1"/>
    <row r="5479" s="283" customFormat="1"/>
    <row r="5480" s="283" customFormat="1"/>
    <row r="5481" s="283" customFormat="1"/>
    <row r="5482" s="283" customFormat="1"/>
    <row r="5483" s="283" customFormat="1"/>
    <row r="5484" s="283" customFormat="1"/>
    <row r="5485" s="283" customFormat="1"/>
    <row r="5486" s="283" customFormat="1"/>
    <row r="5487" s="283" customFormat="1"/>
    <row r="5488" s="283" customFormat="1"/>
    <row r="5489" s="283" customFormat="1"/>
    <row r="5490" s="283" customFormat="1"/>
    <row r="5491" s="283" customFormat="1"/>
    <row r="5492" s="283" customFormat="1"/>
    <row r="5493" s="283" customFormat="1"/>
    <row r="5494" s="283" customFormat="1"/>
    <row r="5495" s="283" customFormat="1"/>
    <row r="5496" s="283" customFormat="1"/>
    <row r="5497" s="283" customFormat="1"/>
    <row r="5498" s="283" customFormat="1"/>
    <row r="5499" s="283" customFormat="1"/>
    <row r="5500" s="283" customFormat="1"/>
    <row r="5501" s="283" customFormat="1"/>
    <row r="5502" s="283" customFormat="1"/>
    <row r="5503" s="283" customFormat="1"/>
    <row r="5504" s="283" customFormat="1"/>
    <row r="5505" s="283" customFormat="1"/>
    <row r="5506" s="283" customFormat="1"/>
    <row r="5507" s="283" customFormat="1"/>
    <row r="5508" s="283" customFormat="1"/>
    <row r="5509" s="283" customFormat="1"/>
    <row r="5510" s="283" customFormat="1"/>
    <row r="5511" s="283" customFormat="1"/>
    <row r="5512" s="283" customFormat="1"/>
    <row r="5513" s="283" customFormat="1"/>
    <row r="5514" s="283" customFormat="1"/>
    <row r="5515" s="283" customFormat="1"/>
    <row r="5516" s="283" customFormat="1"/>
    <row r="5517" s="283" customFormat="1"/>
    <row r="5518" s="283" customFormat="1"/>
    <row r="5519" s="283" customFormat="1"/>
    <row r="5520" s="283" customFormat="1"/>
    <row r="5521" s="283" customFormat="1"/>
    <row r="5522" s="283" customFormat="1"/>
    <row r="5523" s="283" customFormat="1"/>
    <row r="5524" s="283" customFormat="1"/>
    <row r="5525" s="283" customFormat="1"/>
    <row r="5526" s="283" customFormat="1"/>
    <row r="5527" s="283" customFormat="1"/>
    <row r="5528" s="283" customFormat="1"/>
    <row r="5529" s="283" customFormat="1"/>
    <row r="5530" s="283" customFormat="1"/>
    <row r="5531" s="283" customFormat="1"/>
    <row r="5532" s="283" customFormat="1"/>
    <row r="5533" s="283" customFormat="1"/>
    <row r="5534" s="283" customFormat="1"/>
    <row r="5535" s="283" customFormat="1"/>
    <row r="5536" s="283" customFormat="1"/>
    <row r="5537" s="283" customFormat="1"/>
    <row r="5538" s="283" customFormat="1"/>
    <row r="5539" s="283" customFormat="1"/>
    <row r="5540" s="283" customFormat="1"/>
    <row r="5541" s="283" customFormat="1"/>
    <row r="5542" s="283" customFormat="1"/>
    <row r="5543" s="283" customFormat="1"/>
    <row r="5544" s="283" customFormat="1"/>
    <row r="5545" s="283" customFormat="1"/>
    <row r="5546" s="283" customFormat="1"/>
    <row r="5547" s="283" customFormat="1"/>
    <row r="5548" s="283" customFormat="1"/>
    <row r="5549" s="283" customFormat="1"/>
    <row r="5550" s="283" customFormat="1"/>
    <row r="5551" s="283" customFormat="1"/>
    <row r="5552" s="283" customFormat="1"/>
    <row r="5553" s="283" customFormat="1"/>
    <row r="5554" s="283" customFormat="1"/>
    <row r="5555" s="283" customFormat="1"/>
    <row r="5556" s="283" customFormat="1"/>
    <row r="5557" s="283" customFormat="1"/>
    <row r="5558" s="283" customFormat="1"/>
    <row r="5559" s="283" customFormat="1"/>
    <row r="5560" s="283" customFormat="1"/>
    <row r="5561" s="283" customFormat="1"/>
    <row r="5562" s="283" customFormat="1"/>
    <row r="5563" s="283" customFormat="1"/>
    <row r="5564" s="283" customFormat="1"/>
    <row r="5565" s="283" customFormat="1"/>
    <row r="5566" s="283" customFormat="1"/>
    <row r="5567" s="283" customFormat="1"/>
    <row r="5568" s="283" customFormat="1"/>
    <row r="5569" s="283" customFormat="1"/>
    <row r="5570" s="283" customFormat="1"/>
    <row r="5571" s="283" customFormat="1"/>
    <row r="5572" s="283" customFormat="1"/>
    <row r="5573" s="283" customFormat="1"/>
    <row r="5574" s="283" customFormat="1"/>
    <row r="5575" s="283" customFormat="1"/>
    <row r="5576" s="283" customFormat="1"/>
    <row r="5577" s="283" customFormat="1"/>
    <row r="5578" s="283" customFormat="1"/>
    <row r="5579" s="283" customFormat="1"/>
    <row r="5580" s="283" customFormat="1"/>
    <row r="5581" s="283" customFormat="1"/>
    <row r="5582" s="283" customFormat="1"/>
    <row r="5583" s="283" customFormat="1"/>
    <row r="5584" s="283" customFormat="1"/>
    <row r="5585" s="283" customFormat="1"/>
    <row r="5586" s="283" customFormat="1"/>
    <row r="5587" s="283" customFormat="1"/>
    <row r="5588" s="283" customFormat="1"/>
    <row r="5589" s="283" customFormat="1"/>
    <row r="5590" s="283" customFormat="1"/>
    <row r="5591" s="283" customFormat="1"/>
    <row r="5592" s="283" customFormat="1"/>
    <row r="5593" s="283" customFormat="1"/>
    <row r="5594" s="283" customFormat="1"/>
    <row r="5595" s="283" customFormat="1"/>
    <row r="5596" s="283" customFormat="1"/>
    <row r="5597" s="283" customFormat="1"/>
    <row r="5598" s="283" customFormat="1"/>
    <row r="5599" s="283" customFormat="1"/>
    <row r="5600" s="283" customFormat="1"/>
    <row r="5601" s="283" customFormat="1"/>
    <row r="5602" s="283" customFormat="1"/>
    <row r="5603" s="283" customFormat="1"/>
    <row r="5604" s="283" customFormat="1"/>
    <row r="5605" s="283" customFormat="1"/>
    <row r="5606" s="283" customFormat="1"/>
    <row r="5607" s="283" customFormat="1"/>
    <row r="5608" s="283" customFormat="1"/>
    <row r="5609" s="283" customFormat="1"/>
    <row r="5610" s="283" customFormat="1"/>
    <row r="5611" s="283" customFormat="1"/>
    <row r="5612" s="283" customFormat="1"/>
    <row r="5613" s="283" customFormat="1"/>
    <row r="5614" s="283" customFormat="1"/>
    <row r="5615" s="283" customFormat="1"/>
    <row r="5616" s="283" customFormat="1"/>
    <row r="5617" s="283" customFormat="1"/>
    <row r="5618" s="283" customFormat="1"/>
    <row r="5619" s="283" customFormat="1"/>
    <row r="5620" s="283" customFormat="1"/>
    <row r="5621" s="283" customFormat="1"/>
    <row r="5622" s="283" customFormat="1"/>
    <row r="5623" s="283" customFormat="1"/>
    <row r="5624" s="283" customFormat="1"/>
    <row r="5625" s="283" customFormat="1"/>
    <row r="5626" s="283" customFormat="1"/>
    <row r="5627" s="283" customFormat="1"/>
    <row r="5628" s="283" customFormat="1"/>
    <row r="5629" s="283" customFormat="1"/>
    <row r="5630" s="283" customFormat="1"/>
    <row r="5631" s="283" customFormat="1"/>
    <row r="5632" s="283" customFormat="1"/>
    <row r="5633" s="283" customFormat="1"/>
    <row r="5634" s="283" customFormat="1"/>
    <row r="5635" s="283" customFormat="1"/>
    <row r="5636" s="283" customFormat="1"/>
    <row r="5637" s="283" customFormat="1"/>
    <row r="5638" s="283" customFormat="1"/>
    <row r="5639" s="283" customFormat="1"/>
    <row r="5640" s="283" customFormat="1"/>
    <row r="5641" s="283" customFormat="1"/>
    <row r="5642" s="283" customFormat="1"/>
    <row r="5643" s="283" customFormat="1"/>
    <row r="5644" s="283" customFormat="1"/>
    <row r="5645" s="283" customFormat="1"/>
    <row r="5646" s="283" customFormat="1"/>
    <row r="5647" s="283" customFormat="1"/>
    <row r="5648" s="283" customFormat="1"/>
    <row r="5649" s="283" customFormat="1"/>
    <row r="5650" s="283" customFormat="1"/>
    <row r="5651" s="283" customFormat="1"/>
    <row r="5652" s="283" customFormat="1"/>
    <row r="5653" s="283" customFormat="1"/>
    <row r="5654" s="283" customFormat="1"/>
    <row r="5655" s="283" customFormat="1"/>
    <row r="5656" s="283" customFormat="1"/>
    <row r="5657" s="283" customFormat="1"/>
    <row r="5658" s="283" customFormat="1"/>
    <row r="5659" s="283" customFormat="1"/>
    <row r="5660" s="283" customFormat="1"/>
    <row r="5661" s="283" customFormat="1"/>
    <row r="5662" s="283" customFormat="1"/>
    <row r="5663" s="283" customFormat="1"/>
    <row r="5664" s="283" customFormat="1"/>
    <row r="5665" s="283" customFormat="1"/>
    <row r="5666" s="283" customFormat="1"/>
    <row r="5667" s="283" customFormat="1"/>
    <row r="5668" s="283" customFormat="1"/>
    <row r="5669" s="283" customFormat="1"/>
    <row r="5670" s="283" customFormat="1"/>
    <row r="5671" s="283" customFormat="1"/>
    <row r="5672" s="283" customFormat="1"/>
    <row r="5673" s="283" customFormat="1"/>
    <row r="5674" s="283" customFormat="1"/>
    <row r="5675" s="283" customFormat="1"/>
    <row r="5676" s="283" customFormat="1"/>
    <row r="5677" s="283" customFormat="1"/>
    <row r="5678" s="283" customFormat="1"/>
    <row r="5679" s="283" customFormat="1"/>
    <row r="5680" s="283" customFormat="1"/>
    <row r="5681" s="283" customFormat="1"/>
    <row r="5682" s="283" customFormat="1"/>
    <row r="5683" s="283" customFormat="1"/>
    <row r="5684" s="283" customFormat="1"/>
    <row r="5685" s="283" customFormat="1"/>
    <row r="5686" s="283" customFormat="1"/>
    <row r="5687" s="283" customFormat="1"/>
    <row r="5688" s="283" customFormat="1"/>
    <row r="5689" s="283" customFormat="1"/>
    <row r="5690" s="283" customFormat="1"/>
    <row r="5691" s="283" customFormat="1"/>
    <row r="5692" s="283" customFormat="1"/>
    <row r="5693" s="283" customFormat="1"/>
    <row r="5694" s="283" customFormat="1"/>
    <row r="5695" s="283" customFormat="1"/>
    <row r="5696" s="283" customFormat="1"/>
    <row r="5697" s="283" customFormat="1"/>
    <row r="5698" s="283" customFormat="1"/>
    <row r="5699" s="283" customFormat="1"/>
    <row r="5700" s="283" customFormat="1"/>
    <row r="5701" s="283" customFormat="1"/>
    <row r="5702" s="283" customFormat="1"/>
    <row r="5703" s="283" customFormat="1"/>
    <row r="5704" s="283" customFormat="1"/>
    <row r="5705" s="283" customFormat="1"/>
    <row r="5706" s="283" customFormat="1"/>
    <row r="5707" s="283" customFormat="1"/>
    <row r="5708" s="283" customFormat="1"/>
    <row r="5709" s="283" customFormat="1"/>
    <row r="5710" s="283" customFormat="1"/>
    <row r="5711" s="283" customFormat="1"/>
    <row r="5712" s="283" customFormat="1"/>
    <row r="5713" s="283" customFormat="1"/>
    <row r="5714" s="283" customFormat="1"/>
    <row r="5715" s="283" customFormat="1"/>
    <row r="5716" s="283" customFormat="1"/>
    <row r="5717" s="283" customFormat="1"/>
    <row r="5718" s="283" customFormat="1"/>
    <row r="5719" s="283" customFormat="1"/>
    <row r="5720" s="283" customFormat="1"/>
    <row r="5721" s="283" customFormat="1"/>
    <row r="5722" s="283" customFormat="1"/>
    <row r="5723" s="283" customFormat="1"/>
    <row r="5724" s="283" customFormat="1"/>
    <row r="5725" s="283" customFormat="1"/>
    <row r="5726" s="283" customFormat="1"/>
    <row r="5727" s="283" customFormat="1"/>
    <row r="5728" s="283" customFormat="1"/>
    <row r="5729" s="283" customFormat="1"/>
    <row r="5730" s="283" customFormat="1"/>
    <row r="5731" s="283" customFormat="1"/>
    <row r="5732" s="283" customFormat="1"/>
    <row r="5733" s="283" customFormat="1"/>
    <row r="5734" s="283" customFormat="1"/>
    <row r="5735" s="283" customFormat="1"/>
    <row r="5736" s="283" customFormat="1"/>
    <row r="5737" s="283" customFormat="1"/>
    <row r="5738" s="283" customFormat="1"/>
    <row r="5739" s="283" customFormat="1"/>
    <row r="5740" s="283" customFormat="1"/>
    <row r="5741" s="283" customFormat="1"/>
    <row r="5742" s="283" customFormat="1"/>
    <row r="5743" s="283" customFormat="1"/>
    <row r="5744" s="283" customFormat="1"/>
    <row r="5745" s="283" customFormat="1"/>
    <row r="5746" s="283" customFormat="1"/>
    <row r="5747" s="283" customFormat="1"/>
    <row r="5748" s="283" customFormat="1"/>
    <row r="5749" s="283" customFormat="1"/>
    <row r="5750" s="283" customFormat="1"/>
    <row r="5751" s="283" customFormat="1"/>
    <row r="5752" s="283" customFormat="1"/>
    <row r="5753" s="283" customFormat="1"/>
    <row r="5754" s="283" customFormat="1"/>
    <row r="5755" s="283" customFormat="1"/>
    <row r="5756" s="283" customFormat="1"/>
    <row r="5757" s="283" customFormat="1"/>
    <row r="5758" s="283" customFormat="1"/>
    <row r="5759" s="283" customFormat="1"/>
    <row r="5760" s="283" customFormat="1"/>
    <row r="5761" s="283" customFormat="1"/>
    <row r="5762" s="283" customFormat="1"/>
    <row r="5763" s="283" customFormat="1"/>
    <row r="5764" s="283" customFormat="1"/>
    <row r="5765" s="283" customFormat="1"/>
    <row r="5766" s="283" customFormat="1"/>
    <row r="5767" s="283" customFormat="1"/>
    <row r="5768" s="283" customFormat="1"/>
    <row r="5769" s="283" customFormat="1"/>
    <row r="5770" s="283" customFormat="1"/>
    <row r="5771" s="283" customFormat="1"/>
    <row r="5772" s="283" customFormat="1"/>
    <row r="5773" s="283" customFormat="1"/>
    <row r="5774" s="283" customFormat="1"/>
    <row r="5775" s="283" customFormat="1"/>
    <row r="5776" s="283" customFormat="1"/>
    <row r="5777" s="283" customFormat="1"/>
    <row r="5778" s="283" customFormat="1"/>
    <row r="5779" s="283" customFormat="1"/>
    <row r="5780" s="283" customFormat="1"/>
    <row r="5781" s="283" customFormat="1"/>
    <row r="5782" s="283" customFormat="1"/>
    <row r="5783" s="283" customFormat="1"/>
    <row r="5784" s="283" customFormat="1"/>
    <row r="5785" s="283" customFormat="1"/>
    <row r="5786" s="283" customFormat="1"/>
    <row r="5787" s="283" customFormat="1"/>
    <row r="5788" s="283" customFormat="1"/>
    <row r="5789" s="283" customFormat="1"/>
    <row r="5790" s="283" customFormat="1"/>
    <row r="5791" s="283" customFormat="1"/>
    <row r="5792" s="283" customFormat="1"/>
    <row r="5793" s="283" customFormat="1"/>
    <row r="5794" s="283" customFormat="1"/>
    <row r="5795" s="283" customFormat="1"/>
    <row r="5796" s="283" customFormat="1"/>
    <row r="5797" s="283" customFormat="1"/>
    <row r="5798" s="283" customFormat="1"/>
    <row r="5799" s="283" customFormat="1"/>
    <row r="5800" s="283" customFormat="1"/>
    <row r="5801" s="283" customFormat="1"/>
    <row r="5802" s="283" customFormat="1"/>
    <row r="5803" s="283" customFormat="1"/>
    <row r="5804" s="283" customFormat="1"/>
    <row r="5805" s="283" customFormat="1"/>
    <row r="5806" s="283" customFormat="1"/>
    <row r="5807" s="283" customFormat="1"/>
    <row r="5808" s="283" customFormat="1"/>
    <row r="5809" s="283" customFormat="1"/>
    <row r="5810" s="283" customFormat="1"/>
    <row r="5811" s="283" customFormat="1"/>
    <row r="5812" s="283" customFormat="1"/>
    <row r="5813" s="283" customFormat="1"/>
    <row r="5814" s="283" customFormat="1"/>
    <row r="5815" s="283" customFormat="1"/>
    <row r="5816" s="283" customFormat="1"/>
    <row r="5817" s="283" customFormat="1"/>
    <row r="5818" s="283" customFormat="1"/>
    <row r="5819" s="283" customFormat="1"/>
    <row r="5820" s="283" customFormat="1"/>
    <row r="5821" s="283" customFormat="1"/>
    <row r="5822" s="283" customFormat="1"/>
    <row r="5823" s="283" customFormat="1"/>
    <row r="5824" s="283" customFormat="1"/>
    <row r="5825" s="283" customFormat="1"/>
    <row r="5826" s="283" customFormat="1"/>
    <row r="5827" s="283" customFormat="1"/>
    <row r="5828" s="283" customFormat="1"/>
    <row r="5829" s="283" customFormat="1"/>
    <row r="5830" s="283" customFormat="1"/>
    <row r="5831" s="283" customFormat="1"/>
    <row r="5832" s="283" customFormat="1"/>
    <row r="5833" s="283" customFormat="1"/>
    <row r="5834" s="283" customFormat="1"/>
    <row r="5835" s="283" customFormat="1"/>
    <row r="5836" s="283" customFormat="1"/>
    <row r="5837" s="283" customFormat="1"/>
    <row r="5838" s="283" customFormat="1"/>
    <row r="5839" s="283" customFormat="1"/>
    <row r="5840" s="283" customFormat="1"/>
    <row r="5841" s="283" customFormat="1"/>
    <row r="5842" s="283" customFormat="1"/>
    <row r="5843" s="283" customFormat="1"/>
    <row r="5844" s="283" customFormat="1"/>
    <row r="5845" s="283" customFormat="1"/>
    <row r="5846" s="283" customFormat="1"/>
    <row r="5847" s="283" customFormat="1"/>
    <row r="5848" s="283" customFormat="1"/>
    <row r="5849" s="283" customFormat="1"/>
    <row r="5850" s="283" customFormat="1"/>
    <row r="5851" s="283" customFormat="1"/>
    <row r="5852" s="283" customFormat="1"/>
    <row r="5853" s="283" customFormat="1"/>
    <row r="5854" s="283" customFormat="1"/>
    <row r="5855" s="283" customFormat="1"/>
    <row r="5856" s="283" customFormat="1"/>
    <row r="5857" s="283" customFormat="1"/>
    <row r="5858" s="283" customFormat="1"/>
    <row r="5859" s="283" customFormat="1"/>
    <row r="5860" s="283" customFormat="1"/>
    <row r="5861" s="283" customFormat="1"/>
    <row r="5862" s="283" customFormat="1"/>
    <row r="5863" s="283" customFormat="1"/>
    <row r="5864" s="283" customFormat="1"/>
    <row r="5865" s="283" customFormat="1"/>
    <row r="5866" s="283" customFormat="1"/>
    <row r="5867" s="283" customFormat="1"/>
    <row r="5868" s="283" customFormat="1"/>
    <row r="5869" s="283" customFormat="1"/>
    <row r="5870" s="283" customFormat="1"/>
    <row r="5871" s="283" customFormat="1"/>
    <row r="5872" s="283" customFormat="1"/>
    <row r="5873" s="283" customFormat="1"/>
    <row r="5874" s="283" customFormat="1"/>
    <row r="5875" s="283" customFormat="1"/>
    <row r="5876" s="283" customFormat="1"/>
    <row r="5877" s="283" customFormat="1"/>
    <row r="5878" s="283" customFormat="1"/>
    <row r="5879" s="283" customFormat="1"/>
    <row r="5880" s="283" customFormat="1"/>
    <row r="5881" s="283" customFormat="1"/>
    <row r="5882" s="283" customFormat="1"/>
    <row r="5883" s="283" customFormat="1"/>
    <row r="5884" s="283" customFormat="1"/>
    <row r="5885" s="283" customFormat="1"/>
    <row r="5886" s="283" customFormat="1"/>
    <row r="5887" s="283" customFormat="1"/>
    <row r="5888" s="283" customFormat="1"/>
    <row r="5889" s="283" customFormat="1"/>
    <row r="5890" s="283" customFormat="1"/>
    <row r="5891" s="283" customFormat="1"/>
    <row r="5892" s="283" customFormat="1"/>
    <row r="5893" s="283" customFormat="1"/>
    <row r="5894" s="283" customFormat="1"/>
    <row r="5895" s="283" customFormat="1"/>
    <row r="5896" s="283" customFormat="1"/>
    <row r="5897" s="283" customFormat="1"/>
    <row r="5898" s="283" customFormat="1"/>
    <row r="5899" s="283" customFormat="1"/>
    <row r="5900" s="283" customFormat="1"/>
    <row r="5901" s="283" customFormat="1"/>
    <row r="5902" s="283" customFormat="1"/>
    <row r="5903" s="283" customFormat="1"/>
    <row r="5904" s="283" customFormat="1"/>
    <row r="5905" s="283" customFormat="1"/>
    <row r="5906" s="283" customFormat="1"/>
    <row r="5907" s="283" customFormat="1"/>
    <row r="5908" s="283" customFormat="1"/>
    <row r="5909" s="283" customFormat="1"/>
    <row r="5910" s="283" customFormat="1"/>
    <row r="5911" s="283" customFormat="1"/>
    <row r="5912" s="283" customFormat="1"/>
    <row r="5913" s="283" customFormat="1"/>
    <row r="5914" s="283" customFormat="1"/>
    <row r="5915" s="283" customFormat="1"/>
    <row r="5916" s="283" customFormat="1"/>
    <row r="5917" s="283" customFormat="1"/>
    <row r="5918" s="283" customFormat="1"/>
    <row r="5919" s="283" customFormat="1"/>
    <row r="5920" s="283" customFormat="1"/>
    <row r="5921" s="283" customFormat="1"/>
    <row r="5922" s="283" customFormat="1"/>
    <row r="5923" s="283" customFormat="1"/>
    <row r="5924" s="283" customFormat="1"/>
    <row r="5925" s="283" customFormat="1"/>
    <row r="5926" s="283" customFormat="1"/>
    <row r="5927" s="283" customFormat="1"/>
    <row r="5928" s="283" customFormat="1"/>
    <row r="5929" s="283" customFormat="1"/>
    <row r="5930" s="283" customFormat="1"/>
    <row r="5931" s="283" customFormat="1"/>
    <row r="5932" s="283" customFormat="1"/>
    <row r="5933" s="283" customFormat="1"/>
    <row r="5934" s="283" customFormat="1"/>
    <row r="5935" s="283" customFormat="1"/>
    <row r="5936" s="283" customFormat="1"/>
    <row r="5937" s="283" customFormat="1"/>
    <row r="5938" s="283" customFormat="1"/>
    <row r="5939" s="283" customFormat="1"/>
    <row r="5940" s="283" customFormat="1"/>
    <row r="5941" s="283" customFormat="1"/>
    <row r="5942" s="283" customFormat="1"/>
    <row r="5943" s="283" customFormat="1"/>
    <row r="5944" s="283" customFormat="1"/>
    <row r="5945" s="283" customFormat="1"/>
    <row r="5946" s="283" customFormat="1"/>
    <row r="5947" s="283" customFormat="1"/>
    <row r="5948" s="283" customFormat="1"/>
    <row r="5949" s="283" customFormat="1"/>
    <row r="5950" s="283" customFormat="1"/>
    <row r="5951" s="283" customFormat="1"/>
    <row r="5952" s="283" customFormat="1"/>
    <row r="5953" s="283" customFormat="1"/>
    <row r="5954" s="283" customFormat="1"/>
    <row r="5955" s="283" customFormat="1"/>
    <row r="5956" s="283" customFormat="1"/>
    <row r="5957" s="283" customFormat="1"/>
    <row r="5958" s="283" customFormat="1"/>
    <row r="5959" s="283" customFormat="1"/>
    <row r="5960" s="283" customFormat="1"/>
    <row r="5961" s="283" customFormat="1"/>
    <row r="5962" s="283" customFormat="1"/>
    <row r="5963" s="283" customFormat="1"/>
    <row r="5964" s="283" customFormat="1"/>
    <row r="5965" s="283" customFormat="1"/>
    <row r="5966" s="283" customFormat="1"/>
    <row r="5967" s="283" customFormat="1"/>
    <row r="5968" s="283" customFormat="1"/>
    <row r="5969" s="283" customFormat="1"/>
    <row r="5970" s="283" customFormat="1"/>
    <row r="5971" s="283" customFormat="1"/>
    <row r="5972" s="283" customFormat="1"/>
    <row r="5973" s="283" customFormat="1"/>
    <row r="5974" s="283" customFormat="1"/>
    <row r="5975" s="283" customFormat="1"/>
    <row r="5976" s="283" customFormat="1"/>
    <row r="5977" s="283" customFormat="1"/>
    <row r="5978" s="283" customFormat="1"/>
    <row r="5979" s="283" customFormat="1"/>
    <row r="5980" s="283" customFormat="1"/>
    <row r="5981" s="283" customFormat="1"/>
    <row r="5982" s="283" customFormat="1"/>
    <row r="5983" s="283" customFormat="1"/>
    <row r="5984" s="283" customFormat="1"/>
    <row r="5985" s="283" customFormat="1"/>
    <row r="5986" s="283" customFormat="1"/>
    <row r="5987" s="283" customFormat="1"/>
    <row r="5988" s="283" customFormat="1"/>
    <row r="5989" s="283" customFormat="1"/>
    <row r="5990" s="283" customFormat="1"/>
    <row r="5991" s="283" customFormat="1"/>
    <row r="5992" s="283" customFormat="1"/>
    <row r="5993" s="283" customFormat="1"/>
    <row r="5994" s="283" customFormat="1"/>
    <row r="5995" s="283" customFormat="1"/>
    <row r="5996" s="283" customFormat="1"/>
    <row r="5997" s="283" customFormat="1"/>
    <row r="5998" s="283" customFormat="1"/>
    <row r="5999" s="283" customFormat="1"/>
    <row r="6000" s="283" customFormat="1"/>
    <row r="6001" s="283" customFormat="1"/>
    <row r="6002" s="283" customFormat="1"/>
    <row r="6003" s="283" customFormat="1"/>
    <row r="6004" s="283" customFormat="1"/>
    <row r="6005" s="283" customFormat="1"/>
    <row r="6006" s="283" customFormat="1"/>
    <row r="6007" s="283" customFormat="1"/>
    <row r="6008" s="283" customFormat="1"/>
    <row r="6009" s="283" customFormat="1"/>
    <row r="6010" s="283" customFormat="1"/>
    <row r="6011" s="283" customFormat="1"/>
    <row r="6012" s="283" customFormat="1"/>
    <row r="6013" s="283" customFormat="1"/>
    <row r="6014" s="283" customFormat="1"/>
    <row r="6015" s="283" customFormat="1"/>
    <row r="6016" s="283" customFormat="1"/>
    <row r="6017" s="283" customFormat="1"/>
    <row r="6018" s="283" customFormat="1"/>
    <row r="6019" s="283" customFormat="1"/>
    <row r="6020" s="283" customFormat="1"/>
    <row r="6021" s="283" customFormat="1"/>
    <row r="6022" s="283" customFormat="1"/>
    <row r="6023" s="283" customFormat="1"/>
    <row r="6024" s="283" customFormat="1"/>
    <row r="6025" s="283" customFormat="1"/>
    <row r="6026" s="283" customFormat="1"/>
    <row r="6027" s="283" customFormat="1"/>
    <row r="6028" s="283" customFormat="1"/>
    <row r="6029" s="283" customFormat="1"/>
    <row r="6030" s="283" customFormat="1"/>
    <row r="6031" s="283" customFormat="1"/>
    <row r="6032" s="283" customFormat="1"/>
    <row r="6033" s="283" customFormat="1"/>
    <row r="6034" s="283" customFormat="1"/>
    <row r="6035" s="283" customFormat="1"/>
    <row r="6036" s="283" customFormat="1"/>
    <row r="6037" s="283" customFormat="1"/>
    <row r="6038" s="283" customFormat="1"/>
    <row r="6039" s="283" customFormat="1"/>
    <row r="6040" s="283" customFormat="1"/>
    <row r="6041" s="283" customFormat="1"/>
    <row r="6042" s="283" customFormat="1"/>
    <row r="6043" s="283" customFormat="1"/>
    <row r="6044" s="283" customFormat="1"/>
    <row r="6045" s="283" customFormat="1"/>
    <row r="6046" s="283" customFormat="1"/>
    <row r="6047" s="283" customFormat="1"/>
    <row r="6048" s="283" customFormat="1"/>
    <row r="6049" s="283" customFormat="1"/>
    <row r="6050" s="283" customFormat="1"/>
    <row r="6051" s="283" customFormat="1"/>
    <row r="6052" s="283" customFormat="1"/>
    <row r="6053" s="283" customFormat="1"/>
    <row r="6054" s="283" customFormat="1"/>
    <row r="6055" s="283" customFormat="1"/>
    <row r="6056" s="283" customFormat="1"/>
    <row r="6057" s="283" customFormat="1"/>
    <row r="6058" s="283" customFormat="1"/>
    <row r="6059" s="283" customFormat="1"/>
    <row r="6060" s="283" customFormat="1"/>
    <row r="6061" s="283" customFormat="1"/>
    <row r="6062" s="283" customFormat="1"/>
    <row r="6063" s="283" customFormat="1"/>
    <row r="6064" s="283" customFormat="1"/>
    <row r="6065" s="283" customFormat="1"/>
    <row r="6066" s="283" customFormat="1"/>
    <row r="6067" s="283" customFormat="1"/>
    <row r="6068" s="283" customFormat="1"/>
    <row r="6069" s="283" customFormat="1"/>
    <row r="6070" s="283" customFormat="1"/>
    <row r="6071" s="283" customFormat="1"/>
    <row r="6072" s="283" customFormat="1"/>
    <row r="6073" s="283" customFormat="1"/>
    <row r="6074" s="283" customFormat="1"/>
    <row r="6075" s="283" customFormat="1"/>
    <row r="6076" s="283" customFormat="1"/>
    <row r="6077" s="283" customFormat="1"/>
    <row r="6078" s="283" customFormat="1"/>
    <row r="6079" s="283" customFormat="1"/>
    <row r="6080" s="283" customFormat="1"/>
    <row r="6081" s="283" customFormat="1"/>
    <row r="6082" s="283" customFormat="1"/>
    <row r="6083" s="283" customFormat="1"/>
    <row r="6084" s="283" customFormat="1"/>
    <row r="6085" s="283" customFormat="1"/>
    <row r="6086" s="283" customFormat="1"/>
    <row r="6087" s="283" customFormat="1"/>
    <row r="6088" s="283" customFormat="1"/>
    <row r="6089" s="283" customFormat="1"/>
    <row r="6090" s="283" customFormat="1"/>
    <row r="6091" s="283" customFormat="1"/>
    <row r="6092" s="283" customFormat="1"/>
    <row r="6093" s="283" customFormat="1"/>
    <row r="6094" s="283" customFormat="1"/>
    <row r="6095" s="283" customFormat="1"/>
    <row r="6096" s="283" customFormat="1"/>
    <row r="6097" s="283" customFormat="1"/>
    <row r="6098" s="283" customFormat="1"/>
    <row r="6099" s="283" customFormat="1"/>
    <row r="6100" s="283" customFormat="1"/>
    <row r="6101" s="283" customFormat="1"/>
    <row r="6102" s="283" customFormat="1"/>
    <row r="6103" s="283" customFormat="1"/>
    <row r="6104" s="283" customFormat="1"/>
    <row r="6105" s="283" customFormat="1"/>
    <row r="6106" s="283" customFormat="1"/>
    <row r="6107" s="283" customFormat="1"/>
    <row r="6108" s="283" customFormat="1"/>
    <row r="6109" s="283" customFormat="1"/>
    <row r="6110" s="283" customFormat="1"/>
    <row r="6111" s="283" customFormat="1"/>
    <row r="6112" s="283" customFormat="1"/>
    <row r="6113" s="283" customFormat="1"/>
    <row r="6114" s="283" customFormat="1"/>
    <row r="6115" s="283" customFormat="1"/>
    <row r="6116" s="283" customFormat="1"/>
    <row r="6117" s="283" customFormat="1"/>
    <row r="6118" s="283" customFormat="1"/>
    <row r="6119" s="283" customFormat="1"/>
    <row r="6120" s="283" customFormat="1"/>
    <row r="6121" s="283" customFormat="1"/>
    <row r="6122" s="283" customFormat="1"/>
    <row r="6123" s="283" customFormat="1"/>
    <row r="6124" s="283" customFormat="1"/>
    <row r="6125" s="283" customFormat="1"/>
    <row r="6126" s="283" customFormat="1"/>
    <row r="6127" s="283" customFormat="1"/>
    <row r="6128" s="283" customFormat="1"/>
    <row r="6129" s="283" customFormat="1"/>
    <row r="6130" s="283" customFormat="1"/>
    <row r="6131" s="283" customFormat="1"/>
    <row r="6132" s="283" customFormat="1"/>
    <row r="6133" s="283" customFormat="1"/>
    <row r="6134" s="283" customFormat="1"/>
    <row r="6135" s="283" customFormat="1"/>
    <row r="6136" s="283" customFormat="1"/>
    <row r="6137" s="283" customFormat="1"/>
    <row r="6138" s="283" customFormat="1"/>
    <row r="6139" s="283" customFormat="1"/>
    <row r="6140" s="283" customFormat="1"/>
    <row r="6141" s="283" customFormat="1"/>
    <row r="6142" s="283" customFormat="1"/>
    <row r="6143" s="283" customFormat="1"/>
    <row r="6144" s="283" customFormat="1"/>
    <row r="6145" s="283" customFormat="1"/>
    <row r="6146" s="283" customFormat="1"/>
    <row r="6147" s="283" customFormat="1"/>
    <row r="6148" s="283" customFormat="1"/>
    <row r="6149" s="283" customFormat="1"/>
    <row r="6150" s="283" customFormat="1"/>
    <row r="6151" s="283" customFormat="1"/>
    <row r="6152" s="283" customFormat="1"/>
    <row r="6153" s="283" customFormat="1"/>
    <row r="6154" s="283" customFormat="1"/>
    <row r="6155" s="283" customFormat="1"/>
    <row r="6156" s="283" customFormat="1"/>
    <row r="6157" s="283" customFormat="1"/>
    <row r="6158" s="283" customFormat="1"/>
    <row r="6159" s="283" customFormat="1"/>
    <row r="6160" s="283" customFormat="1"/>
    <row r="6161" s="283" customFormat="1"/>
    <row r="6162" s="283" customFormat="1"/>
    <row r="6163" s="283" customFormat="1"/>
    <row r="6164" s="283" customFormat="1"/>
    <row r="6165" s="283" customFormat="1"/>
    <row r="6166" s="283" customFormat="1"/>
    <row r="6167" s="283" customFormat="1"/>
    <row r="6168" s="283" customFormat="1"/>
    <row r="6169" s="283" customFormat="1"/>
    <row r="6170" s="283" customFormat="1"/>
    <row r="6171" s="283" customFormat="1"/>
    <row r="6172" s="283" customFormat="1"/>
    <row r="6173" s="283" customFormat="1"/>
    <row r="6174" s="283" customFormat="1"/>
    <row r="6175" s="283" customFormat="1"/>
    <row r="6176" s="283" customFormat="1"/>
    <row r="6177" s="283" customFormat="1"/>
    <row r="6178" s="283" customFormat="1"/>
    <row r="6179" s="283" customFormat="1"/>
    <row r="6180" s="283" customFormat="1"/>
    <row r="6181" s="283" customFormat="1"/>
    <row r="6182" s="283" customFormat="1"/>
    <row r="6183" s="283" customFormat="1"/>
    <row r="6184" s="283" customFormat="1"/>
    <row r="6185" s="283" customFormat="1"/>
    <row r="6186" s="283" customFormat="1"/>
    <row r="6187" s="283" customFormat="1"/>
    <row r="6188" s="283" customFormat="1"/>
    <row r="6189" s="283" customFormat="1"/>
    <row r="6190" s="283" customFormat="1"/>
    <row r="6191" s="283" customFormat="1"/>
    <row r="6192" s="283" customFormat="1"/>
    <row r="6193" s="283" customFormat="1"/>
    <row r="6194" s="283" customFormat="1"/>
    <row r="6195" s="283" customFormat="1"/>
    <row r="6196" s="283" customFormat="1"/>
    <row r="6197" s="283" customFormat="1"/>
    <row r="6198" s="283" customFormat="1"/>
    <row r="6199" s="283" customFormat="1"/>
    <row r="6200" s="283" customFormat="1"/>
    <row r="6201" s="283" customFormat="1"/>
    <row r="6202" s="283" customFormat="1"/>
    <row r="6203" s="283" customFormat="1"/>
    <row r="6204" s="283" customFormat="1"/>
    <row r="6205" s="283" customFormat="1"/>
    <row r="6206" s="283" customFormat="1"/>
    <row r="6207" s="283" customFormat="1"/>
    <row r="6208" s="283" customFormat="1"/>
    <row r="6209" s="283" customFormat="1"/>
    <row r="6210" s="283" customFormat="1"/>
    <row r="6211" s="283" customFormat="1"/>
    <row r="6212" s="283" customFormat="1"/>
    <row r="6213" s="283" customFormat="1"/>
    <row r="6214" s="283" customFormat="1"/>
    <row r="6215" s="283" customFormat="1"/>
    <row r="6216" s="283" customFormat="1"/>
    <row r="6217" s="283" customFormat="1"/>
    <row r="6218" s="283" customFormat="1"/>
    <row r="6219" s="283" customFormat="1"/>
    <row r="6220" s="283" customFormat="1"/>
    <row r="6221" s="283" customFormat="1"/>
    <row r="6222" s="283" customFormat="1"/>
    <row r="6223" s="283" customFormat="1"/>
    <row r="6224" s="283" customFormat="1"/>
    <row r="6225" s="283" customFormat="1"/>
    <row r="6226" s="283" customFormat="1"/>
    <row r="6227" s="283" customFormat="1"/>
    <row r="6228" s="283" customFormat="1"/>
    <row r="6229" s="283" customFormat="1"/>
    <row r="6230" s="283" customFormat="1"/>
    <row r="6231" s="283" customFormat="1"/>
    <row r="6232" s="283" customFormat="1"/>
    <row r="6233" s="283" customFormat="1"/>
    <row r="6234" s="283" customFormat="1"/>
    <row r="6235" s="283" customFormat="1"/>
    <row r="6236" s="283" customFormat="1"/>
    <row r="6237" s="283" customFormat="1"/>
    <row r="6238" s="283" customFormat="1"/>
    <row r="6239" s="283" customFormat="1"/>
    <row r="6240" s="283" customFormat="1"/>
    <row r="6241" s="283" customFormat="1"/>
    <row r="6242" s="283" customFormat="1"/>
    <row r="6243" s="283" customFormat="1"/>
    <row r="6244" s="283" customFormat="1"/>
    <row r="6245" s="283" customFormat="1"/>
    <row r="6246" s="283" customFormat="1"/>
    <row r="6247" s="283" customFormat="1"/>
    <row r="6248" s="283" customFormat="1"/>
    <row r="6249" s="283" customFormat="1"/>
    <row r="6250" s="283" customFormat="1"/>
    <row r="6251" s="283" customFormat="1"/>
    <row r="6252" s="283" customFormat="1"/>
    <row r="6253" s="283" customFormat="1"/>
    <row r="6254" s="283" customFormat="1"/>
    <row r="6255" s="283" customFormat="1"/>
    <row r="6256" s="283" customFormat="1"/>
    <row r="6257" s="283" customFormat="1"/>
    <row r="6258" s="283" customFormat="1"/>
    <row r="6259" s="283" customFormat="1"/>
    <row r="6260" s="283" customFormat="1"/>
    <row r="6261" s="283" customFormat="1"/>
    <row r="6262" s="283" customFormat="1"/>
    <row r="6263" s="283" customFormat="1"/>
    <row r="6264" s="283" customFormat="1"/>
    <row r="6265" s="283" customFormat="1"/>
    <row r="6266" s="283" customFormat="1"/>
    <row r="6267" s="283" customFormat="1"/>
    <row r="6268" s="283" customFormat="1"/>
    <row r="6269" s="283" customFormat="1"/>
    <row r="6270" s="283" customFormat="1"/>
    <row r="6271" s="283" customFormat="1"/>
    <row r="6272" s="283" customFormat="1"/>
    <row r="6273" s="283" customFormat="1"/>
    <row r="6274" s="283" customFormat="1"/>
    <row r="6275" s="283" customFormat="1"/>
    <row r="6276" s="283" customFormat="1"/>
    <row r="6277" s="283" customFormat="1"/>
    <row r="6278" s="283" customFormat="1"/>
    <row r="6279" s="283" customFormat="1"/>
    <row r="6280" s="283" customFormat="1"/>
    <row r="6281" s="283" customFormat="1"/>
    <row r="6282" s="283" customFormat="1"/>
    <row r="6283" s="283" customFormat="1"/>
    <row r="6284" s="283" customFormat="1"/>
    <row r="6285" s="283" customFormat="1"/>
    <row r="6286" s="283" customFormat="1"/>
    <row r="6287" s="283" customFormat="1"/>
    <row r="6288" s="283" customFormat="1"/>
    <row r="6289" s="283" customFormat="1"/>
    <row r="6290" s="283" customFormat="1"/>
    <row r="6291" s="283" customFormat="1"/>
    <row r="6292" s="283" customFormat="1"/>
    <row r="6293" s="283" customFormat="1"/>
    <row r="6294" s="283" customFormat="1"/>
    <row r="6295" s="283" customFormat="1"/>
    <row r="6296" s="283" customFormat="1"/>
    <row r="6297" s="283" customFormat="1"/>
    <row r="6298" s="283" customFormat="1"/>
    <row r="6299" s="283" customFormat="1"/>
    <row r="6300" s="283" customFormat="1"/>
    <row r="6301" s="283" customFormat="1"/>
    <row r="6302" s="283" customFormat="1"/>
    <row r="6303" s="283" customFormat="1"/>
    <row r="6304" s="283" customFormat="1"/>
    <row r="6305" s="283" customFormat="1"/>
    <row r="6306" s="283" customFormat="1"/>
    <row r="6307" s="283" customFormat="1"/>
    <row r="6308" s="283" customFormat="1"/>
    <row r="6309" s="283" customFormat="1"/>
    <row r="6310" s="283" customFormat="1"/>
    <row r="6311" s="283" customFormat="1"/>
    <row r="6312" s="283" customFormat="1"/>
    <row r="6313" s="283" customFormat="1"/>
    <row r="6314" s="283" customFormat="1"/>
    <row r="6315" s="283" customFormat="1"/>
    <row r="6316" s="283" customFormat="1"/>
    <row r="6317" s="283" customFormat="1"/>
    <row r="6318" s="283" customFormat="1"/>
    <row r="6319" s="283" customFormat="1"/>
    <row r="6320" s="283" customFormat="1"/>
    <row r="6321" s="283" customFormat="1"/>
    <row r="6322" s="283" customFormat="1"/>
    <row r="6323" s="283" customFormat="1"/>
    <row r="6324" s="283" customFormat="1"/>
    <row r="6325" s="283" customFormat="1"/>
    <row r="6326" s="283" customFormat="1"/>
    <row r="6327" s="283" customFormat="1"/>
    <row r="6328" s="283" customFormat="1"/>
    <row r="6329" s="283" customFormat="1"/>
    <row r="6330" s="283" customFormat="1"/>
    <row r="6331" s="283" customFormat="1"/>
    <row r="6332" s="283" customFormat="1"/>
    <row r="6333" s="283" customFormat="1"/>
    <row r="6334" s="283" customFormat="1"/>
    <row r="6335" s="283" customFormat="1"/>
    <row r="6336" s="283" customFormat="1"/>
    <row r="6337" s="283" customFormat="1"/>
    <row r="6338" s="283" customFormat="1"/>
    <row r="6339" s="283" customFormat="1"/>
    <row r="6340" s="283" customFormat="1"/>
    <row r="6341" s="283" customFormat="1"/>
    <row r="6342" s="283" customFormat="1"/>
    <row r="6343" s="283" customFormat="1"/>
    <row r="6344" s="283" customFormat="1"/>
    <row r="6345" s="283" customFormat="1"/>
    <row r="6346" s="283" customFormat="1"/>
    <row r="6347" s="283" customFormat="1"/>
    <row r="6348" s="283" customFormat="1"/>
    <row r="6349" s="283" customFormat="1"/>
    <row r="6350" s="283" customFormat="1"/>
    <row r="6351" s="283" customFormat="1"/>
    <row r="6352" s="283" customFormat="1"/>
    <row r="6353" s="283" customFormat="1"/>
    <row r="6354" s="283" customFormat="1"/>
    <row r="6355" s="283" customFormat="1"/>
    <row r="6356" s="283" customFormat="1"/>
    <row r="6357" s="283" customFormat="1"/>
    <row r="6358" s="283" customFormat="1"/>
    <row r="6359" s="283" customFormat="1"/>
    <row r="6360" s="283" customFormat="1"/>
    <row r="6361" s="283" customFormat="1"/>
    <row r="6362" s="283" customFormat="1"/>
    <row r="6363" s="283" customFormat="1"/>
    <row r="6364" s="283" customFormat="1"/>
    <row r="6365" s="283" customFormat="1"/>
    <row r="6366" s="283" customFormat="1"/>
    <row r="6367" s="283" customFormat="1"/>
    <row r="6368" s="283" customFormat="1"/>
    <row r="6369" s="283" customFormat="1"/>
    <row r="6370" s="283" customFormat="1"/>
    <row r="6371" s="283" customFormat="1"/>
    <row r="6372" s="283" customFormat="1"/>
    <row r="6373" s="283" customFormat="1"/>
    <row r="6374" s="283" customFormat="1"/>
    <row r="6375" s="283" customFormat="1"/>
    <row r="6376" s="283" customFormat="1"/>
    <row r="6377" s="283" customFormat="1"/>
    <row r="6378" s="283" customFormat="1"/>
    <row r="6379" s="283" customFormat="1"/>
    <row r="6380" s="283" customFormat="1"/>
    <row r="6381" s="283" customFormat="1"/>
    <row r="6382" s="283" customFormat="1"/>
    <row r="6383" s="283" customFormat="1"/>
    <row r="6384" s="283" customFormat="1"/>
    <row r="6385" s="283" customFormat="1"/>
    <row r="6386" s="283" customFormat="1"/>
    <row r="6387" s="283" customFormat="1"/>
    <row r="6388" s="283" customFormat="1"/>
    <row r="6389" s="283" customFormat="1"/>
    <row r="6390" s="283" customFormat="1"/>
    <row r="6391" s="283" customFormat="1"/>
    <row r="6392" s="283" customFormat="1"/>
    <row r="6393" s="283" customFormat="1"/>
    <row r="6394" s="283" customFormat="1"/>
    <row r="6395" s="283" customFormat="1"/>
    <row r="6396" s="283" customFormat="1"/>
    <row r="6397" s="283" customFormat="1"/>
    <row r="6398" s="283" customFormat="1"/>
    <row r="6399" s="283" customFormat="1"/>
    <row r="6400" s="283" customFormat="1"/>
    <row r="6401" s="283" customFormat="1"/>
    <row r="6402" s="283" customFormat="1"/>
    <row r="6403" s="283" customFormat="1"/>
    <row r="6404" s="283" customFormat="1"/>
    <row r="6405" s="283" customFormat="1"/>
    <row r="6406" s="283" customFormat="1"/>
    <row r="6407" s="283" customFormat="1"/>
    <row r="6408" s="283" customFormat="1"/>
    <row r="6409" s="283" customFormat="1"/>
    <row r="6410" s="283" customFormat="1"/>
    <row r="6411" s="283" customFormat="1"/>
    <row r="6412" s="283" customFormat="1"/>
    <row r="6413" s="283" customFormat="1"/>
    <row r="6414" s="283" customFormat="1"/>
    <row r="6415" s="283" customFormat="1"/>
    <row r="6416" s="283" customFormat="1"/>
    <row r="6417" s="283" customFormat="1"/>
    <row r="6418" s="283" customFormat="1"/>
    <row r="6419" s="283" customFormat="1"/>
    <row r="6420" s="283" customFormat="1"/>
    <row r="6421" s="283" customFormat="1"/>
    <row r="6422" s="283" customFormat="1"/>
    <row r="6423" s="283" customFormat="1"/>
    <row r="6424" s="283" customFormat="1"/>
    <row r="6425" s="283" customFormat="1"/>
    <row r="6426" s="283" customFormat="1"/>
    <row r="6427" s="283" customFormat="1"/>
    <row r="6428" s="283" customFormat="1"/>
    <row r="6429" s="283" customFormat="1"/>
    <row r="6430" s="283" customFormat="1"/>
    <row r="6431" s="283" customFormat="1"/>
    <row r="6432" s="283" customFormat="1"/>
    <row r="6433" s="283" customFormat="1"/>
    <row r="6434" s="283" customFormat="1"/>
    <row r="6435" s="283" customFormat="1"/>
    <row r="6436" s="283" customFormat="1"/>
    <row r="6437" s="283" customFormat="1"/>
    <row r="6438" s="283" customFormat="1"/>
    <row r="6439" s="283" customFormat="1"/>
    <row r="6440" s="283" customFormat="1"/>
    <row r="6441" s="283" customFormat="1"/>
    <row r="6442" s="283" customFormat="1"/>
    <row r="6443" s="283" customFormat="1"/>
    <row r="6444" s="283" customFormat="1"/>
    <row r="6445" s="283" customFormat="1"/>
    <row r="6446" s="283" customFormat="1"/>
    <row r="6447" s="283" customFormat="1"/>
    <row r="6448" s="283" customFormat="1"/>
    <row r="6449" s="283" customFormat="1"/>
    <row r="6450" s="283" customFormat="1"/>
    <row r="6451" s="283" customFormat="1"/>
    <row r="6452" s="283" customFormat="1"/>
    <row r="6453" s="283" customFormat="1"/>
    <row r="6454" s="283" customFormat="1"/>
    <row r="6455" s="283" customFormat="1"/>
    <row r="6456" s="283" customFormat="1"/>
    <row r="6457" s="283" customFormat="1"/>
    <row r="6458" s="283" customFormat="1"/>
    <row r="6459" s="283" customFormat="1"/>
    <row r="6460" s="283" customFormat="1"/>
    <row r="6461" s="283" customFormat="1"/>
    <row r="6462" s="283" customFormat="1"/>
    <row r="6463" s="283" customFormat="1"/>
    <row r="6464" s="283" customFormat="1"/>
    <row r="6465" s="283" customFormat="1"/>
    <row r="6466" s="283" customFormat="1"/>
    <row r="6467" s="283" customFormat="1"/>
    <row r="6468" s="283" customFormat="1"/>
    <row r="6469" s="283" customFormat="1"/>
    <row r="6470" s="283" customFormat="1"/>
    <row r="6471" s="283" customFormat="1"/>
    <row r="6472" s="283" customFormat="1"/>
    <row r="6473" s="283" customFormat="1"/>
    <row r="6474" s="283" customFormat="1"/>
    <row r="6475" s="283" customFormat="1"/>
    <row r="6476" s="283" customFormat="1"/>
    <row r="6477" s="283" customFormat="1"/>
    <row r="6478" s="283" customFormat="1"/>
    <row r="6479" s="283" customFormat="1"/>
    <row r="6480" s="283" customFormat="1"/>
    <row r="6481" s="283" customFormat="1"/>
    <row r="6482" s="283" customFormat="1"/>
    <row r="6483" s="283" customFormat="1"/>
    <row r="6484" s="283" customFormat="1"/>
    <row r="6485" s="283" customFormat="1"/>
    <row r="6486" s="283" customFormat="1"/>
    <row r="6487" s="283" customFormat="1"/>
    <row r="6488" s="283" customFormat="1"/>
    <row r="6489" s="283" customFormat="1"/>
    <row r="6490" s="283" customFormat="1"/>
    <row r="6491" s="283" customFormat="1"/>
    <row r="6492" s="283" customFormat="1"/>
    <row r="6493" s="283" customFormat="1"/>
    <row r="6494" s="283" customFormat="1"/>
    <row r="6495" s="283" customFormat="1"/>
    <row r="6496" s="283" customFormat="1"/>
    <row r="6497" s="283" customFormat="1"/>
    <row r="6498" s="283" customFormat="1"/>
    <row r="6499" s="283" customFormat="1"/>
    <row r="6500" s="283" customFormat="1"/>
    <row r="6501" s="283" customFormat="1"/>
    <row r="6502" s="283" customFormat="1"/>
    <row r="6503" s="283" customFormat="1"/>
    <row r="6504" s="283" customFormat="1"/>
    <row r="6505" s="283" customFormat="1"/>
    <row r="6506" s="283" customFormat="1"/>
    <row r="6507" s="283" customFormat="1"/>
    <row r="6508" s="283" customFormat="1"/>
    <row r="6509" s="283" customFormat="1"/>
    <row r="6510" s="283" customFormat="1"/>
    <row r="6511" s="283" customFormat="1"/>
    <row r="6512" s="283" customFormat="1"/>
    <row r="6513" s="283" customFormat="1"/>
    <row r="6514" s="283" customFormat="1"/>
    <row r="6515" s="283" customFormat="1"/>
    <row r="6516" s="283" customFormat="1"/>
    <row r="6517" s="283" customFormat="1"/>
    <row r="6518" s="283" customFormat="1"/>
    <row r="6519" s="283" customFormat="1"/>
    <row r="6520" s="283" customFormat="1"/>
    <row r="6521" s="283" customFormat="1"/>
    <row r="6522" s="283" customFormat="1"/>
    <row r="6523" s="283" customFormat="1"/>
    <row r="6524" s="283" customFormat="1"/>
    <row r="6525" s="283" customFormat="1"/>
    <row r="6526" s="283" customFormat="1"/>
    <row r="6527" s="283" customFormat="1"/>
    <row r="6528" s="283" customFormat="1"/>
    <row r="6529" s="283" customFormat="1"/>
    <row r="6530" s="283" customFormat="1"/>
    <row r="6531" s="283" customFormat="1"/>
    <row r="6532" s="283" customFormat="1"/>
    <row r="6533" s="283" customFormat="1"/>
    <row r="6534" s="283" customFormat="1"/>
    <row r="6535" s="283" customFormat="1"/>
    <row r="6536" s="283" customFormat="1"/>
    <row r="6537" s="283" customFormat="1"/>
    <row r="6538" s="283" customFormat="1"/>
    <row r="6539" s="283" customFormat="1"/>
    <row r="6540" s="283" customFormat="1"/>
    <row r="6541" s="283" customFormat="1"/>
    <row r="6542" s="283" customFormat="1"/>
    <row r="6543" s="283" customFormat="1"/>
    <row r="6544" s="283" customFormat="1"/>
    <row r="6545" s="283" customFormat="1"/>
    <row r="6546" s="283" customFormat="1"/>
    <row r="6547" s="283" customFormat="1"/>
    <row r="6548" s="283" customFormat="1"/>
    <row r="6549" s="283" customFormat="1"/>
    <row r="6550" s="283" customFormat="1"/>
    <row r="6551" s="283" customFormat="1"/>
    <row r="6552" s="283" customFormat="1"/>
    <row r="6553" s="283" customFormat="1"/>
    <row r="6554" s="283" customFormat="1"/>
    <row r="6555" s="283" customFormat="1"/>
    <row r="6556" s="283" customFormat="1"/>
    <row r="6557" s="283" customFormat="1"/>
    <row r="6558" s="283" customFormat="1"/>
    <row r="6559" s="283" customFormat="1"/>
    <row r="6560" s="283" customFormat="1"/>
    <row r="6561" s="283" customFormat="1"/>
    <row r="6562" s="283" customFormat="1"/>
    <row r="6563" s="283" customFormat="1"/>
    <row r="6564" s="283" customFormat="1"/>
    <row r="6565" s="283" customFormat="1"/>
    <row r="6566" s="283" customFormat="1"/>
    <row r="6567" s="283" customFormat="1"/>
    <row r="6568" s="283" customFormat="1"/>
    <row r="6569" s="283" customFormat="1"/>
    <row r="6570" s="283" customFormat="1"/>
    <row r="6571" s="283" customFormat="1"/>
    <row r="6572" s="283" customFormat="1"/>
    <row r="6573" s="283" customFormat="1"/>
    <row r="6574" s="283" customFormat="1"/>
    <row r="6575" s="283" customFormat="1"/>
    <row r="6576" s="283" customFormat="1"/>
    <row r="6577" s="283" customFormat="1"/>
    <row r="6578" s="283" customFormat="1"/>
    <row r="6579" s="283" customFormat="1"/>
    <row r="6580" s="283" customFormat="1"/>
    <row r="6581" s="283" customFormat="1"/>
    <row r="6582" s="283" customFormat="1"/>
    <row r="6583" s="283" customFormat="1"/>
    <row r="6584" s="283" customFormat="1"/>
    <row r="6585" s="283" customFormat="1"/>
    <row r="6586" s="283" customFormat="1"/>
    <row r="6587" s="283" customFormat="1"/>
    <row r="6588" s="283" customFormat="1"/>
    <row r="6589" s="283" customFormat="1"/>
    <row r="6590" s="283" customFormat="1"/>
    <row r="6591" s="283" customFormat="1"/>
    <row r="6592" s="283" customFormat="1"/>
    <row r="6593" s="283" customFormat="1"/>
    <row r="6594" s="283" customFormat="1"/>
    <row r="6595" s="283" customFormat="1"/>
    <row r="6596" s="283" customFormat="1"/>
    <row r="6597" s="283" customFormat="1"/>
    <row r="6598" s="283" customFormat="1"/>
    <row r="6599" s="283" customFormat="1"/>
    <row r="6600" s="283" customFormat="1"/>
    <row r="6601" s="283" customFormat="1"/>
    <row r="6602" s="283" customFormat="1"/>
    <row r="6603" s="283" customFormat="1"/>
    <row r="6604" s="283" customFormat="1"/>
    <row r="6605" s="283" customFormat="1"/>
    <row r="6606" s="283" customFormat="1"/>
    <row r="6607" s="283" customFormat="1"/>
    <row r="6608" s="283" customFormat="1"/>
    <row r="6609" s="283" customFormat="1"/>
    <row r="6610" s="283" customFormat="1"/>
    <row r="6611" s="283" customFormat="1"/>
    <row r="6612" s="283" customFormat="1"/>
    <row r="6613" s="283" customFormat="1"/>
    <row r="6614" s="283" customFormat="1"/>
    <row r="6615" s="283" customFormat="1"/>
    <row r="6616" s="283" customFormat="1"/>
    <row r="6617" s="283" customFormat="1"/>
    <row r="6618" s="283" customFormat="1"/>
    <row r="6619" s="283" customFormat="1"/>
    <row r="6620" s="283" customFormat="1"/>
    <row r="6621" s="283" customFormat="1"/>
    <row r="6622" s="283" customFormat="1"/>
    <row r="6623" s="283" customFormat="1"/>
    <row r="6624" s="283" customFormat="1"/>
    <row r="6625" s="283" customFormat="1"/>
    <row r="6626" s="283" customFormat="1"/>
    <row r="6627" s="283" customFormat="1"/>
    <row r="6628" s="283" customFormat="1"/>
    <row r="6629" s="283" customFormat="1"/>
    <row r="6630" s="283" customFormat="1"/>
    <row r="6631" s="283" customFormat="1"/>
    <row r="6632" s="283" customFormat="1"/>
    <row r="6633" s="283" customFormat="1"/>
    <row r="6634" s="283" customFormat="1"/>
    <row r="6635" s="283" customFormat="1"/>
    <row r="6636" s="283" customFormat="1"/>
    <row r="6637" s="283" customFormat="1"/>
    <row r="6638" s="283" customFormat="1"/>
    <row r="6639" s="283" customFormat="1"/>
    <row r="6640" s="283" customFormat="1"/>
    <row r="6641" s="283" customFormat="1"/>
    <row r="6642" s="283" customFormat="1"/>
    <row r="6643" s="283" customFormat="1"/>
    <row r="6644" s="283" customFormat="1"/>
    <row r="6645" s="283" customFormat="1"/>
    <row r="6646" s="283" customFormat="1"/>
    <row r="6647" s="283" customFormat="1"/>
    <row r="6648" s="283" customFormat="1"/>
    <row r="6649" s="283" customFormat="1"/>
    <row r="6650" s="283" customFormat="1"/>
    <row r="6651" s="283" customFormat="1"/>
    <row r="6652" s="283" customFormat="1"/>
    <row r="6653" s="283" customFormat="1"/>
    <row r="6654" s="283" customFormat="1"/>
    <row r="6655" s="283" customFormat="1"/>
    <row r="6656" s="283" customFormat="1"/>
    <row r="6657" s="283" customFormat="1"/>
    <row r="6658" s="283" customFormat="1"/>
    <row r="6659" s="283" customFormat="1"/>
    <row r="6660" s="283" customFormat="1"/>
    <row r="6661" s="283" customFormat="1"/>
    <row r="6662" s="283" customFormat="1"/>
    <row r="6663" s="283" customFormat="1"/>
    <row r="6664" s="283" customFormat="1"/>
    <row r="6665" s="283" customFormat="1"/>
    <row r="6666" s="283" customFormat="1"/>
    <row r="6667" s="283" customFormat="1"/>
    <row r="6668" s="283" customFormat="1"/>
    <row r="6669" s="283" customFormat="1"/>
    <row r="6670" s="283" customFormat="1"/>
    <row r="6671" s="283" customFormat="1"/>
    <row r="6672" s="283" customFormat="1"/>
    <row r="6673" s="283" customFormat="1"/>
    <row r="6674" s="283" customFormat="1"/>
    <row r="6675" s="283" customFormat="1"/>
    <row r="6676" s="283" customFormat="1"/>
    <row r="6677" s="283" customFormat="1"/>
    <row r="6678" s="283" customFormat="1"/>
    <row r="6679" s="283" customFormat="1"/>
    <row r="6680" s="283" customFormat="1"/>
    <row r="6681" s="283" customFormat="1"/>
    <row r="6682" s="283" customFormat="1"/>
    <row r="6683" s="283" customFormat="1"/>
    <row r="6684" s="283" customFormat="1"/>
    <row r="6685" s="283" customFormat="1"/>
    <row r="6686" s="283" customFormat="1"/>
    <row r="6687" s="283" customFormat="1"/>
    <row r="6688" s="283" customFormat="1"/>
    <row r="6689" s="283" customFormat="1"/>
    <row r="6690" s="283" customFormat="1"/>
    <row r="6691" s="283" customFormat="1"/>
    <row r="6692" s="283" customFormat="1"/>
    <row r="6693" s="283" customFormat="1"/>
    <row r="6694" s="283" customFormat="1"/>
    <row r="6695" s="283" customFormat="1"/>
    <row r="6696" s="283" customFormat="1"/>
    <row r="6697" s="283" customFormat="1"/>
    <row r="6698" s="283" customFormat="1"/>
    <row r="6699" s="283" customFormat="1"/>
    <row r="6700" s="283" customFormat="1"/>
    <row r="6701" s="283" customFormat="1"/>
    <row r="6702" s="283" customFormat="1"/>
    <row r="6703" s="283" customFormat="1"/>
    <row r="6704" s="283" customFormat="1"/>
    <row r="6705" s="283" customFormat="1"/>
    <row r="6706" s="283" customFormat="1"/>
    <row r="6707" s="283" customFormat="1"/>
    <row r="6708" s="283" customFormat="1"/>
    <row r="6709" s="283" customFormat="1"/>
    <row r="6710" s="283" customFormat="1"/>
    <row r="6711" s="283" customFormat="1"/>
    <row r="6712" s="283" customFormat="1"/>
    <row r="6713" s="283" customFormat="1"/>
    <row r="6714" s="283" customFormat="1"/>
    <row r="6715" s="283" customFormat="1"/>
    <row r="6716" s="283" customFormat="1"/>
    <row r="6717" s="283" customFormat="1"/>
    <row r="6718" s="283" customFormat="1"/>
    <row r="6719" s="283" customFormat="1"/>
    <row r="6720" s="283" customFormat="1"/>
    <row r="6721" s="283" customFormat="1"/>
    <row r="6722" s="283" customFormat="1"/>
    <row r="6723" s="283" customFormat="1"/>
    <row r="6724" s="283" customFormat="1"/>
    <row r="6725" s="283" customFormat="1"/>
    <row r="6726" s="283" customFormat="1"/>
    <row r="6727" s="283" customFormat="1"/>
    <row r="6728" s="283" customFormat="1"/>
    <row r="6729" s="283" customFormat="1"/>
    <row r="6730" s="283" customFormat="1"/>
    <row r="6731" s="283" customFormat="1"/>
    <row r="6732" s="283" customFormat="1"/>
    <row r="6733" s="283" customFormat="1"/>
    <row r="6734" s="283" customFormat="1"/>
    <row r="6735" s="283" customFormat="1"/>
    <row r="6736" s="283" customFormat="1"/>
    <row r="6737" s="283" customFormat="1"/>
    <row r="6738" s="283" customFormat="1"/>
    <row r="6739" s="283" customFormat="1"/>
    <row r="6740" s="283" customFormat="1"/>
    <row r="6741" s="283" customFormat="1"/>
    <row r="6742" s="283" customFormat="1"/>
    <row r="6743" s="283" customFormat="1"/>
    <row r="6744" s="283" customFormat="1"/>
    <row r="6745" s="283" customFormat="1"/>
    <row r="6746" s="283" customFormat="1"/>
    <row r="6747" s="283" customFormat="1"/>
    <row r="6748" s="283" customFormat="1"/>
    <row r="6749" s="283" customFormat="1"/>
    <row r="6750" s="283" customFormat="1"/>
    <row r="6751" s="283" customFormat="1"/>
    <row r="6752" s="283" customFormat="1"/>
    <row r="6753" s="283" customFormat="1"/>
    <row r="6754" s="283" customFormat="1"/>
    <row r="6755" s="283" customFormat="1"/>
    <row r="6756" s="283" customFormat="1"/>
    <row r="6757" s="283" customFormat="1"/>
    <row r="6758" s="283" customFormat="1"/>
    <row r="6759" s="283" customFormat="1"/>
    <row r="6760" s="283" customFormat="1"/>
    <row r="6761" s="283" customFormat="1"/>
    <row r="6762" s="283" customFormat="1"/>
    <row r="6763" s="283" customFormat="1"/>
    <row r="6764" s="283" customFormat="1"/>
    <row r="6765" s="283" customFormat="1"/>
    <row r="6766" s="283" customFormat="1"/>
    <row r="6767" s="283" customFormat="1"/>
    <row r="6768" s="283" customFormat="1"/>
    <row r="6769" s="283" customFormat="1"/>
    <row r="6770" s="283" customFormat="1"/>
    <row r="6771" s="283" customFormat="1"/>
    <row r="6772" s="283" customFormat="1"/>
    <row r="6773" s="283" customFormat="1"/>
    <row r="6774" s="283" customFormat="1"/>
    <row r="6775" s="283" customFormat="1"/>
    <row r="6776" s="283" customFormat="1"/>
    <row r="6777" s="283" customFormat="1"/>
    <row r="6778" s="283" customFormat="1"/>
    <row r="6779" s="283" customFormat="1"/>
    <row r="6780" s="283" customFormat="1"/>
    <row r="6781" s="283" customFormat="1"/>
    <row r="6782" s="283" customFormat="1"/>
    <row r="6783" s="283" customFormat="1"/>
    <row r="6784" s="283" customFormat="1"/>
    <row r="6785" s="283" customFormat="1"/>
    <row r="6786" s="283" customFormat="1"/>
    <row r="6787" s="283" customFormat="1"/>
    <row r="6788" s="283" customFormat="1"/>
    <row r="6789" s="283" customFormat="1"/>
    <row r="6790" s="283" customFormat="1"/>
    <row r="6791" s="283" customFormat="1"/>
    <row r="6792" s="283" customFormat="1"/>
    <row r="6793" s="283" customFormat="1"/>
    <row r="6794" s="283" customFormat="1"/>
    <row r="6795" s="283" customFormat="1"/>
    <row r="6796" s="283" customFormat="1"/>
    <row r="6797" s="283" customFormat="1"/>
    <row r="6798" s="283" customFormat="1"/>
    <row r="6799" s="283" customFormat="1"/>
    <row r="6800" s="283" customFormat="1"/>
    <row r="6801" s="283" customFormat="1"/>
    <row r="6802" s="283" customFormat="1"/>
    <row r="6803" s="283" customFormat="1"/>
    <row r="6804" s="283" customFormat="1"/>
    <row r="6805" s="283" customFormat="1"/>
    <row r="6806" s="283" customFormat="1"/>
    <row r="6807" s="283" customFormat="1"/>
    <row r="6808" s="283" customFormat="1"/>
    <row r="6809" s="283" customFormat="1"/>
    <row r="6810" s="283" customFormat="1"/>
    <row r="6811" s="283" customFormat="1"/>
    <row r="6812" s="283" customFormat="1"/>
    <row r="6813" s="283" customFormat="1"/>
    <row r="6814" s="283" customFormat="1"/>
    <row r="6815" s="283" customFormat="1"/>
    <row r="6816" s="283" customFormat="1"/>
    <row r="6817" s="283" customFormat="1"/>
    <row r="6818" s="283" customFormat="1"/>
    <row r="6819" s="283" customFormat="1"/>
    <row r="6820" s="283" customFormat="1"/>
    <row r="6821" s="283" customFormat="1"/>
    <row r="6822" s="283" customFormat="1"/>
    <row r="6823" s="283" customFormat="1"/>
    <row r="6824" s="283" customFormat="1"/>
    <row r="6825" s="283" customFormat="1"/>
    <row r="6826" s="283" customFormat="1"/>
    <row r="6827" s="283" customFormat="1"/>
    <row r="6828" s="283" customFormat="1"/>
    <row r="6829" s="283" customFormat="1"/>
    <row r="6830" s="283" customFormat="1"/>
    <row r="6831" s="283" customFormat="1"/>
    <row r="6832" s="283" customFormat="1"/>
    <row r="6833" s="283" customFormat="1"/>
    <row r="6834" s="283" customFormat="1"/>
    <row r="6835" s="283" customFormat="1"/>
    <row r="6836" s="283" customFormat="1"/>
    <row r="6837" s="283" customFormat="1"/>
    <row r="6838" s="283" customFormat="1"/>
    <row r="6839" s="283" customFormat="1"/>
    <row r="6840" s="283" customFormat="1"/>
    <row r="6841" s="283" customFormat="1"/>
    <row r="6842" s="283" customFormat="1"/>
    <row r="6843" s="283" customFormat="1"/>
    <row r="6844" s="283" customFormat="1"/>
    <row r="6845" s="283" customFormat="1"/>
    <row r="6846" s="283" customFormat="1"/>
    <row r="6847" s="283" customFormat="1"/>
    <row r="6848" s="283" customFormat="1"/>
    <row r="6849" s="283" customFormat="1"/>
    <row r="6850" s="283" customFormat="1"/>
    <row r="6851" s="283" customFormat="1"/>
    <row r="6852" s="283" customFormat="1"/>
    <row r="6853" s="283" customFormat="1"/>
    <row r="6854" s="283" customFormat="1"/>
    <row r="6855" s="283" customFormat="1"/>
    <row r="6856" s="283" customFormat="1"/>
    <row r="6857" s="283" customFormat="1"/>
    <row r="6858" s="283" customFormat="1"/>
    <row r="6859" s="283" customFormat="1"/>
    <row r="6860" s="283" customFormat="1"/>
    <row r="6861" s="283" customFormat="1"/>
    <row r="6862" s="283" customFormat="1"/>
    <row r="6863" s="283" customFormat="1"/>
    <row r="6864" s="283" customFormat="1"/>
    <row r="6865" s="283" customFormat="1"/>
    <row r="6866" s="283" customFormat="1"/>
    <row r="6867" s="283" customFormat="1"/>
    <row r="6868" s="283" customFormat="1"/>
    <row r="6869" s="283" customFormat="1"/>
    <row r="6870" s="283" customFormat="1"/>
    <row r="6871" s="283" customFormat="1"/>
    <row r="6872" s="283" customFormat="1"/>
    <row r="6873" s="283" customFormat="1"/>
    <row r="6874" s="283" customFormat="1"/>
    <row r="6875" s="283" customFormat="1"/>
    <row r="6876" s="283" customFormat="1"/>
    <row r="6877" s="283" customFormat="1"/>
    <row r="6878" s="283" customFormat="1"/>
    <row r="6879" s="283" customFormat="1"/>
    <row r="6880" s="283" customFormat="1"/>
    <row r="6881" s="283" customFormat="1"/>
    <row r="6882" s="283" customFormat="1"/>
    <row r="6883" s="283" customFormat="1"/>
    <row r="6884" s="283" customFormat="1"/>
    <row r="6885" s="283" customFormat="1"/>
    <row r="6886" s="283" customFormat="1"/>
    <row r="6887" s="283" customFormat="1"/>
    <row r="6888" s="283" customFormat="1"/>
    <row r="6889" s="283" customFormat="1"/>
    <row r="6890" s="283" customFormat="1"/>
    <row r="6891" s="283" customFormat="1"/>
    <row r="6892" s="283" customFormat="1"/>
    <row r="6893" s="283" customFormat="1"/>
    <row r="6894" s="283" customFormat="1"/>
    <row r="6895" s="283" customFormat="1"/>
    <row r="6896" s="283" customFormat="1"/>
    <row r="6897" s="283" customFormat="1"/>
    <row r="6898" s="283" customFormat="1"/>
    <row r="6899" s="283" customFormat="1"/>
    <row r="6900" s="283" customFormat="1"/>
    <row r="6901" s="283" customFormat="1"/>
    <row r="6902" s="283" customFormat="1"/>
    <row r="6903" s="283" customFormat="1"/>
    <row r="6904" s="283" customFormat="1"/>
    <row r="6905" s="283" customFormat="1"/>
    <row r="6906" s="283" customFormat="1"/>
    <row r="6907" s="283" customFormat="1"/>
    <row r="6908" s="283" customFormat="1"/>
    <row r="6909" s="283" customFormat="1"/>
    <row r="6910" s="283" customFormat="1"/>
    <row r="6911" s="283" customFormat="1"/>
    <row r="6912" s="283" customFormat="1"/>
    <row r="6913" s="283" customFormat="1"/>
    <row r="6914" s="283" customFormat="1"/>
    <row r="6915" s="283" customFormat="1"/>
    <row r="6916" s="283" customFormat="1"/>
    <row r="6917" s="283" customFormat="1"/>
    <row r="6918" s="283" customFormat="1"/>
    <row r="6919" s="283" customFormat="1"/>
    <row r="6920" s="283" customFormat="1"/>
    <row r="6921" s="283" customFormat="1"/>
    <row r="6922" s="283" customFormat="1"/>
    <row r="6923" s="283" customFormat="1"/>
    <row r="6924" s="283" customFormat="1"/>
    <row r="6925" s="283" customFormat="1"/>
    <row r="6926" s="283" customFormat="1"/>
    <row r="6927" s="283" customFormat="1"/>
    <row r="6928" s="283" customFormat="1"/>
    <row r="6929" s="283" customFormat="1"/>
    <row r="6930" s="283" customFormat="1"/>
    <row r="6931" s="283" customFormat="1"/>
    <row r="6932" s="283" customFormat="1"/>
    <row r="6933" s="283" customFormat="1"/>
    <row r="6934" s="283" customFormat="1"/>
    <row r="6935" s="283" customFormat="1"/>
    <row r="6936" s="283" customFormat="1"/>
    <row r="6937" s="283" customFormat="1"/>
    <row r="6938" s="283" customFormat="1"/>
    <row r="6939" s="283" customFormat="1"/>
    <row r="6940" s="283" customFormat="1"/>
    <row r="6941" s="283" customFormat="1"/>
    <row r="6942" s="283" customFormat="1"/>
    <row r="6943" s="283" customFormat="1"/>
    <row r="6944" s="283" customFormat="1"/>
    <row r="6945" s="283" customFormat="1"/>
    <row r="6946" s="283" customFormat="1"/>
    <row r="6947" s="283" customFormat="1"/>
    <row r="6948" s="283" customFormat="1"/>
    <row r="6949" s="283" customFormat="1"/>
    <row r="6950" s="283" customFormat="1"/>
    <row r="6951" s="283" customFormat="1"/>
    <row r="6952" s="283" customFormat="1"/>
    <row r="6953" s="283" customFormat="1"/>
    <row r="6954" s="283" customFormat="1"/>
    <row r="6955" s="283" customFormat="1"/>
    <row r="6956" s="283" customFormat="1"/>
    <row r="6957" s="283" customFormat="1"/>
    <row r="6958" s="283" customFormat="1"/>
    <row r="6959" s="283" customFormat="1"/>
    <row r="6960" s="283" customFormat="1"/>
    <row r="6961" s="283" customFormat="1"/>
    <row r="6962" s="283" customFormat="1"/>
    <row r="6963" s="283" customFormat="1"/>
    <row r="6964" s="283" customFormat="1"/>
    <row r="6965" s="283" customFormat="1"/>
    <row r="6966" s="283" customFormat="1"/>
    <row r="6967" s="283" customFormat="1"/>
    <row r="6968" s="283" customFormat="1"/>
    <row r="6969" s="283" customFormat="1"/>
    <row r="6970" s="283" customFormat="1"/>
    <row r="6971" s="283" customFormat="1"/>
    <row r="6972" s="283" customFormat="1"/>
    <row r="6973" s="283" customFormat="1"/>
    <row r="6974" s="283" customFormat="1"/>
    <row r="6975" s="283" customFormat="1"/>
    <row r="6976" s="283" customFormat="1"/>
    <row r="6977" s="283" customFormat="1"/>
    <row r="6978" s="283" customFormat="1"/>
    <row r="6979" s="283" customFormat="1"/>
    <row r="6980" s="283" customFormat="1"/>
    <row r="6981" s="283" customFormat="1"/>
    <row r="6982" s="283" customFormat="1"/>
    <row r="6983" s="283" customFormat="1"/>
    <row r="6984" s="283" customFormat="1"/>
    <row r="6985" s="283" customFormat="1"/>
    <row r="6986" s="283" customFormat="1"/>
    <row r="6987" s="283" customFormat="1"/>
    <row r="6988" s="283" customFormat="1"/>
    <row r="6989" s="283" customFormat="1"/>
    <row r="6990" s="283" customFormat="1"/>
    <row r="6991" s="283" customFormat="1"/>
    <row r="6992" s="283" customFormat="1"/>
    <row r="6993" s="283" customFormat="1"/>
    <row r="6994" s="283" customFormat="1"/>
    <row r="6995" s="283" customFormat="1"/>
    <row r="6996" s="283" customFormat="1"/>
    <row r="6997" s="283" customFormat="1"/>
    <row r="6998" s="283" customFormat="1"/>
    <row r="6999" s="283" customFormat="1"/>
    <row r="7000" s="283" customFormat="1"/>
    <row r="7001" s="283" customFormat="1"/>
    <row r="7002" s="283" customFormat="1"/>
    <row r="7003" s="283" customFormat="1"/>
    <row r="7004" s="283" customFormat="1"/>
    <row r="7005" s="283" customFormat="1"/>
    <row r="7006" s="283" customFormat="1"/>
    <row r="7007" s="283" customFormat="1"/>
    <row r="7008" s="283" customFormat="1"/>
    <row r="7009" s="283" customFormat="1"/>
    <row r="7010" s="283" customFormat="1"/>
    <row r="7011" s="283" customFormat="1"/>
    <row r="7012" s="283" customFormat="1"/>
    <row r="7013" s="283" customFormat="1"/>
    <row r="7014" s="283" customFormat="1"/>
    <row r="7015" s="283" customFormat="1"/>
    <row r="7016" s="283" customFormat="1"/>
    <row r="7017" s="283" customFormat="1"/>
    <row r="7018" s="283" customFormat="1"/>
    <row r="7019" s="283" customFormat="1"/>
    <row r="7020" s="283" customFormat="1"/>
    <row r="7021" s="283" customFormat="1"/>
    <row r="7022" s="283" customFormat="1"/>
    <row r="7023" s="283" customFormat="1"/>
    <row r="7024" s="283" customFormat="1"/>
    <row r="7025" s="283" customFormat="1"/>
    <row r="7026" s="283" customFormat="1"/>
    <row r="7027" s="283" customFormat="1"/>
    <row r="7028" s="283" customFormat="1"/>
    <row r="7029" s="283" customFormat="1"/>
    <row r="7030" s="283" customFormat="1"/>
    <row r="7031" s="283" customFormat="1"/>
    <row r="7032" s="283" customFormat="1"/>
    <row r="7033" s="283" customFormat="1"/>
    <row r="7034" s="283" customFormat="1"/>
    <row r="7035" s="283" customFormat="1"/>
    <row r="7036" s="283" customFormat="1"/>
    <row r="7037" s="283" customFormat="1"/>
    <row r="7038" s="283" customFormat="1"/>
    <row r="7039" s="283" customFormat="1"/>
    <row r="7040" s="283" customFormat="1"/>
    <row r="7041" s="283" customFormat="1"/>
    <row r="7042" s="283" customFormat="1"/>
    <row r="7043" s="283" customFormat="1"/>
    <row r="7044" s="283" customFormat="1"/>
    <row r="7045" s="283" customFormat="1"/>
    <row r="7046" s="283" customFormat="1"/>
    <row r="7047" s="283" customFormat="1"/>
    <row r="7048" s="283" customFormat="1"/>
    <row r="7049" s="283" customFormat="1"/>
    <row r="7050" s="283" customFormat="1"/>
    <row r="7051" s="283" customFormat="1"/>
    <row r="7052" s="283" customFormat="1"/>
    <row r="7053" s="283" customFormat="1"/>
    <row r="7054" s="283" customFormat="1"/>
    <row r="7055" s="283" customFormat="1"/>
    <row r="7056" s="283" customFormat="1"/>
    <row r="7057" s="283" customFormat="1"/>
    <row r="7058" s="283" customFormat="1"/>
    <row r="7059" s="283" customFormat="1"/>
    <row r="7060" s="283" customFormat="1"/>
    <row r="7061" s="283" customFormat="1"/>
    <row r="7062" s="283" customFormat="1"/>
    <row r="7063" s="283" customFormat="1"/>
    <row r="7064" s="283" customFormat="1"/>
    <row r="7065" s="283" customFormat="1"/>
    <row r="7066" s="283" customFormat="1"/>
    <row r="7067" s="283" customFormat="1"/>
    <row r="7068" s="283" customFormat="1"/>
    <row r="7069" s="283" customFormat="1"/>
    <row r="7070" s="283" customFormat="1"/>
    <row r="7071" s="283" customFormat="1"/>
    <row r="7072" s="283" customFormat="1"/>
    <row r="7073" s="283" customFormat="1"/>
    <row r="7074" s="283" customFormat="1"/>
    <row r="7075" s="283" customFormat="1"/>
    <row r="7076" s="283" customFormat="1"/>
    <row r="7077" s="283" customFormat="1"/>
    <row r="7078" s="283" customFormat="1"/>
    <row r="7079" s="283" customFormat="1"/>
    <row r="7080" s="283" customFormat="1"/>
    <row r="7081" s="283" customFormat="1"/>
    <row r="7082" s="283" customFormat="1"/>
    <row r="7083" s="283" customFormat="1"/>
    <row r="7084" s="283" customFormat="1"/>
    <row r="7085" s="283" customFormat="1"/>
    <row r="7086" s="283" customFormat="1"/>
    <row r="7087" s="283" customFormat="1"/>
    <row r="7088" s="283" customFormat="1"/>
    <row r="7089" s="283" customFormat="1"/>
    <row r="7090" s="283" customFormat="1"/>
    <row r="7091" s="283" customFormat="1"/>
    <row r="7092" s="283" customFormat="1"/>
    <row r="7093" s="283" customFormat="1"/>
    <row r="7094" s="283" customFormat="1"/>
    <row r="7095" s="283" customFormat="1"/>
    <row r="7096" s="283" customFormat="1"/>
    <row r="7097" s="283" customFormat="1"/>
    <row r="7098" s="283" customFormat="1"/>
    <row r="7099" s="283" customFormat="1"/>
    <row r="7100" s="283" customFormat="1"/>
    <row r="7101" s="283" customFormat="1"/>
    <row r="7102" s="283" customFormat="1"/>
    <row r="7103" s="283" customFormat="1"/>
    <row r="7104" s="283" customFormat="1"/>
    <row r="7105" s="283" customFormat="1"/>
    <row r="7106" s="283" customFormat="1"/>
    <row r="7107" s="283" customFormat="1"/>
    <row r="7108" s="283" customFormat="1"/>
    <row r="7109" s="283" customFormat="1"/>
    <row r="7110" s="283" customFormat="1"/>
    <row r="7111" s="283" customFormat="1"/>
    <row r="7112" s="283" customFormat="1"/>
    <row r="7113" s="283" customFormat="1"/>
    <row r="7114" s="283" customFormat="1"/>
    <row r="7115" s="283" customFormat="1"/>
    <row r="7116" s="283" customFormat="1"/>
    <row r="7117" s="283" customFormat="1"/>
    <row r="7118" s="283" customFormat="1"/>
    <row r="7119" s="283" customFormat="1"/>
    <row r="7120" s="283" customFormat="1"/>
    <row r="7121" s="283" customFormat="1"/>
    <row r="7122" s="283" customFormat="1"/>
    <row r="7123" s="283" customFormat="1"/>
    <row r="7124" s="283" customFormat="1"/>
    <row r="7125" s="283" customFormat="1"/>
    <row r="7126" s="283" customFormat="1"/>
    <row r="7127" s="283" customFormat="1"/>
    <row r="7128" s="283" customFormat="1"/>
    <row r="7129" s="283" customFormat="1"/>
    <row r="7130" s="283" customFormat="1"/>
    <row r="7131" s="283" customFormat="1"/>
    <row r="7132" s="283" customFormat="1"/>
    <row r="7133" s="283" customFormat="1"/>
    <row r="7134" s="283" customFormat="1"/>
    <row r="7135" s="283" customFormat="1"/>
    <row r="7136" s="283" customFormat="1"/>
    <row r="7137" s="283" customFormat="1"/>
    <row r="7138" s="283" customFormat="1"/>
    <row r="7139" s="283" customFormat="1"/>
    <row r="7140" s="283" customFormat="1"/>
    <row r="7141" s="283" customFormat="1"/>
    <row r="7142" s="283" customFormat="1"/>
    <row r="7143" s="283" customFormat="1"/>
    <row r="7144" s="283" customFormat="1"/>
    <row r="7145" s="283" customFormat="1"/>
    <row r="7146" s="283" customFormat="1"/>
    <row r="7147" s="283" customFormat="1"/>
    <row r="7148" s="283" customFormat="1"/>
    <row r="7149" s="283" customFormat="1"/>
    <row r="7150" s="283" customFormat="1"/>
    <row r="7151" s="283" customFormat="1"/>
    <row r="7152" s="283" customFormat="1"/>
    <row r="7153" s="283" customFormat="1"/>
    <row r="7154" s="283" customFormat="1"/>
    <row r="7155" s="283" customFormat="1"/>
    <row r="7156" s="283" customFormat="1"/>
    <row r="7157" s="283" customFormat="1"/>
    <row r="7158" s="283" customFormat="1"/>
    <row r="7159" s="283" customFormat="1"/>
    <row r="7160" s="283" customFormat="1"/>
    <row r="7161" s="283" customFormat="1"/>
    <row r="7162" s="283" customFormat="1"/>
    <row r="7163" s="283" customFormat="1"/>
    <row r="7164" s="283" customFormat="1"/>
    <row r="7165" s="283" customFormat="1"/>
    <row r="7166" s="283" customFormat="1"/>
    <row r="7167" s="283" customFormat="1"/>
    <row r="7168" s="283" customFormat="1"/>
    <row r="7169" s="283" customFormat="1"/>
    <row r="7170" s="283" customFormat="1"/>
    <row r="7171" s="283" customFormat="1"/>
    <row r="7172" s="283" customFormat="1"/>
    <row r="7173" s="283" customFormat="1"/>
    <row r="7174" s="283" customFormat="1"/>
    <row r="7175" s="283" customFormat="1"/>
    <row r="7176" s="283" customFormat="1"/>
    <row r="7177" s="283" customFormat="1"/>
    <row r="7178" s="283" customFormat="1"/>
    <row r="7179" s="283" customFormat="1"/>
    <row r="7180" s="283" customFormat="1"/>
    <row r="7181" s="283" customFormat="1"/>
    <row r="7182" s="283" customFormat="1"/>
    <row r="7183" s="283" customFormat="1"/>
    <row r="7184" s="283" customFormat="1"/>
    <row r="7185" s="283" customFormat="1"/>
    <row r="7186" s="283" customFormat="1"/>
    <row r="7187" s="283" customFormat="1"/>
    <row r="7188" s="283" customFormat="1"/>
    <row r="7189" s="283" customFormat="1"/>
    <row r="7190" s="283" customFormat="1"/>
    <row r="7191" s="283" customFormat="1"/>
    <row r="7192" s="283" customFormat="1"/>
    <row r="7193" s="283" customFormat="1"/>
    <row r="7194" s="283" customFormat="1"/>
    <row r="7195" s="283" customFormat="1"/>
    <row r="7196" s="283" customFormat="1"/>
    <row r="7197" s="283" customFormat="1"/>
    <row r="7198" s="283" customFormat="1"/>
    <row r="7199" s="283" customFormat="1"/>
    <row r="7200" s="283" customFormat="1"/>
    <row r="7201" s="283" customFormat="1"/>
    <row r="7202" s="283" customFormat="1"/>
    <row r="7203" s="283" customFormat="1"/>
    <row r="7204" s="283" customFormat="1"/>
    <row r="7205" s="283" customFormat="1"/>
    <row r="7206" s="283" customFormat="1"/>
    <row r="7207" s="283" customFormat="1"/>
    <row r="7208" s="283" customFormat="1"/>
    <row r="7209" s="283" customFormat="1"/>
    <row r="7210" s="283" customFormat="1"/>
    <row r="7211" s="283" customFormat="1"/>
    <row r="7212" s="283" customFormat="1"/>
    <row r="7213" s="283" customFormat="1"/>
    <row r="7214" s="283" customFormat="1"/>
    <row r="7215" s="283" customFormat="1"/>
    <row r="7216" s="283" customFormat="1"/>
    <row r="7217" s="283" customFormat="1"/>
    <row r="7218" s="283" customFormat="1"/>
    <row r="7219" s="283" customFormat="1"/>
    <row r="7220" s="283" customFormat="1"/>
    <row r="7221" s="283" customFormat="1"/>
    <row r="7222" s="283" customFormat="1"/>
    <row r="7223" s="283" customFormat="1"/>
    <row r="7224" s="283" customFormat="1"/>
    <row r="7225" s="283" customFormat="1"/>
    <row r="7226" s="283" customFormat="1"/>
    <row r="7227" s="283" customFormat="1"/>
    <row r="7228" s="283" customFormat="1"/>
    <row r="7229" s="283" customFormat="1"/>
    <row r="7230" s="283" customFormat="1"/>
    <row r="7231" s="283" customFormat="1"/>
    <row r="7232" s="283" customFormat="1"/>
    <row r="7233" s="283" customFormat="1"/>
    <row r="7234" s="283" customFormat="1"/>
    <row r="7235" s="283" customFormat="1"/>
    <row r="7236" s="283" customFormat="1"/>
    <row r="7237" s="283" customFormat="1"/>
    <row r="7238" s="283" customFormat="1"/>
    <row r="7239" s="283" customFormat="1"/>
    <row r="7240" s="283" customFormat="1"/>
    <row r="7241" s="283" customFormat="1"/>
    <row r="7242" s="283" customFormat="1"/>
    <row r="7243" s="283" customFormat="1"/>
    <row r="7244" s="283" customFormat="1"/>
    <row r="7245" s="283" customFormat="1"/>
    <row r="7246" s="283" customFormat="1"/>
    <row r="7247" s="283" customFormat="1"/>
    <row r="7248" s="283" customFormat="1"/>
    <row r="7249" s="283" customFormat="1"/>
    <row r="7250" s="283" customFormat="1"/>
    <row r="7251" s="283" customFormat="1"/>
    <row r="7252" s="283" customFormat="1"/>
    <row r="7253" s="283" customFormat="1"/>
    <row r="7254" s="283" customFormat="1"/>
    <row r="7255" s="283" customFormat="1"/>
    <row r="7256" s="283" customFormat="1"/>
    <row r="7257" s="283" customFormat="1"/>
    <row r="7258" s="283" customFormat="1"/>
    <row r="7259" s="283" customFormat="1"/>
    <row r="7260" s="283" customFormat="1"/>
    <row r="7261" s="283" customFormat="1"/>
    <row r="7262" s="283" customFormat="1"/>
    <row r="7263" s="283" customFormat="1"/>
    <row r="7264" s="283" customFormat="1"/>
    <row r="7265" s="283" customFormat="1"/>
    <row r="7266" s="283" customFormat="1"/>
    <row r="7267" s="283" customFormat="1"/>
    <row r="7268" s="283" customFormat="1"/>
    <row r="7269" s="283" customFormat="1"/>
    <row r="7270" s="283" customFormat="1"/>
    <row r="7271" s="283" customFormat="1"/>
    <row r="7272" s="283" customFormat="1"/>
    <row r="7273" s="283" customFormat="1"/>
    <row r="7274" s="283" customFormat="1"/>
    <row r="7275" s="283" customFormat="1"/>
    <row r="7276" s="283" customFormat="1"/>
    <row r="7277" s="283" customFormat="1"/>
    <row r="7278" s="283" customFormat="1"/>
    <row r="7279" s="283" customFormat="1"/>
    <row r="7280" s="283" customFormat="1"/>
    <row r="7281" s="283" customFormat="1"/>
    <row r="7282" s="283" customFormat="1"/>
    <row r="7283" s="283" customFormat="1"/>
    <row r="7284" s="283" customFormat="1"/>
    <row r="7285" s="283" customFormat="1"/>
    <row r="7286" s="283" customFormat="1"/>
    <row r="7287" s="283" customFormat="1"/>
    <row r="7288" s="283" customFormat="1"/>
    <row r="7289" s="283" customFormat="1"/>
    <row r="7290" s="283" customFormat="1"/>
    <row r="7291" s="283" customFormat="1"/>
    <row r="7292" s="283" customFormat="1"/>
    <row r="7293" s="283" customFormat="1"/>
    <row r="7294" s="283" customFormat="1"/>
    <row r="7295" s="283" customFormat="1"/>
    <row r="7296" s="283" customFormat="1"/>
    <row r="7297" s="283" customFormat="1"/>
    <row r="7298" s="283" customFormat="1"/>
    <row r="7299" s="283" customFormat="1"/>
    <row r="7300" s="283" customFormat="1"/>
    <row r="7301" s="283" customFormat="1"/>
    <row r="7302" s="283" customFormat="1"/>
    <row r="7303" s="283" customFormat="1"/>
    <row r="7304" s="283" customFormat="1"/>
    <row r="7305" s="283" customFormat="1"/>
    <row r="7306" s="283" customFormat="1"/>
    <row r="7307" s="283" customFormat="1"/>
    <row r="7308" s="283" customFormat="1"/>
    <row r="7309" s="283" customFormat="1"/>
    <row r="7310" s="283" customFormat="1"/>
    <row r="7311" s="283" customFormat="1"/>
    <row r="7312" s="283" customFormat="1"/>
    <row r="7313" s="283" customFormat="1"/>
    <row r="7314" s="283" customFormat="1"/>
    <row r="7315" s="283" customFormat="1"/>
    <row r="7316" s="283" customFormat="1"/>
    <row r="7317" s="283" customFormat="1"/>
    <row r="7318" s="283" customFormat="1"/>
    <row r="7319" s="283" customFormat="1"/>
    <row r="7320" s="283" customFormat="1"/>
    <row r="7321" s="283" customFormat="1"/>
    <row r="7322" s="283" customFormat="1"/>
    <row r="7323" s="283" customFormat="1"/>
    <row r="7324" s="283" customFormat="1"/>
    <row r="7325" s="283" customFormat="1"/>
    <row r="7326" s="283" customFormat="1"/>
    <row r="7327" s="283" customFormat="1"/>
    <row r="7328" s="283" customFormat="1"/>
    <row r="7329" s="283" customFormat="1"/>
    <row r="7330" s="283" customFormat="1"/>
    <row r="7331" s="283" customFormat="1"/>
    <row r="7332" s="283" customFormat="1"/>
    <row r="7333" s="283" customFormat="1"/>
    <row r="7334" s="283" customFormat="1"/>
    <row r="7335" s="283" customFormat="1"/>
    <row r="7336" s="283" customFormat="1"/>
    <row r="7337" s="283" customFormat="1"/>
    <row r="7338" s="283" customFormat="1"/>
    <row r="7339" s="283" customFormat="1"/>
    <row r="7340" s="283" customFormat="1"/>
    <row r="7341" s="283" customFormat="1"/>
    <row r="7342" s="283" customFormat="1"/>
    <row r="7343" s="283" customFormat="1"/>
    <row r="7344" s="283" customFormat="1"/>
    <row r="7345" s="283" customFormat="1"/>
    <row r="7346" s="283" customFormat="1"/>
    <row r="7347" s="283" customFormat="1"/>
    <row r="7348" s="283" customFormat="1"/>
    <row r="7349" s="283" customFormat="1"/>
    <row r="7350" s="283" customFormat="1"/>
    <row r="7351" s="283" customFormat="1"/>
    <row r="7352" s="283" customFormat="1"/>
    <row r="7353" s="283" customFormat="1"/>
    <row r="7354" s="283" customFormat="1"/>
    <row r="7355" s="283" customFormat="1"/>
    <row r="7356" s="283" customFormat="1"/>
    <row r="7357" s="283" customFormat="1"/>
    <row r="7358" s="283" customFormat="1"/>
    <row r="7359" s="283" customFormat="1"/>
    <row r="7360" s="283" customFormat="1"/>
    <row r="7361" s="283" customFormat="1"/>
    <row r="7362" s="283" customFormat="1"/>
    <row r="7363" s="283" customFormat="1"/>
    <row r="7364" s="283" customFormat="1"/>
    <row r="7365" s="283" customFormat="1"/>
    <row r="7366" s="283" customFormat="1"/>
    <row r="7367" s="283" customFormat="1"/>
    <row r="7368" s="283" customFormat="1"/>
    <row r="7369" s="283" customFormat="1"/>
    <row r="7370" s="283" customFormat="1"/>
    <row r="7371" s="283" customFormat="1"/>
    <row r="7372" s="283" customFormat="1"/>
    <row r="7373" s="283" customFormat="1"/>
    <row r="7374" s="283" customFormat="1"/>
    <row r="7375" s="283" customFormat="1"/>
    <row r="7376" s="283" customFormat="1"/>
    <row r="7377" s="283" customFormat="1"/>
    <row r="7378" s="283" customFormat="1"/>
    <row r="7379" s="283" customFormat="1"/>
    <row r="7380" s="283" customFormat="1"/>
    <row r="7381" s="283" customFormat="1"/>
    <row r="7382" s="283" customFormat="1"/>
    <row r="7383" s="283" customFormat="1"/>
    <row r="7384" s="283" customFormat="1"/>
    <row r="7385" s="283" customFormat="1"/>
    <row r="7386" s="283" customFormat="1"/>
    <row r="7387" s="283" customFormat="1"/>
    <row r="7388" s="283" customFormat="1"/>
    <row r="7389" s="283" customFormat="1"/>
    <row r="7390" s="283" customFormat="1"/>
    <row r="7391" s="283" customFormat="1"/>
    <row r="7392" s="283" customFormat="1"/>
    <row r="7393" s="283" customFormat="1"/>
    <row r="7394" s="283" customFormat="1"/>
    <row r="7395" s="283" customFormat="1"/>
    <row r="7396" s="283" customFormat="1"/>
    <row r="7397" s="283" customFormat="1"/>
    <row r="7398" s="283" customFormat="1"/>
    <row r="7399" s="283" customFormat="1"/>
    <row r="7400" s="283" customFormat="1"/>
    <row r="7401" s="283" customFormat="1"/>
    <row r="7402" s="283" customFormat="1"/>
    <row r="7403" s="283" customFormat="1"/>
    <row r="7404" s="283" customFormat="1"/>
    <row r="7405" s="283" customFormat="1"/>
    <row r="7406" s="283" customFormat="1"/>
    <row r="7407" s="283" customFormat="1"/>
    <row r="7408" s="283" customFormat="1"/>
    <row r="7409" s="283" customFormat="1"/>
    <row r="7410" s="283" customFormat="1"/>
    <row r="7411" s="283" customFormat="1"/>
    <row r="7412" s="283" customFormat="1"/>
    <row r="7413" s="283" customFormat="1"/>
    <row r="7414" s="283" customFormat="1"/>
    <row r="7415" s="283" customFormat="1"/>
    <row r="7416" s="283" customFormat="1"/>
    <row r="7417" s="283" customFormat="1"/>
    <row r="7418" s="283" customFormat="1"/>
    <row r="7419" s="283" customFormat="1"/>
    <row r="7420" s="283" customFormat="1"/>
    <row r="7421" s="283" customFormat="1"/>
    <row r="7422" s="283" customFormat="1"/>
    <row r="7423" s="283" customFormat="1"/>
    <row r="7424" s="283" customFormat="1"/>
    <row r="7425" s="283" customFormat="1"/>
    <row r="7426" s="283" customFormat="1"/>
    <row r="7427" s="283" customFormat="1"/>
    <row r="7428" s="283" customFormat="1"/>
    <row r="7429" s="283" customFormat="1"/>
    <row r="7430" s="283" customFormat="1"/>
    <row r="7431" s="283" customFormat="1"/>
    <row r="7432" s="283" customFormat="1"/>
    <row r="7433" s="283" customFormat="1"/>
    <row r="7434" s="283" customFormat="1"/>
    <row r="7435" s="283" customFormat="1"/>
    <row r="7436" s="283" customFormat="1"/>
    <row r="7437" s="283" customFormat="1"/>
    <row r="7438" s="283" customFormat="1"/>
    <row r="7439" s="283" customFormat="1"/>
    <row r="7440" s="283" customFormat="1"/>
    <row r="7441" s="283" customFormat="1"/>
    <row r="7442" s="283" customFormat="1"/>
    <row r="7443" s="283" customFormat="1"/>
    <row r="7444" s="283" customFormat="1"/>
    <row r="7445" s="283" customFormat="1"/>
    <row r="7446" s="283" customFormat="1"/>
    <row r="7447" s="283" customFormat="1"/>
    <row r="7448" s="283" customFormat="1"/>
    <row r="7449" s="283" customFormat="1"/>
    <row r="7450" s="283" customFormat="1"/>
    <row r="7451" s="283" customFormat="1"/>
    <row r="7452" s="283" customFormat="1"/>
    <row r="7453" s="283" customFormat="1"/>
    <row r="7454" s="283" customFormat="1"/>
    <row r="7455" s="283" customFormat="1"/>
    <row r="7456" s="283" customFormat="1"/>
    <row r="7457" s="283" customFormat="1"/>
    <row r="7458" s="283" customFormat="1"/>
    <row r="7459" s="283" customFormat="1"/>
    <row r="7460" s="283" customFormat="1"/>
    <row r="7461" s="283" customFormat="1"/>
    <row r="7462" s="283" customFormat="1"/>
    <row r="7463" s="283" customFormat="1"/>
    <row r="7464" s="283" customFormat="1"/>
    <row r="7465" s="283" customFormat="1"/>
    <row r="7466" s="283" customFormat="1"/>
    <row r="7467" s="283" customFormat="1"/>
    <row r="7468" s="283" customFormat="1"/>
    <row r="7469" s="283" customFormat="1"/>
    <row r="7470" s="283" customFormat="1"/>
    <row r="7471" s="283" customFormat="1"/>
    <row r="7472" s="283" customFormat="1"/>
    <row r="7473" s="283" customFormat="1"/>
    <row r="7474" s="283" customFormat="1"/>
    <row r="7475" s="283" customFormat="1"/>
    <row r="7476" s="283" customFormat="1"/>
    <row r="7477" s="283" customFormat="1"/>
    <row r="7478" s="283" customFormat="1"/>
    <row r="7479" s="283" customFormat="1"/>
    <row r="7480" s="283" customFormat="1"/>
    <row r="7481" s="283" customFormat="1"/>
    <row r="7482" s="283" customFormat="1"/>
    <row r="7483" s="283" customFormat="1"/>
    <row r="7484" s="283" customFormat="1"/>
    <row r="7485" s="283" customFormat="1"/>
    <row r="7486" s="283" customFormat="1"/>
    <row r="7487" s="283" customFormat="1"/>
    <row r="7488" s="283" customFormat="1"/>
    <row r="7489" s="283" customFormat="1"/>
    <row r="7490" s="283" customFormat="1"/>
    <row r="7491" s="283" customFormat="1"/>
    <row r="7492" s="283" customFormat="1"/>
    <row r="7493" s="283" customFormat="1"/>
    <row r="7494" s="283" customFormat="1"/>
    <row r="7495" s="283" customFormat="1"/>
    <row r="7496" s="283" customFormat="1"/>
    <row r="7497" s="283" customFormat="1"/>
    <row r="7498" s="283" customFormat="1"/>
    <row r="7499" s="283" customFormat="1"/>
    <row r="7500" s="283" customFormat="1"/>
    <row r="7501" s="283" customFormat="1"/>
    <row r="7502" s="283" customFormat="1"/>
    <row r="7503" s="283" customFormat="1"/>
    <row r="7504" s="283" customFormat="1"/>
    <row r="7505" s="283" customFormat="1"/>
    <row r="7506" s="283" customFormat="1"/>
    <row r="7507" s="283" customFormat="1"/>
    <row r="7508" s="283" customFormat="1"/>
    <row r="7509" s="283" customFormat="1"/>
    <row r="7510" s="283" customFormat="1"/>
    <row r="7511" s="283" customFormat="1"/>
    <row r="7512" s="283" customFormat="1"/>
    <row r="7513" s="283" customFormat="1"/>
    <row r="7514" s="283" customFormat="1"/>
    <row r="7515" s="283" customFormat="1"/>
    <row r="7516" s="283" customFormat="1"/>
    <row r="7517" s="283" customFormat="1"/>
    <row r="7518" s="283" customFormat="1"/>
    <row r="7519" s="283" customFormat="1"/>
    <row r="7520" s="283" customFormat="1"/>
    <row r="7521" s="283" customFormat="1"/>
    <row r="7522" s="283" customFormat="1"/>
    <row r="7523" s="283" customFormat="1"/>
    <row r="7524" s="283" customFormat="1"/>
    <row r="7525" s="283" customFormat="1"/>
    <row r="7526" s="283" customFormat="1"/>
    <row r="7527" s="283" customFormat="1"/>
    <row r="7528" s="283" customFormat="1"/>
    <row r="7529" s="283" customFormat="1"/>
    <row r="7530" s="283" customFormat="1"/>
    <row r="7531" s="283" customFormat="1"/>
    <row r="7532" s="283" customFormat="1"/>
    <row r="7533" s="283" customFormat="1"/>
    <row r="7534" s="283" customFormat="1"/>
    <row r="7535" s="283" customFormat="1"/>
    <row r="7536" s="283" customFormat="1"/>
    <row r="7537" s="283" customFormat="1"/>
    <row r="7538" s="283" customFormat="1"/>
    <row r="7539" s="283" customFormat="1"/>
    <row r="7540" s="283" customFormat="1"/>
    <row r="7541" s="283" customFormat="1"/>
    <row r="7542" s="283" customFormat="1"/>
    <row r="7543" s="283" customFormat="1"/>
    <row r="7544" s="283" customFormat="1"/>
    <row r="7545" s="283" customFormat="1"/>
    <row r="7546" s="283" customFormat="1"/>
    <row r="7547" s="283" customFormat="1"/>
    <row r="7548" s="283" customFormat="1"/>
    <row r="7549" s="283" customFormat="1"/>
    <row r="7550" s="283" customFormat="1"/>
    <row r="7551" s="283" customFormat="1"/>
    <row r="7552" s="283" customFormat="1"/>
    <row r="7553" s="283" customFormat="1"/>
    <row r="7554" s="283" customFormat="1"/>
    <row r="7555" s="283" customFormat="1"/>
    <row r="7556" s="283" customFormat="1"/>
    <row r="7557" s="283" customFormat="1"/>
    <row r="7558" s="283" customFormat="1"/>
    <row r="7559" s="283" customFormat="1"/>
    <row r="7560" s="283" customFormat="1"/>
    <row r="7561" s="283" customFormat="1"/>
    <row r="7562" s="283" customFormat="1"/>
    <row r="7563" s="283" customFormat="1"/>
    <row r="7564" s="283" customFormat="1"/>
    <row r="7565" s="283" customFormat="1"/>
    <row r="7566" s="283" customFormat="1"/>
    <row r="7567" s="283" customFormat="1"/>
    <row r="7568" s="283" customFormat="1"/>
    <row r="7569" s="283" customFormat="1"/>
    <row r="7570" s="283" customFormat="1"/>
    <row r="7571" s="283" customFormat="1"/>
    <row r="7572" s="283" customFormat="1"/>
    <row r="7573" s="283" customFormat="1"/>
    <row r="7574" s="283" customFormat="1"/>
    <row r="7575" s="283" customFormat="1"/>
    <row r="7576" s="283" customFormat="1"/>
    <row r="7577" s="283" customFormat="1"/>
    <row r="7578" s="283" customFormat="1"/>
    <row r="7579" s="283" customFormat="1"/>
    <row r="7580" s="283" customFormat="1"/>
    <row r="7581" s="283" customFormat="1"/>
    <row r="7582" s="283" customFormat="1"/>
    <row r="7583" s="283" customFormat="1"/>
    <row r="7584" s="283" customFormat="1"/>
    <row r="7585" s="283" customFormat="1"/>
    <row r="7586" s="283" customFormat="1"/>
    <row r="7587" s="283" customFormat="1"/>
    <row r="7588" s="283" customFormat="1"/>
    <row r="7589" s="283" customFormat="1"/>
    <row r="7590" s="283" customFormat="1"/>
    <row r="7591" s="283" customFormat="1"/>
    <row r="7592" s="283" customFormat="1"/>
    <row r="7593" s="283" customFormat="1"/>
    <row r="7594" s="283" customFormat="1"/>
    <row r="7595" s="283" customFormat="1"/>
    <row r="7596" s="283" customFormat="1"/>
    <row r="7597" s="283" customFormat="1"/>
    <row r="7598" s="283" customFormat="1"/>
    <row r="7599" s="283" customFormat="1"/>
    <row r="7600" s="283" customFormat="1"/>
    <row r="7601" s="283" customFormat="1"/>
    <row r="7602" s="283" customFormat="1"/>
    <row r="7603" s="283" customFormat="1"/>
    <row r="7604" s="283" customFormat="1"/>
    <row r="7605" s="283" customFormat="1"/>
    <row r="7606" s="283" customFormat="1"/>
    <row r="7607" s="283" customFormat="1"/>
    <row r="7608" s="283" customFormat="1"/>
    <row r="7609" s="283" customFormat="1"/>
    <row r="7610" s="283" customFormat="1"/>
    <row r="7611" s="283" customFormat="1"/>
    <row r="7612" s="283" customFormat="1"/>
    <row r="7613" s="283" customFormat="1"/>
    <row r="7614" s="283" customFormat="1"/>
    <row r="7615" s="283" customFormat="1"/>
    <row r="7616" s="283" customFormat="1"/>
    <row r="7617" s="283" customFormat="1"/>
    <row r="7618" s="283" customFormat="1"/>
    <row r="7619" s="283" customFormat="1"/>
    <row r="7620" s="283" customFormat="1"/>
    <row r="7621" s="283" customFormat="1"/>
    <row r="7622" s="283" customFormat="1"/>
    <row r="7623" s="283" customFormat="1"/>
    <row r="7624" s="283" customFormat="1"/>
    <row r="7625" s="283" customFormat="1"/>
    <row r="7626" s="283" customFormat="1"/>
    <row r="7627" s="283" customFormat="1"/>
    <row r="7628" s="283" customFormat="1"/>
    <row r="7629" s="283" customFormat="1"/>
    <row r="7630" s="283" customFormat="1"/>
    <row r="7631" s="283" customFormat="1"/>
    <row r="7632" s="283" customFormat="1"/>
    <row r="7633" s="283" customFormat="1"/>
    <row r="7634" s="283" customFormat="1"/>
    <row r="7635" s="283" customFormat="1"/>
    <row r="7636" s="283" customFormat="1"/>
    <row r="7637" s="283" customFormat="1"/>
    <row r="7638" s="283" customFormat="1"/>
    <row r="7639" s="283" customFormat="1"/>
    <row r="7640" s="283" customFormat="1"/>
    <row r="7641" s="283" customFormat="1"/>
    <row r="7642" s="283" customFormat="1"/>
    <row r="7643" s="283" customFormat="1"/>
    <row r="7644" s="283" customFormat="1"/>
    <row r="7645" s="283" customFormat="1"/>
    <row r="7646" s="283" customFormat="1"/>
    <row r="7647" s="283" customFormat="1"/>
    <row r="7648" s="283" customFormat="1"/>
    <row r="7649" s="283" customFormat="1"/>
    <row r="7650" s="283" customFormat="1"/>
    <row r="7651" s="283" customFormat="1"/>
    <row r="7652" s="283" customFormat="1"/>
    <row r="7653" s="283" customFormat="1"/>
    <row r="7654" s="283" customFormat="1"/>
    <row r="7655" s="283" customFormat="1"/>
    <row r="7656" s="283" customFormat="1"/>
    <row r="7657" s="283" customFormat="1"/>
    <row r="7658" s="283" customFormat="1"/>
    <row r="7659" s="283" customFormat="1"/>
    <row r="7660" s="283" customFormat="1"/>
    <row r="7661" s="283" customFormat="1"/>
    <row r="7662" s="283" customFormat="1"/>
    <row r="7663" s="283" customFormat="1"/>
    <row r="7664" s="283" customFormat="1"/>
    <row r="7665" s="283" customFormat="1"/>
    <row r="7666" s="283" customFormat="1"/>
    <row r="7667" s="283" customFormat="1"/>
    <row r="7668" s="283" customFormat="1"/>
    <row r="7669" s="283" customFormat="1"/>
    <row r="7670" s="283" customFormat="1"/>
    <row r="7671" s="283" customFormat="1"/>
    <row r="7672" s="283" customFormat="1"/>
    <row r="7673" s="283" customFormat="1"/>
    <row r="7674" s="283" customFormat="1"/>
    <row r="7675" s="283" customFormat="1"/>
    <row r="7676" s="283" customFormat="1"/>
    <row r="7677" s="283" customFormat="1"/>
    <row r="7678" s="283" customFormat="1"/>
    <row r="7679" s="283" customFormat="1"/>
    <row r="7680" s="283" customFormat="1"/>
    <row r="7681" s="283" customFormat="1"/>
    <row r="7682" s="283" customFormat="1"/>
    <row r="7683" s="283" customFormat="1"/>
    <row r="7684" s="283" customFormat="1"/>
    <row r="7685" s="283" customFormat="1"/>
    <row r="7686" s="283" customFormat="1"/>
    <row r="7687" s="283" customFormat="1"/>
    <row r="7688" s="283" customFormat="1"/>
    <row r="7689" s="283" customFormat="1"/>
    <row r="7690" s="283" customFormat="1"/>
    <row r="7691" s="283" customFormat="1"/>
    <row r="7692" s="283" customFormat="1"/>
    <row r="7693" s="283" customFormat="1"/>
    <row r="7694" s="283" customFormat="1"/>
    <row r="7695" s="283" customFormat="1"/>
    <row r="7696" s="283" customFormat="1"/>
    <row r="7697" s="283" customFormat="1"/>
    <row r="7698" s="283" customFormat="1"/>
    <row r="7699" s="283" customFormat="1"/>
    <row r="7700" s="283" customFormat="1"/>
    <row r="7701" s="283" customFormat="1"/>
    <row r="7702" s="283" customFormat="1"/>
    <row r="7703" s="283" customFormat="1"/>
    <row r="7704" s="283" customFormat="1"/>
    <row r="7705" s="283" customFormat="1"/>
    <row r="7706" s="283" customFormat="1"/>
    <row r="7707" s="283" customFormat="1"/>
    <row r="7708" s="283" customFormat="1"/>
    <row r="7709" s="283" customFormat="1"/>
    <row r="7710" s="283" customFormat="1"/>
    <row r="7711" s="283" customFormat="1"/>
    <row r="7712" s="283" customFormat="1"/>
    <row r="7713" s="283" customFormat="1"/>
    <row r="7714" s="283" customFormat="1"/>
    <row r="7715" s="283" customFormat="1"/>
    <row r="7716" s="283" customFormat="1"/>
    <row r="7717" s="283" customFormat="1"/>
    <row r="7718" s="283" customFormat="1"/>
    <row r="7719" s="283" customFormat="1"/>
    <row r="7720" s="283" customFormat="1"/>
    <row r="7721" s="283" customFormat="1"/>
    <row r="7722" s="283" customFormat="1"/>
    <row r="7723" s="283" customFormat="1"/>
    <row r="7724" s="283" customFormat="1"/>
    <row r="7725" s="283" customFormat="1"/>
    <row r="7726" s="283" customFormat="1"/>
    <row r="7727" s="283" customFormat="1"/>
    <row r="7728" s="283" customFormat="1"/>
    <row r="7729" s="283" customFormat="1"/>
    <row r="7730" s="283" customFormat="1"/>
    <row r="7731" s="283" customFormat="1"/>
    <row r="7732" s="283" customFormat="1"/>
    <row r="7733" s="283" customFormat="1"/>
    <row r="7734" s="283" customFormat="1"/>
    <row r="7735" s="283" customFormat="1"/>
    <row r="7736" s="283" customFormat="1"/>
    <row r="7737" s="283" customFormat="1"/>
    <row r="7738" s="283" customFormat="1"/>
    <row r="7739" s="283" customFormat="1"/>
    <row r="7740" s="283" customFormat="1"/>
    <row r="7741" s="283" customFormat="1"/>
    <row r="7742" s="283" customFormat="1"/>
    <row r="7743" s="283" customFormat="1"/>
    <row r="7744" s="283" customFormat="1"/>
    <row r="7745" s="283" customFormat="1"/>
    <row r="7746" s="283" customFormat="1"/>
    <row r="7747" s="283" customFormat="1"/>
    <row r="7748" s="283" customFormat="1"/>
    <row r="7749" s="283" customFormat="1"/>
    <row r="7750" s="283" customFormat="1"/>
    <row r="7751" s="283" customFormat="1"/>
    <row r="7752" s="283" customFormat="1"/>
    <row r="7753" s="283" customFormat="1"/>
    <row r="7754" s="283" customFormat="1"/>
    <row r="7755" s="283" customFormat="1"/>
    <row r="7756" s="283" customFormat="1"/>
    <row r="7757" s="283" customFormat="1"/>
    <row r="7758" s="283" customFormat="1"/>
    <row r="7759" s="283" customFormat="1"/>
    <row r="7760" s="283" customFormat="1"/>
    <row r="7761" s="283" customFormat="1"/>
    <row r="7762" s="283" customFormat="1"/>
    <row r="7763" s="283" customFormat="1"/>
    <row r="7764" s="283" customFormat="1"/>
    <row r="7765" s="283" customFormat="1"/>
    <row r="7766" s="283" customFormat="1"/>
    <row r="7767" s="283" customFormat="1"/>
    <row r="7768" s="283" customFormat="1"/>
    <row r="7769" s="283" customFormat="1"/>
    <row r="7770" s="283" customFormat="1"/>
    <row r="7771" s="283" customFormat="1"/>
    <row r="7772" s="283" customFormat="1"/>
    <row r="7773" s="283" customFormat="1"/>
    <row r="7774" s="283" customFormat="1"/>
    <row r="7775" s="283" customFormat="1"/>
    <row r="7776" s="283" customFormat="1"/>
    <row r="7777" s="283" customFormat="1"/>
    <row r="7778" s="283" customFormat="1"/>
    <row r="7779" s="283" customFormat="1"/>
    <row r="7780" s="283" customFormat="1"/>
    <row r="7781" s="283" customFormat="1"/>
    <row r="7782" s="283" customFormat="1"/>
    <row r="7783" s="283" customFormat="1"/>
    <row r="7784" s="283" customFormat="1"/>
    <row r="7785" s="283" customFormat="1"/>
    <row r="7786" s="283" customFormat="1"/>
    <row r="7787" s="283" customFormat="1"/>
    <row r="7788" s="283" customFormat="1"/>
    <row r="7789" s="283" customFormat="1"/>
    <row r="7790" s="283" customFormat="1"/>
    <row r="7791" s="283" customFormat="1"/>
    <row r="7792" s="283" customFormat="1"/>
    <row r="7793" s="283" customFormat="1"/>
    <row r="7794" s="283" customFormat="1"/>
    <row r="7795" s="283" customFormat="1"/>
    <row r="7796" s="283" customFormat="1"/>
    <row r="7797" s="283" customFormat="1"/>
    <row r="7798" s="283" customFormat="1"/>
    <row r="7799" s="283" customFormat="1"/>
    <row r="7800" s="283" customFormat="1"/>
    <row r="7801" s="283" customFormat="1"/>
    <row r="7802" s="283" customFormat="1"/>
    <row r="7803" s="283" customFormat="1"/>
    <row r="7804" s="283" customFormat="1"/>
    <row r="7805" s="283" customFormat="1"/>
    <row r="7806" s="283" customFormat="1"/>
    <row r="7807" s="283" customFormat="1"/>
    <row r="7808" s="283" customFormat="1"/>
    <row r="7809" s="283" customFormat="1"/>
    <row r="7810" s="283" customFormat="1"/>
    <row r="7811" s="283" customFormat="1"/>
    <row r="7812" s="283" customFormat="1"/>
    <row r="7813" s="283" customFormat="1"/>
    <row r="7814" s="283" customFormat="1"/>
    <row r="7815" s="283" customFormat="1"/>
    <row r="7816" s="283" customFormat="1"/>
    <row r="7817" s="283" customFormat="1"/>
    <row r="7818" s="283" customFormat="1"/>
    <row r="7819" s="283" customFormat="1"/>
    <row r="7820" s="283" customFormat="1"/>
    <row r="7821" s="283" customFormat="1"/>
    <row r="7822" s="283" customFormat="1"/>
    <row r="7823" s="283" customFormat="1"/>
    <row r="7824" s="283" customFormat="1"/>
    <row r="7825" s="283" customFormat="1"/>
    <row r="7826" s="283" customFormat="1"/>
    <row r="7827" s="283" customFormat="1"/>
    <row r="7828" s="283" customFormat="1"/>
    <row r="7829" s="283" customFormat="1"/>
    <row r="7830" s="283" customFormat="1"/>
    <row r="7831" s="283" customFormat="1"/>
    <row r="7832" s="283" customFormat="1"/>
    <row r="7833" s="283" customFormat="1"/>
    <row r="7834" s="283" customFormat="1"/>
    <row r="7835" s="283" customFormat="1"/>
    <row r="7836" s="283" customFormat="1"/>
    <row r="7837" s="283" customFormat="1"/>
    <row r="7838" s="283" customFormat="1"/>
    <row r="7839" s="283" customFormat="1"/>
    <row r="7840" s="283" customFormat="1"/>
    <row r="7841" s="283" customFormat="1"/>
    <row r="7842" s="283" customFormat="1"/>
    <row r="7843" s="283" customFormat="1"/>
    <row r="7844" s="283" customFormat="1"/>
    <row r="7845" s="283" customFormat="1"/>
    <row r="7846" s="283" customFormat="1"/>
    <row r="7847" s="283" customFormat="1"/>
    <row r="7848" s="283" customFormat="1"/>
    <row r="7849" s="283" customFormat="1"/>
    <row r="7850" s="283" customFormat="1"/>
    <row r="7851" s="283" customFormat="1"/>
    <row r="7852" s="283" customFormat="1"/>
    <row r="7853" s="283" customFormat="1"/>
    <row r="7854" s="283" customFormat="1"/>
    <row r="7855" s="283" customFormat="1"/>
    <row r="7856" s="283" customFormat="1"/>
    <row r="7857" s="283" customFormat="1"/>
    <row r="7858" s="283" customFormat="1"/>
    <row r="7859" s="283" customFormat="1"/>
    <row r="7860" s="283" customFormat="1"/>
    <row r="7861" s="283" customFormat="1"/>
    <row r="7862" s="283" customFormat="1"/>
    <row r="7863" s="283" customFormat="1"/>
    <row r="7864" s="283" customFormat="1"/>
    <row r="7865" s="283" customFormat="1"/>
    <row r="7866" s="283" customFormat="1"/>
    <row r="7867" s="283" customFormat="1"/>
    <row r="7868" s="283" customFormat="1"/>
    <row r="7869" s="283" customFormat="1"/>
    <row r="7870" s="283" customFormat="1"/>
    <row r="7871" s="283" customFormat="1"/>
    <row r="7872" s="283" customFormat="1"/>
    <row r="7873" s="283" customFormat="1"/>
    <row r="7874" s="283" customFormat="1"/>
    <row r="7875" s="283" customFormat="1"/>
    <row r="7876" s="283" customFormat="1"/>
    <row r="7877" s="283" customFormat="1"/>
    <row r="7878" s="283" customFormat="1"/>
    <row r="7879" s="283" customFormat="1"/>
    <row r="7880" s="283" customFormat="1"/>
    <row r="7881" s="283" customFormat="1"/>
    <row r="7882" s="283" customFormat="1"/>
    <row r="7883" s="283" customFormat="1"/>
    <row r="7884" s="283" customFormat="1"/>
    <row r="7885" s="283" customFormat="1"/>
    <row r="7886" s="283" customFormat="1"/>
    <row r="7887" s="283" customFormat="1"/>
    <row r="7888" s="283" customFormat="1"/>
    <row r="7889" s="283" customFormat="1"/>
    <row r="7890" s="283" customFormat="1"/>
    <row r="7891" s="283" customFormat="1"/>
    <row r="7892" s="283" customFormat="1"/>
    <row r="7893" s="283" customFormat="1"/>
    <row r="7894" s="283" customFormat="1"/>
    <row r="7895" s="283" customFormat="1"/>
    <row r="7896" s="283" customFormat="1"/>
    <row r="7897" s="283" customFormat="1"/>
    <row r="7898" s="283" customFormat="1"/>
    <row r="7899" s="283" customFormat="1"/>
    <row r="7900" s="283" customFormat="1"/>
    <row r="7901" s="283" customFormat="1"/>
    <row r="7902" s="283" customFormat="1"/>
    <row r="7903" s="283" customFormat="1"/>
    <row r="7904" s="283" customFormat="1"/>
    <row r="7905" s="283" customFormat="1"/>
    <row r="7906" s="283" customFormat="1"/>
    <row r="7907" s="283" customFormat="1"/>
    <row r="7908" s="283" customFormat="1"/>
    <row r="7909" s="283" customFormat="1"/>
    <row r="7910" s="283" customFormat="1"/>
    <row r="7911" s="283" customFormat="1"/>
    <row r="7912" s="283" customFormat="1"/>
    <row r="7913" s="283" customFormat="1"/>
    <row r="7914" s="283" customFormat="1"/>
    <row r="7915" s="283" customFormat="1"/>
    <row r="7916" s="283" customFormat="1"/>
    <row r="7917" s="283" customFormat="1"/>
    <row r="7918" s="283" customFormat="1"/>
    <row r="7919" s="283" customFormat="1"/>
    <row r="7920" s="283" customFormat="1"/>
    <row r="7921" s="283" customFormat="1"/>
    <row r="7922" s="283" customFormat="1"/>
    <row r="7923" s="283" customFormat="1"/>
    <row r="7924" s="283" customFormat="1"/>
    <row r="7925" s="283" customFormat="1"/>
    <row r="7926" s="283" customFormat="1"/>
    <row r="7927" s="283" customFormat="1"/>
    <row r="7928" s="283" customFormat="1"/>
    <row r="7929" s="283" customFormat="1"/>
    <row r="7930" s="283" customFormat="1"/>
    <row r="7931" s="283" customFormat="1"/>
    <row r="7932" s="283" customFormat="1"/>
    <row r="7933" s="283" customFormat="1"/>
    <row r="7934" s="283" customFormat="1"/>
    <row r="7935" s="283" customFormat="1"/>
    <row r="7936" s="283" customFormat="1"/>
    <row r="7937" s="283" customFormat="1"/>
    <row r="7938" s="283" customFormat="1"/>
    <row r="7939" s="283" customFormat="1"/>
    <row r="7940" s="283" customFormat="1"/>
    <row r="7941" s="283" customFormat="1"/>
    <row r="7942" s="283" customFormat="1"/>
    <row r="7943" s="283" customFormat="1"/>
    <row r="7944" s="283" customFormat="1"/>
    <row r="7945" s="283" customFormat="1"/>
    <row r="7946" s="283" customFormat="1"/>
    <row r="7947" s="283" customFormat="1"/>
    <row r="7948" s="283" customFormat="1"/>
    <row r="7949" s="283" customFormat="1"/>
    <row r="7950" s="283" customFormat="1"/>
    <row r="7951" s="283" customFormat="1"/>
    <row r="7952" s="283" customFormat="1"/>
    <row r="7953" s="283" customFormat="1"/>
    <row r="7954" s="283" customFormat="1"/>
    <row r="7955" s="283" customFormat="1"/>
    <row r="7956" s="283" customFormat="1"/>
    <row r="7957" s="283" customFormat="1"/>
    <row r="7958" s="283" customFormat="1"/>
    <row r="7959" s="283" customFormat="1"/>
    <row r="7960" s="283" customFormat="1"/>
    <row r="7961" s="283" customFormat="1"/>
    <row r="7962" s="283" customFormat="1"/>
    <row r="7963" s="283" customFormat="1"/>
    <row r="7964" s="283" customFormat="1"/>
    <row r="7965" s="283" customFormat="1"/>
    <row r="7966" s="283" customFormat="1"/>
    <row r="7967" s="283" customFormat="1"/>
    <row r="7968" s="283" customFormat="1"/>
    <row r="7969" s="283" customFormat="1"/>
    <row r="7970" s="283" customFormat="1"/>
    <row r="7971" s="283" customFormat="1"/>
    <row r="7972" s="283" customFormat="1"/>
    <row r="7973" s="283" customFormat="1"/>
    <row r="7974" s="283" customFormat="1"/>
    <row r="7975" s="283" customFormat="1"/>
    <row r="7976" s="283" customFormat="1"/>
    <row r="7977" s="283" customFormat="1"/>
    <row r="7978" s="283" customFormat="1"/>
    <row r="7979" s="283" customFormat="1"/>
    <row r="7980" s="283" customFormat="1"/>
    <row r="7981" s="283" customFormat="1"/>
    <row r="7982" s="283" customFormat="1"/>
    <row r="7983" s="283" customFormat="1"/>
    <row r="7984" s="283" customFormat="1"/>
    <row r="7985" s="283" customFormat="1"/>
    <row r="7986" s="283" customFormat="1"/>
    <row r="7987" s="283" customFormat="1"/>
    <row r="7988" s="283" customFormat="1"/>
    <row r="7989" s="283" customFormat="1"/>
    <row r="7990" s="283" customFormat="1"/>
    <row r="7991" s="283" customFormat="1"/>
    <row r="7992" s="283" customFormat="1"/>
    <row r="7993" s="283" customFormat="1"/>
    <row r="7994" s="283" customFormat="1"/>
    <row r="7995" s="283" customFormat="1"/>
    <row r="7996" s="283" customFormat="1"/>
    <row r="7997" s="283" customFormat="1"/>
    <row r="7998" s="283" customFormat="1"/>
    <row r="7999" s="283" customFormat="1"/>
    <row r="8000" s="283" customFormat="1"/>
    <row r="8001" s="283" customFormat="1"/>
    <row r="8002" s="283" customFormat="1"/>
    <row r="8003" s="283" customFormat="1"/>
    <row r="8004" s="283" customFormat="1"/>
    <row r="8005" s="283" customFormat="1"/>
    <row r="8006" s="283" customFormat="1"/>
    <row r="8007" s="283" customFormat="1"/>
    <row r="8008" s="283" customFormat="1"/>
    <row r="8009" s="283" customFormat="1"/>
    <row r="8010" s="283" customFormat="1"/>
    <row r="8011" s="283" customFormat="1"/>
    <row r="8012" s="283" customFormat="1"/>
    <row r="8013" s="283" customFormat="1"/>
    <row r="8014" s="283" customFormat="1"/>
    <row r="8015" s="283" customFormat="1"/>
    <row r="8016" s="283" customFormat="1"/>
    <row r="8017" s="283" customFormat="1"/>
    <row r="8018" s="283" customFormat="1"/>
    <row r="8019" s="283" customFormat="1"/>
    <row r="8020" s="283" customFormat="1"/>
    <row r="8021" s="283" customFormat="1"/>
    <row r="8022" s="283" customFormat="1"/>
    <row r="8023" s="283" customFormat="1"/>
    <row r="8024" s="283" customFormat="1"/>
    <row r="8025" s="283" customFormat="1"/>
    <row r="8026" s="283" customFormat="1"/>
    <row r="8027" s="283" customFormat="1"/>
    <row r="8028" s="283" customFormat="1"/>
    <row r="8029" s="283" customFormat="1"/>
    <row r="8030" s="283" customFormat="1"/>
    <row r="8031" s="283" customFormat="1"/>
    <row r="8032" s="283" customFormat="1"/>
    <row r="8033" s="283" customFormat="1"/>
    <row r="8034" s="283" customFormat="1"/>
    <row r="8035" s="283" customFormat="1"/>
    <row r="8036" s="283" customFormat="1"/>
    <row r="8037" s="283" customFormat="1"/>
    <row r="8038" s="283" customFormat="1"/>
    <row r="8039" s="283" customFormat="1"/>
    <row r="8040" s="283" customFormat="1"/>
    <row r="8041" s="283" customFormat="1"/>
    <row r="8042" s="283" customFormat="1"/>
    <row r="8043" s="283" customFormat="1"/>
    <row r="8044" s="283" customFormat="1"/>
    <row r="8045" s="283" customFormat="1"/>
    <row r="8046" s="283" customFormat="1"/>
    <row r="8047" s="283" customFormat="1"/>
    <row r="8048" s="283" customFormat="1"/>
    <row r="8049" s="283" customFormat="1"/>
    <row r="8050" s="283" customFormat="1"/>
    <row r="8051" s="283" customFormat="1"/>
    <row r="8052" s="283" customFormat="1"/>
    <row r="8053" s="283" customFormat="1"/>
    <row r="8054" s="283" customFormat="1"/>
    <row r="8055" s="283" customFormat="1"/>
    <row r="8056" s="283" customFormat="1"/>
    <row r="8057" s="283" customFormat="1"/>
    <row r="8058" s="283" customFormat="1"/>
    <row r="8059" s="283" customFormat="1"/>
    <row r="8060" s="283" customFormat="1"/>
    <row r="8061" s="283" customFormat="1"/>
    <row r="8062" s="283" customFormat="1"/>
    <row r="8063" s="283" customFormat="1"/>
    <row r="8064" s="283" customFormat="1"/>
    <row r="8065" s="283" customFormat="1"/>
    <row r="8066" s="283" customFormat="1"/>
    <row r="8067" s="283" customFormat="1"/>
    <row r="8068" s="283" customFormat="1"/>
    <row r="8069" s="283" customFormat="1"/>
    <row r="8070" s="283" customFormat="1"/>
    <row r="8071" s="283" customFormat="1"/>
    <row r="8072" s="283" customFormat="1"/>
    <row r="8073" s="283" customFormat="1"/>
    <row r="8074" s="283" customFormat="1"/>
    <row r="8075" s="283" customFormat="1"/>
    <row r="8076" s="283" customFormat="1"/>
    <row r="8077" s="283" customFormat="1"/>
    <row r="8078" s="283" customFormat="1"/>
    <row r="8079" s="283" customFormat="1"/>
    <row r="8080" s="283" customFormat="1"/>
    <row r="8081" s="283" customFormat="1"/>
    <row r="8082" s="283" customFormat="1"/>
    <row r="8083" s="283" customFormat="1"/>
    <row r="8084" s="283" customFormat="1"/>
    <row r="8085" s="283" customFormat="1"/>
    <row r="8086" s="283" customFormat="1"/>
    <row r="8087" s="283" customFormat="1"/>
    <row r="8088" s="283" customFormat="1"/>
    <row r="8089" s="283" customFormat="1"/>
    <row r="8090" s="283" customFormat="1"/>
    <row r="8091" s="283" customFormat="1"/>
    <row r="8092" s="283" customFormat="1"/>
    <row r="8093" s="283" customFormat="1"/>
    <row r="8094" s="283" customFormat="1"/>
    <row r="8095" s="283" customFormat="1"/>
    <row r="8096" s="283" customFormat="1"/>
    <row r="8097" s="283" customFormat="1"/>
    <row r="8098" s="283" customFormat="1"/>
    <row r="8099" s="283" customFormat="1"/>
    <row r="8100" s="283" customFormat="1"/>
    <row r="8101" s="283" customFormat="1"/>
    <row r="8102" s="283" customFormat="1"/>
    <row r="8103" s="283" customFormat="1"/>
    <row r="8104" s="283" customFormat="1"/>
    <row r="8105" s="283" customFormat="1"/>
    <row r="8106" s="283" customFormat="1"/>
    <row r="8107" s="283" customFormat="1"/>
    <row r="8108" s="283" customFormat="1"/>
    <row r="8109" s="283" customFormat="1"/>
    <row r="8110" s="283" customFormat="1"/>
    <row r="8111" s="283" customFormat="1"/>
    <row r="8112" s="283" customFormat="1"/>
    <row r="8113" s="283" customFormat="1"/>
    <row r="8114" s="283" customFormat="1"/>
    <row r="8115" s="283" customFormat="1"/>
    <row r="8116" s="283" customFormat="1"/>
    <row r="8117" s="283" customFormat="1"/>
    <row r="8118" s="283" customFormat="1"/>
    <row r="8119" s="283" customFormat="1"/>
    <row r="8120" s="283" customFormat="1"/>
    <row r="8121" s="283" customFormat="1"/>
    <row r="8122" s="283" customFormat="1"/>
    <row r="8123" s="283" customFormat="1"/>
    <row r="8124" s="283" customFormat="1"/>
    <row r="8125" s="283" customFormat="1"/>
    <row r="8126" s="283" customFormat="1"/>
    <row r="8127" s="283" customFormat="1"/>
    <row r="8128" s="283" customFormat="1"/>
    <row r="8129" s="283" customFormat="1"/>
    <row r="8130" s="283" customFormat="1"/>
    <row r="8131" s="283" customFormat="1"/>
    <row r="8132" s="283" customFormat="1"/>
    <row r="8133" s="283" customFormat="1"/>
    <row r="8134" s="283" customFormat="1"/>
    <row r="8135" s="283" customFormat="1"/>
    <row r="8136" s="283" customFormat="1"/>
    <row r="8137" s="283" customFormat="1"/>
    <row r="8138" s="283" customFormat="1"/>
    <row r="8139" s="283" customFormat="1"/>
    <row r="8140" s="283" customFormat="1"/>
    <row r="8141" s="283" customFormat="1"/>
    <row r="8142" s="283" customFormat="1"/>
    <row r="8143" s="283" customFormat="1"/>
    <row r="8144" s="283" customFormat="1"/>
    <row r="8145" s="283" customFormat="1"/>
    <row r="8146" s="283" customFormat="1"/>
    <row r="8147" s="283" customFormat="1"/>
    <row r="8148" s="283" customFormat="1"/>
    <row r="8149" s="283" customFormat="1"/>
    <row r="8150" s="283" customFormat="1"/>
    <row r="8151" s="283" customFormat="1"/>
    <row r="8152" s="283" customFormat="1"/>
    <row r="8153" s="283" customFormat="1"/>
    <row r="8154" s="283" customFormat="1"/>
    <row r="8155" s="283" customFormat="1"/>
    <row r="8156" s="283" customFormat="1"/>
    <row r="8157" s="283" customFormat="1"/>
    <row r="8158" s="283" customFormat="1"/>
    <row r="8159" s="283" customFormat="1"/>
    <row r="8160" s="283" customFormat="1"/>
    <row r="8161" s="283" customFormat="1"/>
    <row r="8162" s="283" customFormat="1"/>
    <row r="8163" s="283" customFormat="1"/>
    <row r="8164" s="283" customFormat="1"/>
    <row r="8165" s="283" customFormat="1"/>
    <row r="8166" s="283" customFormat="1"/>
    <row r="8167" s="283" customFormat="1"/>
    <row r="8168" s="283" customFormat="1"/>
    <row r="8169" s="283" customFormat="1"/>
    <row r="8170" s="283" customFormat="1"/>
    <row r="8171" s="283" customFormat="1"/>
    <row r="8172" s="283" customFormat="1"/>
    <row r="8173" s="283" customFormat="1"/>
    <row r="8174" s="283" customFormat="1"/>
    <row r="8175" s="283" customFormat="1"/>
    <row r="8176" s="283" customFormat="1"/>
    <row r="8177" s="283" customFormat="1"/>
    <row r="8178" s="283" customFormat="1"/>
    <row r="8179" s="283" customFormat="1"/>
    <row r="8180" s="283" customFormat="1"/>
    <row r="8181" s="283" customFormat="1"/>
    <row r="8182" s="283" customFormat="1"/>
    <row r="8183" s="283" customFormat="1"/>
    <row r="8184" s="283" customFormat="1"/>
    <row r="8185" s="283" customFormat="1"/>
    <row r="8186" s="283" customFormat="1"/>
    <row r="8187" s="283" customFormat="1"/>
    <row r="8188" s="283" customFormat="1"/>
    <row r="8189" s="283" customFormat="1"/>
    <row r="8190" s="283" customFormat="1"/>
    <row r="8191" s="283" customFormat="1"/>
    <row r="8192" s="283" customFormat="1"/>
    <row r="8193" s="283" customFormat="1"/>
    <row r="8194" s="283" customFormat="1"/>
    <row r="8195" s="283" customFormat="1"/>
    <row r="8196" s="283" customFormat="1"/>
    <row r="8197" s="283" customFormat="1"/>
    <row r="8198" s="283" customFormat="1"/>
    <row r="8199" s="283" customFormat="1"/>
    <row r="8200" s="283" customFormat="1"/>
    <row r="8201" s="283" customFormat="1"/>
    <row r="8202" s="283" customFormat="1"/>
    <row r="8203" s="283" customFormat="1"/>
    <row r="8204" s="283" customFormat="1"/>
    <row r="8205" s="283" customFormat="1"/>
    <row r="8206" s="283" customFormat="1"/>
    <row r="8207" s="283" customFormat="1"/>
    <row r="8208" s="283" customFormat="1"/>
    <row r="8209" s="283" customFormat="1"/>
    <row r="8210" s="283" customFormat="1"/>
    <row r="8211" s="283" customFormat="1"/>
    <row r="8212" s="283" customFormat="1"/>
    <row r="8213" s="283" customFormat="1"/>
    <row r="8214" s="283" customFormat="1"/>
    <row r="8215" s="283" customFormat="1"/>
    <row r="8216" s="283" customFormat="1"/>
    <row r="8217" s="283" customFormat="1"/>
    <row r="8218" s="283" customFormat="1"/>
    <row r="8219" s="283" customFormat="1"/>
    <row r="8220" s="283" customFormat="1"/>
    <row r="8221" s="283" customFormat="1"/>
    <row r="8222" s="283" customFormat="1"/>
    <row r="8223" s="283" customFormat="1"/>
    <row r="8224" s="283" customFormat="1"/>
    <row r="8225" s="283" customFormat="1"/>
    <row r="8226" s="283" customFormat="1"/>
    <row r="8227" s="283" customFormat="1"/>
    <row r="8228" s="283" customFormat="1"/>
    <row r="8229" s="283" customFormat="1"/>
    <row r="8230" s="283" customFormat="1"/>
    <row r="8231" s="283" customFormat="1"/>
    <row r="8232" s="283" customFormat="1"/>
    <row r="8233" s="283" customFormat="1"/>
    <row r="8234" s="283" customFormat="1"/>
    <row r="8235" s="283" customFormat="1"/>
    <row r="8236" s="283" customFormat="1"/>
    <row r="8237" s="283" customFormat="1"/>
    <row r="8238" s="283" customFormat="1"/>
    <row r="8239" s="283" customFormat="1"/>
    <row r="8240" s="283" customFormat="1"/>
    <row r="8241" s="283" customFormat="1"/>
    <row r="8242" s="283" customFormat="1"/>
    <row r="8243" s="283" customFormat="1"/>
    <row r="8244" s="283" customFormat="1"/>
    <row r="8245" s="283" customFormat="1"/>
    <row r="8246" s="283" customFormat="1"/>
    <row r="8247" s="283" customFormat="1"/>
    <row r="8248" s="283" customFormat="1"/>
    <row r="8249" s="283" customFormat="1"/>
    <row r="8250" s="283" customFormat="1"/>
    <row r="8251" s="283" customFormat="1"/>
    <row r="8252" s="283" customFormat="1"/>
    <row r="8253" s="283" customFormat="1"/>
    <row r="8254" s="283" customFormat="1"/>
    <row r="8255" s="283" customFormat="1"/>
    <row r="8256" s="283" customFormat="1"/>
    <row r="8257" s="283" customFormat="1"/>
    <row r="8258" s="283" customFormat="1"/>
    <row r="8259" s="283" customFormat="1"/>
    <row r="8260" s="283" customFormat="1"/>
    <row r="8261" s="283" customFormat="1"/>
    <row r="8262" s="283" customFormat="1"/>
    <row r="8263" s="283" customFormat="1"/>
    <row r="8264" s="283" customFormat="1"/>
    <row r="8265" s="283" customFormat="1"/>
    <row r="8266" s="283" customFormat="1"/>
    <row r="8267" s="283" customFormat="1"/>
    <row r="8268" s="283" customFormat="1"/>
    <row r="8269" s="283" customFormat="1"/>
    <row r="8270" s="283" customFormat="1"/>
    <row r="8271" s="283" customFormat="1"/>
    <row r="8272" s="283" customFormat="1"/>
    <row r="8273" s="283" customFormat="1"/>
    <row r="8274" s="283" customFormat="1"/>
    <row r="8275" s="283" customFormat="1"/>
    <row r="8276" s="283" customFormat="1"/>
    <row r="8277" s="283" customFormat="1"/>
    <row r="8278" s="283" customFormat="1"/>
    <row r="8279" s="283" customFormat="1"/>
    <row r="8280" s="283" customFormat="1"/>
    <row r="8281" s="283" customFormat="1"/>
    <row r="8282" s="283" customFormat="1"/>
    <row r="8283" s="283" customFormat="1"/>
    <row r="8284" s="283" customFormat="1"/>
    <row r="8285" s="283" customFormat="1"/>
    <row r="8286" s="283" customFormat="1"/>
    <row r="8287" s="283" customFormat="1"/>
    <row r="8288" s="283" customFormat="1"/>
    <row r="8289" s="283" customFormat="1"/>
    <row r="8290" s="283" customFormat="1"/>
    <row r="8291" s="283" customFormat="1"/>
    <row r="8292" s="283" customFormat="1"/>
    <row r="8293" s="283" customFormat="1"/>
    <row r="8294" s="283" customFormat="1"/>
    <row r="8295" s="283" customFormat="1"/>
    <row r="8296" s="283" customFormat="1"/>
    <row r="8297" s="283" customFormat="1"/>
    <row r="8298" s="283" customFormat="1"/>
    <row r="8299" s="283" customFormat="1"/>
    <row r="8300" s="283" customFormat="1"/>
    <row r="8301" s="283" customFormat="1"/>
    <row r="8302" s="283" customFormat="1"/>
    <row r="8303" s="283" customFormat="1"/>
    <row r="8304" s="283" customFormat="1"/>
    <row r="8305" s="283" customFormat="1"/>
    <row r="8306" s="283" customFormat="1"/>
    <row r="8307" s="283" customFormat="1"/>
    <row r="8308" s="283" customFormat="1"/>
    <row r="8309" s="283" customFormat="1"/>
    <row r="8310" s="283" customFormat="1"/>
    <row r="8311" s="283" customFormat="1"/>
    <row r="8312" s="283" customFormat="1"/>
    <row r="8313" s="283" customFormat="1"/>
    <row r="8314" s="283" customFormat="1"/>
    <row r="8315" s="283" customFormat="1"/>
    <row r="8316" s="283" customFormat="1"/>
    <row r="8317" s="283" customFormat="1"/>
    <row r="8318" s="283" customFormat="1"/>
    <row r="8319" s="283" customFormat="1"/>
    <row r="8320" s="283" customFormat="1"/>
    <row r="8321" s="283" customFormat="1"/>
    <row r="8322" s="283" customFormat="1"/>
    <row r="8323" s="283" customFormat="1"/>
    <row r="8324" s="283" customFormat="1"/>
    <row r="8325" s="283" customFormat="1"/>
    <row r="8326" s="283" customFormat="1"/>
    <row r="8327" s="283" customFormat="1"/>
    <row r="8328" s="283" customFormat="1"/>
    <row r="8329" s="283" customFormat="1"/>
    <row r="8330" s="283" customFormat="1"/>
    <row r="8331" s="283" customFormat="1"/>
    <row r="8332" s="283" customFormat="1"/>
    <row r="8333" s="283" customFormat="1"/>
    <row r="8334" s="283" customFormat="1"/>
    <row r="8335" s="283" customFormat="1"/>
    <row r="8336" s="283" customFormat="1"/>
    <row r="8337" s="283" customFormat="1"/>
    <row r="8338" s="283" customFormat="1"/>
    <row r="8339" s="283" customFormat="1"/>
    <row r="8340" s="283" customFormat="1"/>
    <row r="8341" s="283" customFormat="1"/>
    <row r="8342" s="283" customFormat="1"/>
    <row r="8343" s="283" customFormat="1"/>
    <row r="8344" s="283" customFormat="1"/>
    <row r="8345" s="283" customFormat="1"/>
    <row r="8346" s="283" customFormat="1"/>
    <row r="8347" s="283" customFormat="1"/>
    <row r="8348" s="283" customFormat="1"/>
    <row r="8349" s="283" customFormat="1"/>
    <row r="8350" s="283" customFormat="1"/>
    <row r="8351" s="283" customFormat="1"/>
    <row r="8352" s="283" customFormat="1"/>
    <row r="8353" s="283" customFormat="1"/>
    <row r="8354" s="283" customFormat="1"/>
    <row r="8355" s="283" customFormat="1"/>
    <row r="8356" s="283" customFormat="1"/>
    <row r="8357" s="283" customFormat="1"/>
    <row r="8358" s="283" customFormat="1"/>
    <row r="8359" s="283" customFormat="1"/>
    <row r="8360" s="283" customFormat="1"/>
    <row r="8361" s="283" customFormat="1"/>
    <row r="8362" s="283" customFormat="1"/>
    <row r="8363" s="283" customFormat="1"/>
    <row r="8364" s="283" customFormat="1"/>
    <row r="8365" s="283" customFormat="1"/>
    <row r="8366" s="283" customFormat="1"/>
    <row r="8367" s="283" customFormat="1"/>
    <row r="8368" s="283" customFormat="1"/>
    <row r="8369" s="283" customFormat="1"/>
    <row r="8370" s="283" customFormat="1"/>
    <row r="8371" s="283" customFormat="1"/>
    <row r="8372" s="283" customFormat="1"/>
    <row r="8373" s="283" customFormat="1"/>
    <row r="8374" s="283" customFormat="1"/>
    <row r="8375" s="283" customFormat="1"/>
    <row r="8376" s="283" customFormat="1"/>
    <row r="8377" s="283" customFormat="1"/>
    <row r="8378" s="283" customFormat="1"/>
    <row r="8379" s="283" customFormat="1"/>
    <row r="8380" s="283" customFormat="1"/>
    <row r="8381" s="283" customFormat="1"/>
    <row r="8382" s="283" customFormat="1"/>
    <row r="8383" s="283" customFormat="1"/>
    <row r="8384" s="283" customFormat="1"/>
    <row r="8385" s="283" customFormat="1"/>
    <row r="8386" s="283" customFormat="1"/>
    <row r="8387" s="283" customFormat="1"/>
    <row r="8388" s="283" customFormat="1"/>
    <row r="8389" s="283" customFormat="1"/>
    <row r="8390" s="283" customFormat="1"/>
    <row r="8391" s="283" customFormat="1"/>
    <row r="8392" s="283" customFormat="1"/>
    <row r="8393" s="283" customFormat="1"/>
    <row r="8394" s="283" customFormat="1"/>
    <row r="8395" s="283" customFormat="1"/>
    <row r="8396" s="283" customFormat="1"/>
    <row r="8397" s="283" customFormat="1"/>
    <row r="8398" s="283" customFormat="1"/>
    <row r="8399" s="283" customFormat="1"/>
    <row r="8400" s="283" customFormat="1"/>
    <row r="8401" s="283" customFormat="1"/>
    <row r="8402" s="283" customFormat="1"/>
    <row r="8403" s="283" customFormat="1"/>
    <row r="8404" s="283" customFormat="1"/>
    <row r="8405" s="283" customFormat="1"/>
    <row r="8406" s="283" customFormat="1"/>
    <row r="8407" s="283" customFormat="1"/>
    <row r="8408" s="283" customFormat="1"/>
    <row r="8409" s="283" customFormat="1"/>
    <row r="8410" s="283" customFormat="1"/>
    <row r="8411" s="283" customFormat="1"/>
    <row r="8412" s="283" customFormat="1"/>
    <row r="8413" s="283" customFormat="1"/>
    <row r="8414" s="283" customFormat="1"/>
    <row r="8415" s="283" customFormat="1"/>
    <row r="8416" s="283" customFormat="1"/>
    <row r="8417" s="283" customFormat="1"/>
    <row r="8418" s="283" customFormat="1"/>
    <row r="8419" s="283" customFormat="1"/>
    <row r="8420" s="283" customFormat="1"/>
    <row r="8421" s="283" customFormat="1"/>
    <row r="8422" s="283" customFormat="1"/>
    <row r="8423" s="283" customFormat="1"/>
    <row r="8424" s="283" customFormat="1"/>
    <row r="8425" s="283" customFormat="1"/>
    <row r="8426" s="283" customFormat="1"/>
    <row r="8427" s="283" customFormat="1"/>
    <row r="8428" s="283" customFormat="1"/>
    <row r="8429" s="283" customFormat="1"/>
    <row r="8430" s="283" customFormat="1"/>
    <row r="8431" s="283" customFormat="1"/>
    <row r="8432" s="283" customFormat="1"/>
    <row r="8433" s="283" customFormat="1"/>
    <row r="8434" s="283" customFormat="1"/>
    <row r="8435" s="283" customFormat="1"/>
    <row r="8436" s="283" customFormat="1"/>
    <row r="8437" s="283" customFormat="1"/>
    <row r="8438" s="283" customFormat="1"/>
    <row r="8439" s="283" customFormat="1"/>
    <row r="8440" s="283" customFormat="1"/>
    <row r="8441" s="283" customFormat="1"/>
    <row r="8442" s="283" customFormat="1"/>
    <row r="8443" s="283" customFormat="1"/>
    <row r="8444" s="283" customFormat="1"/>
    <row r="8445" s="283" customFormat="1"/>
    <row r="8446" s="283" customFormat="1"/>
    <row r="8447" s="283" customFormat="1"/>
    <row r="8448" s="283" customFormat="1"/>
    <row r="8449" s="283" customFormat="1"/>
    <row r="8450" s="283" customFormat="1"/>
    <row r="8451" s="283" customFormat="1"/>
    <row r="8452" s="283" customFormat="1"/>
    <row r="8453" s="283" customFormat="1"/>
    <row r="8454" s="283" customFormat="1"/>
    <row r="8455" s="283" customFormat="1"/>
    <row r="8456" s="283" customFormat="1"/>
    <row r="8457" s="283" customFormat="1"/>
    <row r="8458" s="283" customFormat="1"/>
    <row r="8459" s="283" customFormat="1"/>
    <row r="8460" s="283" customFormat="1"/>
    <row r="8461" s="283" customFormat="1"/>
    <row r="8462" s="283" customFormat="1"/>
    <row r="8463" s="283" customFormat="1"/>
    <row r="8464" s="283" customFormat="1"/>
    <row r="8465" s="283" customFormat="1"/>
    <row r="8466" s="283" customFormat="1"/>
    <row r="8467" s="283" customFormat="1"/>
    <row r="8468" s="283" customFormat="1"/>
    <row r="8469" s="283" customFormat="1"/>
    <row r="8470" s="283" customFormat="1"/>
    <row r="8471" s="283" customFormat="1"/>
    <row r="8472" s="283" customFormat="1"/>
    <row r="8473" s="283" customFormat="1"/>
    <row r="8474" s="283" customFormat="1"/>
    <row r="8475" s="283" customFormat="1"/>
    <row r="8476" s="283" customFormat="1"/>
    <row r="8477" s="283" customFormat="1"/>
    <row r="8478" s="283" customFormat="1"/>
    <row r="8479" s="283" customFormat="1"/>
    <row r="8480" s="283" customFormat="1"/>
    <row r="8481" s="283" customFormat="1"/>
    <row r="8482" s="283" customFormat="1"/>
    <row r="8483" s="283" customFormat="1"/>
    <row r="8484" s="283" customFormat="1"/>
    <row r="8485" s="283" customFormat="1"/>
    <row r="8486" s="283" customFormat="1"/>
    <row r="8487" s="283" customFormat="1"/>
    <row r="8488" s="283" customFormat="1"/>
    <row r="8489" s="283" customFormat="1"/>
    <row r="8490" s="283" customFormat="1"/>
    <row r="8491" s="283" customFormat="1"/>
    <row r="8492" s="283" customFormat="1"/>
    <row r="8493" s="283" customFormat="1"/>
    <row r="8494" s="283" customFormat="1"/>
    <row r="8495" s="283" customFormat="1"/>
    <row r="8496" s="283" customFormat="1"/>
    <row r="8497" s="283" customFormat="1"/>
    <row r="8498" s="283" customFormat="1"/>
    <row r="8499" s="283" customFormat="1"/>
    <row r="8500" s="283" customFormat="1"/>
    <row r="8501" s="283" customFormat="1"/>
    <row r="8502" s="283" customFormat="1"/>
    <row r="8503" s="283" customFormat="1"/>
    <row r="8504" s="283" customFormat="1"/>
    <row r="8505" s="283" customFormat="1"/>
    <row r="8506" s="283" customFormat="1"/>
    <row r="8507" s="283" customFormat="1"/>
    <row r="8508" s="283" customFormat="1"/>
    <row r="8509" s="283" customFormat="1"/>
    <row r="8510" s="283" customFormat="1"/>
    <row r="8511" s="283" customFormat="1"/>
    <row r="8512" s="283" customFormat="1"/>
    <row r="8513" s="283" customFormat="1"/>
    <row r="8514" s="283" customFormat="1"/>
    <row r="8515" s="283" customFormat="1"/>
    <row r="8516" s="283" customFormat="1"/>
    <row r="8517" s="283" customFormat="1"/>
    <row r="8518" s="283" customFormat="1"/>
    <row r="8519" s="283" customFormat="1"/>
    <row r="8520" s="283" customFormat="1"/>
    <row r="8521" s="283" customFormat="1"/>
    <row r="8522" s="283" customFormat="1"/>
    <row r="8523" s="283" customFormat="1"/>
    <row r="8524" s="283" customFormat="1"/>
    <row r="8525" s="283" customFormat="1"/>
    <row r="8526" s="283" customFormat="1"/>
    <row r="8527" s="283" customFormat="1"/>
    <row r="8528" s="283" customFormat="1"/>
    <row r="8529" s="283" customFormat="1"/>
    <row r="8530" s="283" customFormat="1"/>
    <row r="8531" s="283" customFormat="1"/>
    <row r="8532" s="283" customFormat="1"/>
    <row r="8533" s="283" customFormat="1"/>
    <row r="8534" s="283" customFormat="1"/>
    <row r="8535" s="283" customFormat="1"/>
    <row r="8536" s="283" customFormat="1"/>
    <row r="8537" s="283" customFormat="1"/>
    <row r="8538" s="283" customFormat="1"/>
    <row r="8539" s="283" customFormat="1"/>
    <row r="8540" s="283" customFormat="1"/>
    <row r="8541" s="283" customFormat="1"/>
    <row r="8542" s="283" customFormat="1"/>
    <row r="8543" s="283" customFormat="1"/>
    <row r="8544" s="283" customFormat="1"/>
    <row r="8545" s="283" customFormat="1"/>
    <row r="8546" s="283" customFormat="1"/>
    <row r="8547" s="283" customFormat="1"/>
    <row r="8548" s="283" customFormat="1"/>
    <row r="8549" s="283" customFormat="1"/>
    <row r="8550" s="283" customFormat="1"/>
    <row r="8551" s="283" customFormat="1"/>
    <row r="8552" s="283" customFormat="1"/>
    <row r="8553" s="283" customFormat="1"/>
    <row r="8554" s="283" customFormat="1"/>
    <row r="8555" s="283" customFormat="1"/>
    <row r="8556" s="283" customFormat="1"/>
    <row r="8557" s="283" customFormat="1"/>
    <row r="8558" s="283" customFormat="1"/>
    <row r="8559" s="283" customFormat="1"/>
    <row r="8560" s="283" customFormat="1"/>
    <row r="8561" s="283" customFormat="1"/>
    <row r="8562" s="283" customFormat="1"/>
    <row r="8563" s="283" customFormat="1"/>
    <row r="8564" s="283" customFormat="1"/>
    <row r="8565" s="283" customFormat="1"/>
    <row r="8566" s="283" customFormat="1"/>
    <row r="8567" s="283" customFormat="1"/>
    <row r="8568" s="283" customFormat="1"/>
    <row r="8569" s="283" customFormat="1"/>
    <row r="8570" s="283" customFormat="1"/>
    <row r="8571" s="283" customFormat="1"/>
    <row r="8572" s="283" customFormat="1"/>
    <row r="8573" s="283" customFormat="1"/>
    <row r="8574" s="283" customFormat="1"/>
    <row r="8575" s="283" customFormat="1"/>
    <row r="8576" s="283" customFormat="1"/>
    <row r="8577" s="283" customFormat="1"/>
    <row r="8578" s="283" customFormat="1"/>
    <row r="8579" s="283" customFormat="1"/>
    <row r="8580" s="283" customFormat="1"/>
    <row r="8581" s="283" customFormat="1"/>
    <row r="8582" s="283" customFormat="1"/>
    <row r="8583" s="283" customFormat="1"/>
    <row r="8584" s="283" customFormat="1"/>
    <row r="8585" s="283" customFormat="1"/>
    <row r="8586" s="283" customFormat="1"/>
    <row r="8587" s="283" customFormat="1"/>
    <row r="8588" s="283" customFormat="1"/>
    <row r="8589" s="283" customFormat="1"/>
    <row r="8590" s="283" customFormat="1"/>
    <row r="8591" s="283" customFormat="1"/>
    <row r="8592" s="283" customFormat="1"/>
    <row r="8593" s="283" customFormat="1"/>
    <row r="8594" s="283" customFormat="1"/>
    <row r="8595" s="283" customFormat="1"/>
    <row r="8596" s="283" customFormat="1"/>
    <row r="8597" s="283" customFormat="1"/>
    <row r="8598" s="283" customFormat="1"/>
    <row r="8599" s="283" customFormat="1"/>
    <row r="8600" s="283" customFormat="1"/>
    <row r="8601" s="283" customFormat="1"/>
    <row r="8602" s="283" customFormat="1"/>
    <row r="8603" s="283" customFormat="1"/>
    <row r="8604" s="283" customFormat="1"/>
    <row r="8605" s="283" customFormat="1"/>
    <row r="8606" s="283" customFormat="1"/>
    <row r="8607" s="283" customFormat="1"/>
    <row r="8608" s="283" customFormat="1"/>
    <row r="8609" s="283" customFormat="1"/>
    <row r="8610" s="283" customFormat="1"/>
    <row r="8611" s="283" customFormat="1"/>
    <row r="8612" s="283" customFormat="1"/>
    <row r="8613" s="283" customFormat="1"/>
    <row r="8614" s="283" customFormat="1"/>
    <row r="8615" s="283" customFormat="1"/>
    <row r="8616" s="283" customFormat="1"/>
    <row r="8617" s="283" customFormat="1"/>
    <row r="8618" s="283" customFormat="1"/>
    <row r="8619" s="283" customFormat="1"/>
    <row r="8620" s="283" customFormat="1"/>
    <row r="8621" s="283" customFormat="1"/>
    <row r="8622" s="283" customFormat="1"/>
    <row r="8623" s="283" customFormat="1"/>
    <row r="8624" s="283" customFormat="1"/>
    <row r="8625" s="283" customFormat="1"/>
    <row r="8626" s="283" customFormat="1"/>
    <row r="8627" s="283" customFormat="1"/>
    <row r="8628" s="283" customFormat="1"/>
    <row r="8629" s="283" customFormat="1"/>
    <row r="8630" s="283" customFormat="1"/>
    <row r="8631" s="283" customFormat="1"/>
    <row r="8632" s="283" customFormat="1"/>
    <row r="8633" s="283" customFormat="1"/>
    <row r="8634" s="283" customFormat="1"/>
    <row r="8635" s="283" customFormat="1"/>
    <row r="8636" s="283" customFormat="1"/>
    <row r="8637" s="283" customFormat="1"/>
    <row r="8638" s="283" customFormat="1"/>
    <row r="8639" s="283" customFormat="1"/>
    <row r="8640" s="283" customFormat="1"/>
    <row r="8641" s="283" customFormat="1"/>
    <row r="8642" s="283" customFormat="1"/>
    <row r="8643" s="283" customFormat="1"/>
    <row r="8644" s="283" customFormat="1"/>
    <row r="8645" s="283" customFormat="1"/>
    <row r="8646" s="283" customFormat="1"/>
    <row r="8647" s="283" customFormat="1"/>
    <row r="8648" s="283" customFormat="1"/>
    <row r="8649" s="283" customFormat="1"/>
    <row r="8650" s="283" customFormat="1"/>
    <row r="8651" s="283" customFormat="1"/>
    <row r="8652" s="283" customFormat="1"/>
    <row r="8653" s="283" customFormat="1"/>
    <row r="8654" s="283" customFormat="1"/>
    <row r="8655" s="283" customFormat="1"/>
    <row r="8656" s="283" customFormat="1"/>
    <row r="8657" s="283" customFormat="1"/>
    <row r="8658" s="283" customFormat="1"/>
    <row r="8659" s="283" customFormat="1"/>
    <row r="8660" s="283" customFormat="1"/>
    <row r="8661" s="283" customFormat="1"/>
    <row r="8662" s="283" customFormat="1"/>
    <row r="8663" s="283" customFormat="1"/>
    <row r="8664" s="283" customFormat="1"/>
    <row r="8665" s="283" customFormat="1"/>
    <row r="8666" s="283" customFormat="1"/>
    <row r="8667" s="283" customFormat="1"/>
    <row r="8668" s="283" customFormat="1"/>
    <row r="8669" s="283" customFormat="1"/>
    <row r="8670" s="283" customFormat="1"/>
    <row r="8671" s="283" customFormat="1"/>
    <row r="8672" s="283" customFormat="1"/>
    <row r="8673" s="283" customFormat="1"/>
    <row r="8674" s="283" customFormat="1"/>
    <row r="8675" s="283" customFormat="1"/>
    <row r="8676" s="283" customFormat="1"/>
    <row r="8677" s="283" customFormat="1"/>
    <row r="8678" s="283" customFormat="1"/>
    <row r="8679" s="283" customFormat="1"/>
    <row r="8680" s="283" customFormat="1"/>
    <row r="8681" s="283" customFormat="1"/>
    <row r="8682" s="283" customFormat="1"/>
    <row r="8683" s="283" customFormat="1"/>
    <row r="8684" s="283" customFormat="1"/>
    <row r="8685" s="283" customFormat="1"/>
    <row r="8686" s="283" customFormat="1"/>
    <row r="8687" s="283" customFormat="1"/>
    <row r="8688" s="283" customFormat="1"/>
    <row r="8689" s="283" customFormat="1"/>
    <row r="8690" s="283" customFormat="1"/>
    <row r="8691" s="283" customFormat="1"/>
    <row r="8692" s="283" customFormat="1"/>
    <row r="8693" s="283" customFormat="1"/>
    <row r="8694" s="283" customFormat="1"/>
    <row r="8695" s="283" customFormat="1"/>
    <row r="8696" s="283" customFormat="1"/>
    <row r="8697" s="283" customFormat="1"/>
    <row r="8698" s="283" customFormat="1"/>
    <row r="8699" s="283" customFormat="1"/>
    <row r="8700" s="283" customFormat="1"/>
    <row r="8701" s="283" customFormat="1"/>
    <row r="8702" s="283" customFormat="1"/>
    <row r="8703" s="283" customFormat="1"/>
    <row r="8704" s="283" customFormat="1"/>
    <row r="8705" s="283" customFormat="1"/>
    <row r="8706" s="283" customFormat="1"/>
    <row r="8707" s="283" customFormat="1"/>
    <row r="8708" s="283" customFormat="1"/>
    <row r="8709" s="283" customFormat="1"/>
    <row r="8710" s="283" customFormat="1"/>
    <row r="8711" s="283" customFormat="1"/>
    <row r="8712" s="283" customFormat="1"/>
    <row r="8713" s="283" customFormat="1"/>
    <row r="8714" s="283" customFormat="1"/>
    <row r="8715" s="283" customFormat="1"/>
    <row r="8716" s="283" customFormat="1"/>
    <row r="8717" s="283" customFormat="1"/>
    <row r="8718" s="283" customFormat="1"/>
    <row r="8719" s="283" customFormat="1"/>
    <row r="8720" s="283" customFormat="1"/>
    <row r="8721" s="283" customFormat="1"/>
    <row r="8722" s="283" customFormat="1"/>
    <row r="8723" s="283" customFormat="1"/>
    <row r="8724" s="283" customFormat="1"/>
    <row r="8725" s="283" customFormat="1"/>
    <row r="8726" s="283" customFormat="1"/>
    <row r="8727" s="283" customFormat="1"/>
    <row r="8728" s="283" customFormat="1"/>
    <row r="8729" s="283" customFormat="1"/>
    <row r="8730" s="283" customFormat="1"/>
    <row r="8731" s="283" customFormat="1"/>
    <row r="8732" s="283" customFormat="1"/>
    <row r="8733" s="283" customFormat="1"/>
    <row r="8734" s="283" customFormat="1"/>
    <row r="8735" s="283" customFormat="1"/>
    <row r="8736" s="283" customFormat="1"/>
    <row r="8737" s="283" customFormat="1"/>
    <row r="8738" s="283" customFormat="1"/>
    <row r="8739" s="283" customFormat="1"/>
    <row r="8740" s="283" customFormat="1"/>
    <row r="8741" s="283" customFormat="1"/>
    <row r="8742" s="283" customFormat="1"/>
    <row r="8743" s="283" customFormat="1"/>
    <row r="8744" s="283" customFormat="1"/>
    <row r="8745" s="283" customFormat="1"/>
    <row r="8746" s="283" customFormat="1"/>
    <row r="8747" s="283" customFormat="1"/>
    <row r="8748" s="283" customFormat="1"/>
    <row r="8749" s="283" customFormat="1"/>
    <row r="8750" s="283" customFormat="1"/>
    <row r="8751" s="283" customFormat="1"/>
    <row r="8752" s="283" customFormat="1"/>
    <row r="8753" s="283" customFormat="1"/>
    <row r="8754" s="283" customFormat="1"/>
    <row r="8755" s="283" customFormat="1"/>
    <row r="8756" s="283" customFormat="1"/>
    <row r="8757" s="283" customFormat="1"/>
    <row r="8758" s="283" customFormat="1"/>
    <row r="8759" s="283" customFormat="1"/>
    <row r="8760" s="283" customFormat="1"/>
    <row r="8761" s="283" customFormat="1"/>
    <row r="8762" s="283" customFormat="1"/>
    <row r="8763" s="283" customFormat="1"/>
    <row r="8764" s="283" customFormat="1"/>
    <row r="8765" s="283" customFormat="1"/>
    <row r="8766" s="283" customFormat="1"/>
    <row r="8767" s="283" customFormat="1"/>
    <row r="8768" s="283" customFormat="1"/>
    <row r="8769" s="283" customFormat="1"/>
    <row r="8770" s="283" customFormat="1"/>
    <row r="8771" s="283" customFormat="1"/>
    <row r="8772" s="283" customFormat="1"/>
    <row r="8773" s="283" customFormat="1"/>
    <row r="8774" s="283" customFormat="1"/>
    <row r="8775" s="283" customFormat="1"/>
    <row r="8776" s="283" customFormat="1"/>
    <row r="8777" s="283" customFormat="1"/>
    <row r="8778" s="283" customFormat="1"/>
    <row r="8779" s="283" customFormat="1"/>
    <row r="8780" s="283" customFormat="1"/>
    <row r="8781" s="283" customFormat="1"/>
    <row r="8782" s="283" customFormat="1"/>
    <row r="8783" s="283" customFormat="1"/>
    <row r="8784" s="283" customFormat="1"/>
    <row r="8785" s="283" customFormat="1"/>
    <row r="8786" s="283" customFormat="1"/>
    <row r="8787" s="283" customFormat="1"/>
    <row r="8788" s="283" customFormat="1"/>
    <row r="8789" s="283" customFormat="1"/>
    <row r="8790" s="283" customFormat="1"/>
    <row r="8791" s="283" customFormat="1"/>
    <row r="8792" s="283" customFormat="1"/>
    <row r="8793" s="283" customFormat="1"/>
    <row r="8794" s="283" customFormat="1"/>
    <row r="8795" s="283" customFormat="1"/>
    <row r="8796" s="283" customFormat="1"/>
    <row r="8797" s="283" customFormat="1"/>
    <row r="8798" s="283" customFormat="1"/>
    <row r="8799" s="283" customFormat="1"/>
    <row r="8800" s="283" customFormat="1"/>
    <row r="8801" s="283" customFormat="1"/>
    <row r="8802" s="283" customFormat="1"/>
    <row r="8803" s="283" customFormat="1"/>
    <row r="8804" s="283" customFormat="1"/>
    <row r="8805" s="283" customFormat="1"/>
    <row r="8806" s="283" customFormat="1"/>
    <row r="8807" s="283" customFormat="1"/>
    <row r="8808" s="283" customFormat="1"/>
    <row r="8809" s="283" customFormat="1"/>
    <row r="8810" s="283" customFormat="1"/>
    <row r="8811" s="283" customFormat="1"/>
    <row r="8812" s="283" customFormat="1"/>
    <row r="8813" s="283" customFormat="1"/>
    <row r="8814" s="283" customFormat="1"/>
    <row r="8815" s="283" customFormat="1"/>
    <row r="8816" s="283" customFormat="1"/>
    <row r="8817" s="283" customFormat="1"/>
    <row r="8818" s="283" customFormat="1"/>
    <row r="8819" s="283" customFormat="1"/>
    <row r="8820" s="283" customFormat="1"/>
    <row r="8821" s="283" customFormat="1"/>
    <row r="8822" s="283" customFormat="1"/>
    <row r="8823" s="283" customFormat="1"/>
    <row r="8824" s="283" customFormat="1"/>
    <row r="8825" s="283" customFormat="1"/>
    <row r="8826" s="283" customFormat="1"/>
    <row r="8827" s="283" customFormat="1"/>
    <row r="8828" s="283" customFormat="1"/>
    <row r="8829" s="283" customFormat="1"/>
    <row r="8830" s="283" customFormat="1"/>
    <row r="8831" s="283" customFormat="1"/>
    <row r="8832" s="283" customFormat="1"/>
    <row r="8833" s="283" customFormat="1"/>
    <row r="8834" s="283" customFormat="1"/>
    <row r="8835" s="283" customFormat="1"/>
    <row r="8836" s="283" customFormat="1"/>
    <row r="8837" s="283" customFormat="1"/>
    <row r="8838" s="283" customFormat="1"/>
    <row r="8839" s="283" customFormat="1"/>
    <row r="8840" s="283" customFormat="1"/>
    <row r="8841" s="283" customFormat="1"/>
    <row r="8842" s="283" customFormat="1"/>
    <row r="8843" s="283" customFormat="1"/>
    <row r="8844" s="283" customFormat="1"/>
    <row r="8845" s="283" customFormat="1"/>
    <row r="8846" s="283" customFormat="1"/>
    <row r="8847" s="283" customFormat="1"/>
    <row r="8848" s="283" customFormat="1"/>
    <row r="8849" s="283" customFormat="1"/>
    <row r="8850" s="283" customFormat="1"/>
    <row r="8851" s="283" customFormat="1"/>
    <row r="8852" s="283" customFormat="1"/>
    <row r="8853" s="283" customFormat="1"/>
    <row r="8854" s="283" customFormat="1"/>
    <row r="8855" s="283" customFormat="1"/>
    <row r="8856" s="283" customFormat="1"/>
    <row r="8857" s="283" customFormat="1"/>
    <row r="8858" s="283" customFormat="1"/>
    <row r="8859" s="283" customFormat="1"/>
    <row r="8860" s="283" customFormat="1"/>
    <row r="8861" s="283" customFormat="1"/>
    <row r="8862" s="283" customFormat="1"/>
    <row r="8863" s="283" customFormat="1"/>
    <row r="8864" s="283" customFormat="1"/>
    <row r="8865" s="283" customFormat="1"/>
    <row r="8866" s="283" customFormat="1"/>
    <row r="8867" s="283" customFormat="1"/>
    <row r="8868" s="283" customFormat="1"/>
    <row r="8869" s="283" customFormat="1"/>
    <row r="8870" s="283" customFormat="1"/>
    <row r="8871" s="283" customFormat="1"/>
    <row r="8872" s="283" customFormat="1"/>
    <row r="8873" s="283" customFormat="1"/>
    <row r="8874" s="283" customFormat="1"/>
    <row r="8875" s="283" customFormat="1"/>
    <row r="8876" s="283" customFormat="1"/>
    <row r="8877" s="283" customFormat="1"/>
    <row r="8878" s="283" customFormat="1"/>
    <row r="8879" s="283" customFormat="1"/>
    <row r="8880" s="283" customFormat="1"/>
    <row r="8881" s="283" customFormat="1"/>
    <row r="8882" s="283" customFormat="1"/>
    <row r="8883" s="283" customFormat="1"/>
    <row r="8884" s="283" customFormat="1"/>
    <row r="8885" s="283" customFormat="1"/>
    <row r="8886" s="283" customFormat="1"/>
    <row r="8887" s="283" customFormat="1"/>
    <row r="8888" s="283" customFormat="1"/>
    <row r="8889" s="283" customFormat="1"/>
    <row r="8890" s="283" customFormat="1"/>
    <row r="8891" s="283" customFormat="1"/>
    <row r="8892" s="283" customFormat="1"/>
    <row r="8893" s="283" customFormat="1"/>
    <row r="8894" s="283" customFormat="1"/>
    <row r="8895" s="283" customFormat="1"/>
    <row r="8896" s="283" customFormat="1"/>
    <row r="8897" s="283" customFormat="1"/>
    <row r="8898" s="283" customFormat="1"/>
    <row r="8899" s="283" customFormat="1"/>
    <row r="8900" s="283" customFormat="1"/>
    <row r="8901" s="283" customFormat="1"/>
    <row r="8902" s="283" customFormat="1"/>
    <row r="8903" s="283" customFormat="1"/>
    <row r="8904" s="283" customFormat="1"/>
    <row r="8905" s="283" customFormat="1"/>
    <row r="8906" s="283" customFormat="1"/>
    <row r="8907" s="283" customFormat="1"/>
    <row r="8908" s="283" customFormat="1"/>
    <row r="8909" s="283" customFormat="1"/>
    <row r="8910" s="283" customFormat="1"/>
    <row r="8911" s="283" customFormat="1"/>
    <row r="8912" s="283" customFormat="1"/>
    <row r="8913" s="283" customFormat="1"/>
    <row r="8914" s="283" customFormat="1"/>
    <row r="8915" s="283" customFormat="1"/>
    <row r="8916" s="283" customFormat="1"/>
    <row r="8917" s="283" customFormat="1"/>
    <row r="8918" s="283" customFormat="1"/>
    <row r="8919" s="283" customFormat="1"/>
    <row r="8920" s="283" customFormat="1"/>
    <row r="8921" s="283" customFormat="1"/>
    <row r="8922" s="283" customFormat="1"/>
    <row r="8923" s="283" customFormat="1"/>
    <row r="8924" s="283" customFormat="1"/>
    <row r="8925" s="283" customFormat="1"/>
    <row r="8926" s="283" customFormat="1"/>
    <row r="8927" s="283" customFormat="1"/>
    <row r="8928" s="283" customFormat="1"/>
    <row r="8929" s="283" customFormat="1"/>
    <row r="8930" s="283" customFormat="1"/>
    <row r="8931" s="283" customFormat="1"/>
    <row r="8932" s="283" customFormat="1"/>
    <row r="8933" s="283" customFormat="1"/>
    <row r="8934" s="283" customFormat="1"/>
    <row r="8935" s="283" customFormat="1"/>
    <row r="8936" s="283" customFormat="1"/>
    <row r="8937" s="283" customFormat="1"/>
    <row r="8938" s="283" customFormat="1"/>
    <row r="8939" s="283" customFormat="1"/>
    <row r="8940" s="283" customFormat="1"/>
    <row r="8941" s="283" customFormat="1"/>
    <row r="8942" s="283" customFormat="1"/>
    <row r="8943" s="283" customFormat="1"/>
    <row r="8944" s="283" customFormat="1"/>
    <row r="8945" s="283" customFormat="1"/>
    <row r="8946" s="283" customFormat="1"/>
    <row r="8947" s="283" customFormat="1"/>
    <row r="8948" s="283" customFormat="1"/>
    <row r="8949" s="283" customFormat="1"/>
    <row r="8950" s="283" customFormat="1"/>
    <row r="8951" s="283" customFormat="1"/>
    <row r="8952" s="283" customFormat="1"/>
    <row r="8953" s="283" customFormat="1"/>
    <row r="8954" s="283" customFormat="1"/>
    <row r="8955" s="283" customFormat="1"/>
    <row r="8956" s="283" customFormat="1"/>
    <row r="8957" s="283" customFormat="1"/>
    <row r="8958" s="283" customFormat="1"/>
    <row r="8959" s="283" customFormat="1"/>
    <row r="8960" s="283" customFormat="1"/>
    <row r="8961" s="283" customFormat="1"/>
    <row r="8962" s="283" customFormat="1"/>
    <row r="8963" s="283" customFormat="1"/>
    <row r="8964" s="283" customFormat="1"/>
    <row r="8965" s="283" customFormat="1"/>
    <row r="8966" s="283" customFormat="1"/>
    <row r="8967" s="283" customFormat="1"/>
    <row r="8968" s="283" customFormat="1"/>
    <row r="8969" s="283" customFormat="1"/>
    <row r="8970" s="283" customFormat="1"/>
    <row r="8971" s="283" customFormat="1"/>
    <row r="8972" s="283" customFormat="1"/>
    <row r="8973" s="283" customFormat="1"/>
    <row r="8974" s="283" customFormat="1"/>
    <row r="8975" s="283" customFormat="1"/>
    <row r="8976" s="283" customFormat="1"/>
    <row r="8977" s="283" customFormat="1"/>
    <row r="8978" s="283" customFormat="1"/>
    <row r="8979" s="283" customFormat="1"/>
    <row r="8980" s="283" customFormat="1"/>
    <row r="8981" s="283" customFormat="1"/>
    <row r="8982" s="283" customFormat="1"/>
    <row r="8983" s="283" customFormat="1"/>
    <row r="8984" s="283" customFormat="1"/>
    <row r="8985" s="283" customFormat="1"/>
    <row r="8986" s="283" customFormat="1"/>
    <row r="8987" s="283" customFormat="1"/>
    <row r="8988" s="283" customFormat="1"/>
    <row r="8989" s="283" customFormat="1"/>
    <row r="8990" s="283" customFormat="1"/>
    <row r="8991" s="283" customFormat="1"/>
    <row r="8992" s="283" customFormat="1"/>
    <row r="8993" s="283" customFormat="1"/>
    <row r="8994" s="283" customFormat="1"/>
    <row r="8995" s="283" customFormat="1"/>
    <row r="8996" s="283" customFormat="1"/>
    <row r="8997" s="283" customFormat="1"/>
    <row r="8998" s="283" customFormat="1"/>
    <row r="8999" s="283" customFormat="1"/>
    <row r="9000" s="283" customFormat="1"/>
    <row r="9001" s="283" customFormat="1"/>
    <row r="9002" s="283" customFormat="1"/>
    <row r="9003" s="283" customFormat="1"/>
    <row r="9004" s="283" customFormat="1"/>
    <row r="9005" s="283" customFormat="1"/>
    <row r="9006" s="283" customFormat="1"/>
    <row r="9007" s="283" customFormat="1"/>
    <row r="9008" s="283" customFormat="1"/>
    <row r="9009" s="283" customFormat="1"/>
    <row r="9010" s="283" customFormat="1"/>
    <row r="9011" s="283" customFormat="1"/>
    <row r="9012" s="283" customFormat="1"/>
    <row r="9013" s="283" customFormat="1"/>
    <row r="9014" s="283" customFormat="1"/>
    <row r="9015" s="283" customFormat="1"/>
    <row r="9016" s="283" customFormat="1"/>
    <row r="9017" s="283" customFormat="1"/>
    <row r="9018" s="283" customFormat="1"/>
    <row r="9019" s="283" customFormat="1"/>
    <row r="9020" s="283" customFormat="1"/>
    <row r="9021" s="283" customFormat="1"/>
    <row r="9022" s="283" customFormat="1"/>
    <row r="9023" s="283" customFormat="1"/>
    <row r="9024" s="283" customFormat="1"/>
    <row r="9025" s="283" customFormat="1"/>
    <row r="9026" s="283" customFormat="1"/>
    <row r="9027" s="283" customFormat="1"/>
    <row r="9028" s="283" customFormat="1"/>
    <row r="9029" s="283" customFormat="1"/>
    <row r="9030" s="283" customFormat="1"/>
    <row r="9031" s="283" customFormat="1"/>
    <row r="9032" s="283" customFormat="1"/>
    <row r="9033" s="283" customFormat="1"/>
    <row r="9034" s="283" customFormat="1"/>
    <row r="9035" s="283" customFormat="1"/>
    <row r="9036" s="283" customFormat="1"/>
    <row r="9037" s="283" customFormat="1"/>
    <row r="9038" s="283" customFormat="1"/>
    <row r="9039" s="283" customFormat="1"/>
    <row r="9040" s="283" customFormat="1"/>
    <row r="9041" s="283" customFormat="1"/>
    <row r="9042" s="283" customFormat="1"/>
    <row r="9043" s="283" customFormat="1"/>
    <row r="9044" s="283" customFormat="1"/>
    <row r="9045" s="283" customFormat="1"/>
    <row r="9046" s="283" customFormat="1"/>
    <row r="9047" s="283" customFormat="1"/>
    <row r="9048" s="283" customFormat="1"/>
    <row r="9049" s="283" customFormat="1"/>
    <row r="9050" s="283" customFormat="1"/>
    <row r="9051" s="283" customFormat="1"/>
    <row r="9052" s="283" customFormat="1"/>
    <row r="9053" s="283" customFormat="1"/>
    <row r="9054" s="283" customFormat="1"/>
    <row r="9055" s="283" customFormat="1"/>
    <row r="9056" s="283" customFormat="1"/>
    <row r="9057" s="283" customFormat="1"/>
    <row r="9058" s="283" customFormat="1"/>
    <row r="9059" s="283" customFormat="1"/>
    <row r="9060" s="283" customFormat="1"/>
    <row r="9061" s="283" customFormat="1"/>
    <row r="9062" s="283" customFormat="1"/>
    <row r="9063" s="283" customFormat="1"/>
    <row r="9064" s="283" customFormat="1"/>
    <row r="9065" s="283" customFormat="1"/>
    <row r="9066" s="283" customFormat="1"/>
    <row r="9067" s="283" customFormat="1"/>
    <row r="9068" s="283" customFormat="1"/>
    <row r="9069" s="283" customFormat="1"/>
    <row r="9070" s="283" customFormat="1"/>
    <row r="9071" s="283" customFormat="1"/>
    <row r="9072" s="283" customFormat="1"/>
    <row r="9073" s="283" customFormat="1"/>
    <row r="9074" s="283" customFormat="1"/>
    <row r="9075" s="283" customFormat="1"/>
    <row r="9076" s="283" customFormat="1"/>
    <row r="9077" s="283" customFormat="1"/>
    <row r="9078" s="283" customFormat="1"/>
    <row r="9079" s="283" customFormat="1"/>
    <row r="9080" s="283" customFormat="1"/>
    <row r="9081" s="283" customFormat="1"/>
    <row r="9082" s="283" customFormat="1"/>
    <row r="9083" s="283" customFormat="1"/>
    <row r="9084" s="283" customFormat="1"/>
    <row r="9085" s="283" customFormat="1"/>
    <row r="9086" s="283" customFormat="1"/>
    <row r="9087" s="283" customFormat="1"/>
    <row r="9088" s="283" customFormat="1"/>
    <row r="9089" s="283" customFormat="1"/>
    <row r="9090" s="283" customFormat="1"/>
    <row r="9091" s="283" customFormat="1"/>
    <row r="9092" s="283" customFormat="1"/>
    <row r="9093" s="283" customFormat="1"/>
    <row r="9094" s="283" customFormat="1"/>
    <row r="9095" s="283" customFormat="1"/>
    <row r="9096" s="283" customFormat="1"/>
    <row r="9097" s="283" customFormat="1"/>
    <row r="9098" s="283" customFormat="1"/>
    <row r="9099" s="283" customFormat="1"/>
    <row r="9100" s="283" customFormat="1"/>
    <row r="9101" s="283" customFormat="1"/>
    <row r="9102" s="283" customFormat="1"/>
    <row r="9103" s="283" customFormat="1"/>
    <row r="9104" s="283" customFormat="1"/>
    <row r="9105" s="283" customFormat="1"/>
    <row r="9106" s="283" customFormat="1"/>
    <row r="9107" s="283" customFormat="1"/>
    <row r="9108" s="283" customFormat="1"/>
    <row r="9109" s="283" customFormat="1"/>
    <row r="9110" s="283" customFormat="1"/>
    <row r="9111" s="283" customFormat="1"/>
    <row r="9112" s="283" customFormat="1"/>
    <row r="9113" s="283" customFormat="1"/>
    <row r="9114" s="283" customFormat="1"/>
    <row r="9115" s="283" customFormat="1"/>
    <row r="9116" s="283" customFormat="1"/>
    <row r="9117" s="283" customFormat="1"/>
    <row r="9118" s="283" customFormat="1"/>
    <row r="9119" s="283" customFormat="1"/>
    <row r="9120" s="283" customFormat="1"/>
    <row r="9121" s="283" customFormat="1"/>
    <row r="9122" s="283" customFormat="1"/>
    <row r="9123" s="283" customFormat="1"/>
    <row r="9124" s="283" customFormat="1"/>
    <row r="9125" s="283" customFormat="1"/>
    <row r="9126" s="283" customFormat="1"/>
    <row r="9127" s="283" customFormat="1"/>
    <row r="9128" s="283" customFormat="1"/>
    <row r="9129" s="283" customFormat="1"/>
    <row r="9130" s="283" customFormat="1"/>
    <row r="9131" s="283" customFormat="1"/>
    <row r="9132" s="283" customFormat="1"/>
    <row r="9133" s="283" customFormat="1"/>
    <row r="9134" s="283" customFormat="1"/>
    <row r="9135" s="283" customFormat="1"/>
    <row r="9136" s="283" customFormat="1"/>
    <row r="9137" s="283" customFormat="1"/>
    <row r="9138" s="283" customFormat="1"/>
    <row r="9139" s="283" customFormat="1"/>
    <row r="9140" s="283" customFormat="1"/>
    <row r="9141" s="283" customFormat="1"/>
    <row r="9142" s="283" customFormat="1"/>
    <row r="9143" s="283" customFormat="1"/>
    <row r="9144" s="283" customFormat="1"/>
    <row r="9145" s="283" customFormat="1"/>
    <row r="9146" s="283" customFormat="1"/>
    <row r="9147" s="283" customFormat="1"/>
    <row r="9148" s="283" customFormat="1"/>
    <row r="9149" s="283" customFormat="1"/>
    <row r="9150" s="283" customFormat="1"/>
    <row r="9151" s="283" customFormat="1"/>
    <row r="9152" s="283" customFormat="1"/>
    <row r="9153" s="283" customFormat="1"/>
    <row r="9154" s="283" customFormat="1"/>
    <row r="9155" s="283" customFormat="1"/>
    <row r="9156" s="283" customFormat="1"/>
    <row r="9157" s="283" customFormat="1"/>
    <row r="9158" s="283" customFormat="1"/>
    <row r="9159" s="283" customFormat="1"/>
    <row r="9160" s="283" customFormat="1"/>
    <row r="9161" s="283" customFormat="1"/>
    <row r="9162" s="283" customFormat="1"/>
    <row r="9163" s="283" customFormat="1"/>
    <row r="9164" s="283" customFormat="1"/>
    <row r="9165" s="283" customFormat="1"/>
    <row r="9166" s="283" customFormat="1"/>
    <row r="9167" s="283" customFormat="1"/>
    <row r="9168" s="283" customFormat="1"/>
    <row r="9169" s="283" customFormat="1"/>
    <row r="9170" s="283" customFormat="1"/>
    <row r="9171" s="283" customFormat="1"/>
    <row r="9172" s="283" customFormat="1"/>
    <row r="9173" s="283" customFormat="1"/>
    <row r="9174" s="283" customFormat="1"/>
    <row r="9175" s="283" customFormat="1"/>
    <row r="9176" s="283" customFormat="1"/>
    <row r="9177" s="283" customFormat="1"/>
    <row r="9178" s="283" customFormat="1"/>
    <row r="9179" s="283" customFormat="1"/>
    <row r="9180" s="283" customFormat="1"/>
    <row r="9181" s="283" customFormat="1"/>
    <row r="9182" s="283" customFormat="1"/>
    <row r="9183" s="283" customFormat="1"/>
    <row r="9184" s="283" customFormat="1"/>
    <row r="9185" s="283" customFormat="1"/>
    <row r="9186" s="283" customFormat="1"/>
    <row r="9187" s="283" customFormat="1"/>
    <row r="9188" s="283" customFormat="1"/>
    <row r="9189" s="283" customFormat="1"/>
    <row r="9190" s="283" customFormat="1"/>
    <row r="9191" s="283" customFormat="1"/>
    <row r="9192" s="283" customFormat="1"/>
    <row r="9193" s="283" customFormat="1"/>
    <row r="9194" s="283" customFormat="1"/>
    <row r="9195" s="283" customFormat="1"/>
    <row r="9196" s="283" customFormat="1"/>
    <row r="9197" s="283" customFormat="1"/>
    <row r="9198" s="283" customFormat="1"/>
    <row r="9199" s="283" customFormat="1"/>
    <row r="9200" s="283" customFormat="1"/>
    <row r="9201" s="283" customFormat="1"/>
    <row r="9202" s="283" customFormat="1"/>
    <row r="9203" s="283" customFormat="1"/>
    <row r="9204" s="283" customFormat="1"/>
    <row r="9205" s="283" customFormat="1"/>
    <row r="9206" s="283" customFormat="1"/>
    <row r="9207" s="283" customFormat="1"/>
    <row r="9208" s="283" customFormat="1"/>
    <row r="9209" s="283" customFormat="1"/>
    <row r="9210" s="283" customFormat="1"/>
    <row r="9211" s="283" customFormat="1"/>
    <row r="9212" s="283" customFormat="1"/>
    <row r="9213" s="283" customFormat="1"/>
    <row r="9214" s="283" customFormat="1"/>
    <row r="9215" s="283" customFormat="1"/>
    <row r="9216" s="283" customFormat="1"/>
    <row r="9217" s="283" customFormat="1"/>
    <row r="9218" s="283" customFormat="1"/>
    <row r="9219" s="283" customFormat="1"/>
    <row r="9220" s="283" customFormat="1"/>
    <row r="9221" s="283" customFormat="1"/>
    <row r="9222" s="283" customFormat="1"/>
    <row r="9223" s="283" customFormat="1"/>
    <row r="9224" s="283" customFormat="1"/>
    <row r="9225" s="283" customFormat="1"/>
    <row r="9226" s="283" customFormat="1"/>
    <row r="9227" s="283" customFormat="1"/>
    <row r="9228" s="283" customFormat="1"/>
    <row r="9229" s="283" customFormat="1"/>
    <row r="9230" s="283" customFormat="1"/>
    <row r="9231" s="283" customFormat="1"/>
    <row r="9232" s="283" customFormat="1"/>
    <row r="9233" s="283" customFormat="1"/>
    <row r="9234" s="283" customFormat="1"/>
    <row r="9235" s="283" customFormat="1"/>
    <row r="9236" s="283" customFormat="1"/>
    <row r="9237" s="283" customFormat="1"/>
    <row r="9238" s="283" customFormat="1"/>
    <row r="9239" s="283" customFormat="1"/>
    <row r="9240" s="283" customFormat="1"/>
    <row r="9241" s="283" customFormat="1"/>
    <row r="9242" s="283" customFormat="1"/>
    <row r="9243" s="283" customFormat="1"/>
    <row r="9244" s="283" customFormat="1"/>
    <row r="9245" s="283" customFormat="1"/>
    <row r="9246" s="283" customFormat="1"/>
    <row r="9247" s="283" customFormat="1"/>
    <row r="9248" s="283" customFormat="1"/>
    <row r="9249" s="283" customFormat="1"/>
    <row r="9250" s="283" customFormat="1"/>
    <row r="9251" s="283" customFormat="1"/>
    <row r="9252" s="283" customFormat="1"/>
    <row r="9253" s="283" customFormat="1"/>
    <row r="9254" s="283" customFormat="1"/>
    <row r="9255" s="283" customFormat="1"/>
    <row r="9256" s="283" customFormat="1"/>
    <row r="9257" s="283" customFormat="1"/>
    <row r="9258" s="283" customFormat="1"/>
    <row r="9259" s="283" customFormat="1"/>
    <row r="9260" s="283" customFormat="1"/>
    <row r="9261" s="283" customFormat="1"/>
    <row r="9262" s="283" customFormat="1"/>
    <row r="9263" s="283" customFormat="1"/>
    <row r="9264" s="283" customFormat="1"/>
    <row r="9265" s="283" customFormat="1"/>
    <row r="9266" s="283" customFormat="1"/>
    <row r="9267" s="283" customFormat="1"/>
    <row r="9268" s="283" customFormat="1"/>
    <row r="9269" s="283" customFormat="1"/>
    <row r="9270" s="283" customFormat="1"/>
    <row r="9271" s="283" customFormat="1"/>
    <row r="9272" s="283" customFormat="1"/>
    <row r="9273" s="283" customFormat="1"/>
    <row r="9274" s="283" customFormat="1"/>
    <row r="9275" s="283" customFormat="1"/>
    <row r="9276" s="283" customFormat="1"/>
    <row r="9277" s="283" customFormat="1"/>
    <row r="9278" s="283" customFormat="1"/>
    <row r="9279" s="283" customFormat="1"/>
    <row r="9280" s="283" customFormat="1"/>
    <row r="9281" s="283" customFormat="1"/>
    <row r="9282" s="283" customFormat="1"/>
    <row r="9283" s="283" customFormat="1"/>
    <row r="9284" s="283" customFormat="1"/>
    <row r="9285" s="283" customFormat="1"/>
    <row r="9286" s="283" customFormat="1"/>
    <row r="9287" s="283" customFormat="1"/>
    <row r="9288" s="283" customFormat="1"/>
    <row r="9289" s="283" customFormat="1"/>
    <row r="9290" s="283" customFormat="1"/>
    <row r="9291" s="283" customFormat="1"/>
    <row r="9292" s="283" customFormat="1"/>
    <row r="9293" s="283" customFormat="1"/>
    <row r="9294" s="283" customFormat="1"/>
    <row r="9295" s="283" customFormat="1"/>
    <row r="9296" s="283" customFormat="1"/>
    <row r="9297" s="283" customFormat="1"/>
    <row r="9298" s="283" customFormat="1"/>
    <row r="9299" s="283" customFormat="1"/>
    <row r="9300" s="283" customFormat="1"/>
    <row r="9301" s="283" customFormat="1"/>
    <row r="9302" s="283" customFormat="1"/>
    <row r="9303" s="283" customFormat="1"/>
    <row r="9304" s="283" customFormat="1"/>
    <row r="9305" s="283" customFormat="1"/>
    <row r="9306" s="283" customFormat="1"/>
    <row r="9307" s="283" customFormat="1"/>
    <row r="9308" s="283" customFormat="1"/>
    <row r="9309" s="283" customFormat="1"/>
    <row r="9310" s="283" customFormat="1"/>
    <row r="9311" s="283" customFormat="1"/>
    <row r="9312" s="283" customFormat="1"/>
    <row r="9313" s="283" customFormat="1"/>
    <row r="9314" s="283" customFormat="1"/>
    <row r="9315" s="283" customFormat="1"/>
    <row r="9316" s="283" customFormat="1"/>
    <row r="9317" s="283" customFormat="1"/>
    <row r="9318" s="283" customFormat="1"/>
    <row r="9319" s="283" customFormat="1"/>
    <row r="9320" s="283" customFormat="1"/>
    <row r="9321" s="283" customFormat="1"/>
    <row r="9322" s="283" customFormat="1"/>
    <row r="9323" s="283" customFormat="1"/>
    <row r="9324" s="283" customFormat="1"/>
    <row r="9325" s="283" customFormat="1"/>
    <row r="9326" s="283" customFormat="1"/>
    <row r="9327" s="283" customFormat="1"/>
    <row r="9328" s="283" customFormat="1"/>
    <row r="9329" s="283" customFormat="1"/>
    <row r="9330" s="283" customFormat="1"/>
    <row r="9331" s="283" customFormat="1"/>
    <row r="9332" s="283" customFormat="1"/>
    <row r="9333" s="283" customFormat="1"/>
    <row r="9334" s="283" customFormat="1"/>
    <row r="9335" s="283" customFormat="1"/>
    <row r="9336" s="283" customFormat="1"/>
    <row r="9337" s="283" customFormat="1"/>
    <row r="9338" s="283" customFormat="1"/>
    <row r="9339" s="283" customFormat="1"/>
    <row r="9340" s="283" customFormat="1"/>
    <row r="9341" s="283" customFormat="1"/>
    <row r="9342" s="283" customFormat="1"/>
    <row r="9343" s="283" customFormat="1"/>
    <row r="9344" s="283" customFormat="1"/>
    <row r="9345" s="283" customFormat="1"/>
    <row r="9346" s="283" customFormat="1"/>
    <row r="9347" s="283" customFormat="1"/>
    <row r="9348" s="283" customFormat="1"/>
    <row r="9349" s="283" customFormat="1"/>
    <row r="9350" s="283" customFormat="1"/>
    <row r="9351" s="283" customFormat="1"/>
    <row r="9352" s="283" customFormat="1"/>
    <row r="9353" s="283" customFormat="1"/>
    <row r="9354" s="283" customFormat="1"/>
    <row r="9355" s="283" customFormat="1"/>
    <row r="9356" s="283" customFormat="1"/>
    <row r="9357" s="283" customFormat="1"/>
    <row r="9358" s="283" customFormat="1"/>
    <row r="9359" s="283" customFormat="1"/>
    <row r="9360" s="283" customFormat="1"/>
    <row r="9361" s="283" customFormat="1"/>
    <row r="9362" s="283" customFormat="1"/>
    <row r="9363" s="283" customFormat="1"/>
    <row r="9364" s="283" customFormat="1"/>
    <row r="9365" s="283" customFormat="1"/>
    <row r="9366" s="283" customFormat="1"/>
    <row r="9367" s="283" customFormat="1"/>
    <row r="9368" s="283" customFormat="1"/>
    <row r="9369" s="283" customFormat="1"/>
    <row r="9370" s="283" customFormat="1"/>
    <row r="9371" s="283" customFormat="1"/>
    <row r="9372" s="283" customFormat="1"/>
    <row r="9373" s="283" customFormat="1"/>
    <row r="9374" s="283" customFormat="1"/>
    <row r="9375" s="283" customFormat="1"/>
    <row r="9376" s="283" customFormat="1"/>
    <row r="9377" s="283" customFormat="1"/>
    <row r="9378" s="283" customFormat="1"/>
    <row r="9379" s="283" customFormat="1"/>
    <row r="9380" s="283" customFormat="1"/>
    <row r="9381" s="283" customFormat="1"/>
    <row r="9382" s="283" customFormat="1"/>
    <row r="9383" s="283" customFormat="1"/>
    <row r="9384" s="283" customFormat="1"/>
    <row r="9385" s="283" customFormat="1"/>
    <row r="9386" s="283" customFormat="1"/>
    <row r="9387" s="283" customFormat="1"/>
    <row r="9388" s="283" customFormat="1"/>
    <row r="9389" s="283" customFormat="1"/>
    <row r="9390" s="283" customFormat="1"/>
    <row r="9391" s="283" customFormat="1"/>
    <row r="9392" s="283" customFormat="1"/>
    <row r="9393" s="283" customFormat="1"/>
    <row r="9394" s="283" customFormat="1"/>
    <row r="9395" s="283" customFormat="1"/>
    <row r="9396" s="283" customFormat="1"/>
    <row r="9397" s="283" customFormat="1"/>
    <row r="9398" s="283" customFormat="1"/>
    <row r="9399" s="283" customFormat="1"/>
    <row r="9400" s="283" customFormat="1"/>
    <row r="9401" s="283" customFormat="1"/>
    <row r="9402" s="283" customFormat="1"/>
    <row r="9403" s="283" customFormat="1"/>
    <row r="9404" s="283" customFormat="1"/>
    <row r="9405" s="283" customFormat="1"/>
    <row r="9406" s="283" customFormat="1"/>
    <row r="9407" s="283" customFormat="1"/>
    <row r="9408" s="283" customFormat="1"/>
    <row r="9409" s="283" customFormat="1"/>
    <row r="9410" s="283" customFormat="1"/>
    <row r="9411" s="283" customFormat="1"/>
    <row r="9412" s="283" customFormat="1"/>
    <row r="9413" s="283" customFormat="1"/>
    <row r="9414" s="283" customFormat="1"/>
    <row r="9415" s="283" customFormat="1"/>
    <row r="9416" s="283" customFormat="1"/>
    <row r="9417" s="283" customFormat="1"/>
    <row r="9418" s="283" customFormat="1"/>
    <row r="9419" s="283" customFormat="1"/>
    <row r="9420" s="283" customFormat="1"/>
    <row r="9421" s="283" customFormat="1"/>
    <row r="9422" s="283" customFormat="1"/>
    <row r="9423" s="283" customFormat="1"/>
    <row r="9424" s="283" customFormat="1"/>
    <row r="9425" s="283" customFormat="1"/>
    <row r="9426" s="283" customFormat="1"/>
    <row r="9427" s="283" customFormat="1"/>
    <row r="9428" s="283" customFormat="1"/>
    <row r="9429" s="283" customFormat="1"/>
    <row r="9430" s="283" customFormat="1"/>
    <row r="9431" s="283" customFormat="1"/>
    <row r="9432" s="283" customFormat="1"/>
    <row r="9433" s="283" customFormat="1"/>
    <row r="9434" s="283" customFormat="1"/>
    <row r="9435" s="283" customFormat="1"/>
    <row r="9436" s="283" customFormat="1"/>
    <row r="9437" s="283" customFormat="1"/>
    <row r="9438" s="283" customFormat="1"/>
    <row r="9439" s="283" customFormat="1"/>
    <row r="9440" s="283" customFormat="1"/>
    <row r="9441" s="283" customFormat="1"/>
    <row r="9442" s="283" customFormat="1"/>
    <row r="9443" s="283" customFormat="1"/>
    <row r="9444" s="283" customFormat="1"/>
    <row r="9445" s="283" customFormat="1"/>
    <row r="9446" s="283" customFormat="1"/>
    <row r="9447" s="283" customFormat="1"/>
    <row r="9448" s="283" customFormat="1"/>
    <row r="9449" s="283" customFormat="1"/>
    <row r="9450" s="283" customFormat="1"/>
    <row r="9451" s="283" customFormat="1"/>
    <row r="9452" s="283" customFormat="1"/>
    <row r="9453" s="283" customFormat="1"/>
    <row r="9454" s="283" customFormat="1"/>
    <row r="9455" s="283" customFormat="1"/>
    <row r="9456" s="283" customFormat="1"/>
    <row r="9457" s="283" customFormat="1"/>
    <row r="9458" s="283" customFormat="1"/>
    <row r="9459" s="283" customFormat="1"/>
    <row r="9460" s="283" customFormat="1"/>
    <row r="9461" s="283" customFormat="1"/>
    <row r="9462" s="283" customFormat="1"/>
    <row r="9463" s="283" customFormat="1"/>
    <row r="9464" s="283" customFormat="1"/>
    <row r="9465" s="283" customFormat="1"/>
    <row r="9466" s="283" customFormat="1"/>
    <row r="9467" s="283" customFormat="1"/>
    <row r="9468" s="283" customFormat="1"/>
    <row r="9469" s="283" customFormat="1"/>
    <row r="9470" s="283" customFormat="1"/>
    <row r="9471" s="283" customFormat="1"/>
    <row r="9472" s="283" customFormat="1"/>
    <row r="9473" s="283" customFormat="1"/>
    <row r="9474" s="283" customFormat="1"/>
    <row r="9475" s="283" customFormat="1"/>
    <row r="9476" s="283" customFormat="1"/>
    <row r="9477" s="283" customFormat="1"/>
    <row r="9478" s="283" customFormat="1"/>
    <row r="9479" s="283" customFormat="1"/>
    <row r="9480" s="283" customFormat="1"/>
    <row r="9481" s="283" customFormat="1"/>
    <row r="9482" s="283" customFormat="1"/>
    <row r="9483" s="283" customFormat="1"/>
    <row r="9484" s="283" customFormat="1"/>
    <row r="9485" s="283" customFormat="1"/>
    <row r="9486" s="283" customFormat="1"/>
    <row r="9487" s="283" customFormat="1"/>
    <row r="9488" s="283" customFormat="1"/>
    <row r="9489" s="283" customFormat="1"/>
    <row r="9490" s="283" customFormat="1"/>
    <row r="9491" s="283" customFormat="1"/>
    <row r="9492" s="283" customFormat="1"/>
    <row r="9493" s="283" customFormat="1"/>
    <row r="9494" s="283" customFormat="1"/>
    <row r="9495" s="283" customFormat="1"/>
    <row r="9496" s="283" customFormat="1"/>
    <row r="9497" s="283" customFormat="1"/>
    <row r="9498" s="283" customFormat="1"/>
    <row r="9499" s="283" customFormat="1"/>
    <row r="9500" s="283" customFormat="1"/>
    <row r="9501" s="283" customFormat="1"/>
    <row r="9502" s="283" customFormat="1"/>
    <row r="9503" s="283" customFormat="1"/>
    <row r="9504" s="283" customFormat="1"/>
    <row r="9505" s="283" customFormat="1"/>
    <row r="9506" s="283" customFormat="1"/>
    <row r="9507" s="283" customFormat="1"/>
    <row r="9508" s="283" customFormat="1"/>
    <row r="9509" s="283" customFormat="1"/>
    <row r="9510" s="283" customFormat="1"/>
    <row r="9511" s="283" customFormat="1"/>
    <row r="9512" s="283" customFormat="1"/>
    <row r="9513" s="283" customFormat="1"/>
    <row r="9514" s="283" customFormat="1"/>
    <row r="9515" s="283" customFormat="1"/>
    <row r="9516" s="283" customFormat="1"/>
    <row r="9517" s="283" customFormat="1"/>
    <row r="9518" s="283" customFormat="1"/>
    <row r="9519" s="283" customFormat="1"/>
    <row r="9520" s="283" customFormat="1"/>
    <row r="9521" s="283" customFormat="1"/>
    <row r="9522" s="283" customFormat="1"/>
    <row r="9523" s="283" customFormat="1"/>
    <row r="9524" s="283" customFormat="1"/>
    <row r="9525" s="283" customFormat="1"/>
    <row r="9526" s="283" customFormat="1"/>
    <row r="9527" s="283" customFormat="1"/>
    <row r="9528" s="283" customFormat="1"/>
    <row r="9529" s="283" customFormat="1"/>
    <row r="9530" s="283" customFormat="1"/>
    <row r="9531" s="283" customFormat="1"/>
    <row r="9532" s="283" customFormat="1"/>
    <row r="9533" s="283" customFormat="1"/>
    <row r="9534" s="283" customFormat="1"/>
    <row r="9535" s="283" customFormat="1"/>
    <row r="9536" s="283" customFormat="1"/>
    <row r="9537" s="283" customFormat="1"/>
    <row r="9538" s="283" customFormat="1"/>
    <row r="9539" s="283" customFormat="1"/>
    <row r="9540" s="283" customFormat="1"/>
    <row r="9541" s="283" customFormat="1"/>
    <row r="9542" s="283" customFormat="1"/>
    <row r="9543" s="283" customFormat="1"/>
    <row r="9544" s="283" customFormat="1"/>
    <row r="9545" s="283" customFormat="1"/>
    <row r="9546" s="283" customFormat="1"/>
    <row r="9547" s="283" customFormat="1"/>
    <row r="9548" s="283" customFormat="1"/>
    <row r="9549" s="283" customFormat="1"/>
    <row r="9550" s="283" customFormat="1"/>
    <row r="9551" s="283" customFormat="1"/>
    <row r="9552" s="283" customFormat="1"/>
    <row r="9553" s="283" customFormat="1"/>
    <row r="9554" s="283" customFormat="1"/>
    <row r="9555" s="283" customFormat="1"/>
    <row r="9556" s="283" customFormat="1"/>
    <row r="9557" s="283" customFormat="1"/>
    <row r="9558" s="283" customFormat="1"/>
    <row r="9559" s="283" customFormat="1"/>
    <row r="9560" s="283" customFormat="1"/>
    <row r="9561" s="283" customFormat="1"/>
    <row r="9562" s="283" customFormat="1"/>
    <row r="9563" s="283" customFormat="1"/>
    <row r="9564" s="283" customFormat="1"/>
    <row r="9565" s="283" customFormat="1"/>
    <row r="9566" s="283" customFormat="1"/>
    <row r="9567" s="283" customFormat="1"/>
    <row r="9568" s="283" customFormat="1"/>
    <row r="9569" s="283" customFormat="1"/>
    <row r="9570" s="283" customFormat="1"/>
    <row r="9571" s="283" customFormat="1"/>
    <row r="9572" s="283" customFormat="1"/>
    <row r="9573" s="283" customFormat="1"/>
    <row r="9574" s="283" customFormat="1"/>
    <row r="9575" s="283" customFormat="1"/>
    <row r="9576" s="283" customFormat="1"/>
    <row r="9577" s="283" customFormat="1"/>
    <row r="9578" s="283" customFormat="1"/>
    <row r="9579" s="283" customFormat="1"/>
    <row r="9580" s="283" customFormat="1"/>
    <row r="9581" s="283" customFormat="1"/>
    <row r="9582" s="283" customFormat="1"/>
    <row r="9583" s="283" customFormat="1"/>
    <row r="9584" s="283" customFormat="1"/>
    <row r="9585" s="283" customFormat="1"/>
    <row r="9586" s="283" customFormat="1"/>
    <row r="9587" s="283" customFormat="1"/>
    <row r="9588" s="283" customFormat="1"/>
    <row r="9589" s="283" customFormat="1"/>
    <row r="9590" s="283" customFormat="1"/>
    <row r="9591" s="283" customFormat="1"/>
    <row r="9592" s="283" customFormat="1"/>
    <row r="9593" s="283" customFormat="1"/>
    <row r="9594" s="283" customFormat="1"/>
    <row r="9595" s="283" customFormat="1"/>
    <row r="9596" s="283" customFormat="1"/>
    <row r="9597" s="283" customFormat="1"/>
    <row r="9598" s="283" customFormat="1"/>
    <row r="9599" s="283" customFormat="1"/>
    <row r="9600" s="283" customFormat="1"/>
    <row r="9601" s="283" customFormat="1"/>
    <row r="9602" s="283" customFormat="1"/>
    <row r="9603" s="283" customFormat="1"/>
    <row r="9604" s="283" customFormat="1"/>
    <row r="9605" s="283" customFormat="1"/>
    <row r="9606" s="283" customFormat="1"/>
    <row r="9607" s="283" customFormat="1"/>
    <row r="9608" s="283" customFormat="1"/>
    <row r="9609" s="283" customFormat="1"/>
    <row r="9610" s="283" customFormat="1"/>
    <row r="9611" s="283" customFormat="1"/>
    <row r="9612" s="283" customFormat="1"/>
    <row r="9613" s="283" customFormat="1"/>
    <row r="9614" s="283" customFormat="1"/>
    <row r="9615" s="283" customFormat="1"/>
    <row r="9616" s="283" customFormat="1"/>
    <row r="9617" s="283" customFormat="1"/>
    <row r="9618" s="283" customFormat="1"/>
    <row r="9619" s="283" customFormat="1"/>
    <row r="9620" s="283" customFormat="1"/>
    <row r="9621" s="283" customFormat="1"/>
    <row r="9622" s="283" customFormat="1"/>
    <row r="9623" s="283" customFormat="1"/>
    <row r="9624" s="283" customFormat="1"/>
    <row r="9625" s="283" customFormat="1"/>
    <row r="9626" s="283" customFormat="1"/>
    <row r="9627" s="283" customFormat="1"/>
    <row r="9628" s="283" customFormat="1"/>
    <row r="9629" s="283" customFormat="1"/>
    <row r="9630" s="283" customFormat="1"/>
    <row r="9631" s="283" customFormat="1"/>
    <row r="9632" s="283" customFormat="1"/>
    <row r="9633" s="283" customFormat="1"/>
    <row r="9634" s="283" customFormat="1"/>
    <row r="9635" s="283" customFormat="1"/>
    <row r="9636" s="283" customFormat="1"/>
    <row r="9637" s="283" customFormat="1"/>
    <row r="9638" s="283" customFormat="1"/>
    <row r="9639" s="283" customFormat="1"/>
    <row r="9640" s="283" customFormat="1"/>
    <row r="9641" s="283" customFormat="1"/>
    <row r="9642" s="283" customFormat="1"/>
    <row r="9643" s="283" customFormat="1"/>
    <row r="9644" s="283" customFormat="1"/>
    <row r="9645" s="283" customFormat="1"/>
    <row r="9646" s="283" customFormat="1"/>
    <row r="9647" s="283" customFormat="1"/>
    <row r="9648" s="283" customFormat="1"/>
    <row r="9649" s="283" customFormat="1"/>
    <row r="9650" s="283" customFormat="1"/>
    <row r="9651" s="283" customFormat="1"/>
    <row r="9652" s="283" customFormat="1"/>
    <row r="9653" s="283" customFormat="1"/>
    <row r="9654" s="283" customFormat="1"/>
    <row r="9655" s="283" customFormat="1"/>
    <row r="9656" s="283" customFormat="1"/>
    <row r="9657" s="283" customFormat="1"/>
    <row r="9658" s="283" customFormat="1"/>
    <row r="9659" s="283" customFormat="1"/>
    <row r="9660" s="283" customFormat="1"/>
    <row r="9661" s="283" customFormat="1"/>
    <row r="9662" s="283" customFormat="1"/>
    <row r="9663" s="283" customFormat="1"/>
    <row r="9664" s="283" customFormat="1"/>
    <row r="9665" s="283" customFormat="1"/>
    <row r="9666" s="283" customFormat="1"/>
    <row r="9667" s="283" customFormat="1"/>
    <row r="9668" s="283" customFormat="1"/>
    <row r="9669" s="283" customFormat="1"/>
    <row r="9670" s="283" customFormat="1"/>
    <row r="9671" s="283" customFormat="1"/>
    <row r="9672" s="283" customFormat="1"/>
    <row r="9673" s="283" customFormat="1"/>
    <row r="9674" s="283" customFormat="1"/>
    <row r="9675" s="283" customFormat="1"/>
    <row r="9676" s="283" customFormat="1"/>
    <row r="9677" s="283" customFormat="1"/>
    <row r="9678" s="283" customFormat="1"/>
    <row r="9679" s="283" customFormat="1"/>
    <row r="9680" s="283" customFormat="1"/>
    <row r="9681" s="283" customFormat="1"/>
    <row r="9682" s="283" customFormat="1"/>
    <row r="9683" s="283" customFormat="1"/>
    <row r="9684" s="283" customFormat="1"/>
    <row r="9685" s="283" customFormat="1"/>
    <row r="9686" s="283" customFormat="1"/>
    <row r="9687" s="283" customFormat="1"/>
    <row r="9688" s="283" customFormat="1"/>
    <row r="9689" s="283" customFormat="1"/>
    <row r="9690" s="283" customFormat="1"/>
    <row r="9691" s="283" customFormat="1"/>
    <row r="9692" s="283" customFormat="1"/>
    <row r="9693" s="283" customFormat="1"/>
    <row r="9694" s="283" customFormat="1"/>
    <row r="9695" s="283" customFormat="1"/>
    <row r="9696" s="283" customFormat="1"/>
    <row r="9697" s="283" customFormat="1"/>
    <row r="9698" s="283" customFormat="1"/>
    <row r="9699" s="283" customFormat="1"/>
    <row r="9700" s="283" customFormat="1"/>
    <row r="9701" s="283" customFormat="1"/>
    <row r="9702" s="283" customFormat="1"/>
    <row r="9703" s="283" customFormat="1"/>
    <row r="9704" s="283" customFormat="1"/>
    <row r="9705" s="283" customFormat="1"/>
    <row r="9706" s="283" customFormat="1"/>
    <row r="9707" s="283" customFormat="1"/>
    <row r="9708" s="283" customFormat="1"/>
    <row r="9709" s="283" customFormat="1"/>
    <row r="9710" s="283" customFormat="1"/>
    <row r="9711" s="283" customFormat="1"/>
    <row r="9712" s="283" customFormat="1"/>
    <row r="9713" s="283" customFormat="1"/>
    <row r="9714" s="283" customFormat="1"/>
    <row r="9715" s="283" customFormat="1"/>
    <row r="9716" s="283" customFormat="1"/>
    <row r="9717" s="283" customFormat="1"/>
    <row r="9718" s="283" customFormat="1"/>
    <row r="9719" s="283" customFormat="1"/>
    <row r="9720" s="283" customFormat="1"/>
    <row r="9721" s="283" customFormat="1"/>
    <row r="9722" s="283" customFormat="1"/>
    <row r="9723" s="283" customFormat="1"/>
    <row r="9724" s="283" customFormat="1"/>
    <row r="9725" s="283" customFormat="1"/>
    <row r="9726" s="283" customFormat="1"/>
    <row r="9727" s="283" customFormat="1"/>
    <row r="9728" s="283" customFormat="1"/>
    <row r="9729" s="283" customFormat="1"/>
    <row r="9730" s="283" customFormat="1"/>
    <row r="9731" s="283" customFormat="1"/>
    <row r="9732" s="283" customFormat="1"/>
    <row r="9733" s="283" customFormat="1"/>
    <row r="9734" s="283" customFormat="1"/>
    <row r="9735" s="283" customFormat="1"/>
    <row r="9736" s="283" customFormat="1"/>
    <row r="9737" s="283" customFormat="1"/>
    <row r="9738" s="283" customFormat="1"/>
    <row r="9739" s="283" customFormat="1"/>
    <row r="9740" s="283" customFormat="1"/>
    <row r="9741" s="283" customFormat="1"/>
    <row r="9742" s="283" customFormat="1"/>
    <row r="9743" s="283" customFormat="1"/>
    <row r="9744" s="283" customFormat="1"/>
    <row r="9745" s="283" customFormat="1"/>
    <row r="9746" s="283" customFormat="1"/>
    <row r="9747" s="283" customFormat="1"/>
    <row r="9748" s="283" customFormat="1"/>
    <row r="9749" s="283" customFormat="1"/>
    <row r="9750" s="283" customFormat="1"/>
    <row r="9751" s="283" customFormat="1"/>
    <row r="9752" s="283" customFormat="1"/>
    <row r="9753" s="283" customFormat="1"/>
    <row r="9754" s="283" customFormat="1"/>
    <row r="9755" s="283" customFormat="1"/>
    <row r="9756" s="283" customFormat="1"/>
    <row r="9757" s="283" customFormat="1"/>
    <row r="9758" s="283" customFormat="1"/>
    <row r="9759" s="283" customFormat="1"/>
    <row r="9760" s="283" customFormat="1"/>
    <row r="9761" s="283" customFormat="1"/>
    <row r="9762" s="283" customFormat="1"/>
    <row r="9763" s="283" customFormat="1"/>
    <row r="9764" s="283" customFormat="1"/>
    <row r="9765" s="283" customFormat="1"/>
    <row r="9766" s="283" customFormat="1"/>
    <row r="9767" s="283" customFormat="1"/>
    <row r="9768" s="283" customFormat="1"/>
    <row r="9769" s="283" customFormat="1"/>
    <row r="9770" s="283" customFormat="1"/>
    <row r="9771" s="283" customFormat="1"/>
    <row r="9772" s="283" customFormat="1"/>
    <row r="9773" s="283" customFormat="1"/>
    <row r="9774" s="283" customFormat="1"/>
    <row r="9775" s="283" customFormat="1"/>
    <row r="9776" s="283" customFormat="1"/>
    <row r="9777" s="283" customFormat="1"/>
    <row r="9778" s="283" customFormat="1"/>
    <row r="9779" s="283" customFormat="1"/>
    <row r="9780" s="283" customFormat="1"/>
    <row r="9781" s="283" customFormat="1"/>
    <row r="9782" s="283" customFormat="1"/>
    <row r="9783" s="283" customFormat="1"/>
    <row r="9784" s="283" customFormat="1"/>
    <row r="9785" s="283" customFormat="1"/>
    <row r="9786" s="283" customFormat="1"/>
    <row r="9787" s="283" customFormat="1"/>
    <row r="9788" s="283" customFormat="1"/>
    <row r="9789" s="283" customFormat="1"/>
    <row r="9790" s="283" customFormat="1"/>
    <row r="9791" s="283" customFormat="1"/>
    <row r="9792" s="283" customFormat="1"/>
    <row r="9793" s="283" customFormat="1"/>
    <row r="9794" s="283" customFormat="1"/>
    <row r="9795" s="283" customFormat="1"/>
    <row r="9796" s="283" customFormat="1"/>
    <row r="9797" s="283" customFormat="1"/>
    <row r="9798" s="283" customFormat="1"/>
    <row r="9799" s="283" customFormat="1"/>
    <row r="9800" s="283" customFormat="1"/>
    <row r="9801" s="283" customFormat="1"/>
    <row r="9802" s="283" customFormat="1"/>
    <row r="9803" s="283" customFormat="1"/>
    <row r="9804" s="283" customFormat="1"/>
    <row r="9805" s="283" customFormat="1"/>
    <row r="9806" s="283" customFormat="1"/>
    <row r="9807" s="283" customFormat="1"/>
    <row r="9808" s="283" customFormat="1"/>
    <row r="9809" s="283" customFormat="1"/>
    <row r="9810" s="283" customFormat="1"/>
    <row r="9811" s="283" customFormat="1"/>
    <row r="9812" s="283" customFormat="1"/>
    <row r="9813" s="283" customFormat="1"/>
    <row r="9814" s="283" customFormat="1"/>
    <row r="9815" s="283" customFormat="1"/>
    <row r="9816" s="283" customFormat="1"/>
    <row r="9817" s="283" customFormat="1"/>
    <row r="9818" s="283" customFormat="1"/>
    <row r="9819" s="283" customFormat="1"/>
    <row r="9820" s="283" customFormat="1"/>
    <row r="9821" s="283" customFormat="1"/>
    <row r="9822" s="283" customFormat="1"/>
    <row r="9823" s="283" customFormat="1"/>
    <row r="9824" s="283" customFormat="1"/>
    <row r="9825" s="283" customFormat="1"/>
    <row r="9826" s="283" customFormat="1"/>
    <row r="9827" s="283" customFormat="1"/>
    <row r="9828" s="283" customFormat="1"/>
    <row r="9829" s="283" customFormat="1"/>
    <row r="9830" s="283" customFormat="1"/>
    <row r="9831" s="283" customFormat="1"/>
    <row r="9832" s="283" customFormat="1"/>
    <row r="9833" s="283" customFormat="1"/>
    <row r="9834" s="283" customFormat="1"/>
    <row r="9835" s="283" customFormat="1"/>
    <row r="9836" s="283" customFormat="1"/>
    <row r="9837" s="283" customFormat="1"/>
    <row r="9838" s="283" customFormat="1"/>
    <row r="9839" s="283" customFormat="1"/>
    <row r="9840" s="283" customFormat="1"/>
    <row r="9841" s="283" customFormat="1"/>
    <row r="9842" s="283" customFormat="1"/>
    <row r="9843" s="283" customFormat="1"/>
    <row r="9844" s="283" customFormat="1"/>
    <row r="9845" s="283" customFormat="1"/>
    <row r="9846" s="283" customFormat="1"/>
    <row r="9847" s="283" customFormat="1"/>
    <row r="9848" s="283" customFormat="1"/>
    <row r="9849" s="283" customFormat="1"/>
    <row r="9850" s="283" customFormat="1"/>
    <row r="9851" s="283" customFormat="1"/>
    <row r="9852" s="283" customFormat="1"/>
    <row r="9853" s="283" customFormat="1"/>
    <row r="9854" s="283" customFormat="1"/>
    <row r="9855" s="283" customFormat="1"/>
    <row r="9856" s="283" customFormat="1"/>
    <row r="9857" s="283" customFormat="1"/>
    <row r="9858" s="283" customFormat="1"/>
    <row r="9859" s="283" customFormat="1"/>
    <row r="9860" s="283" customFormat="1"/>
    <row r="9861" s="283" customFormat="1"/>
    <row r="9862" s="283" customFormat="1"/>
    <row r="9863" s="283" customFormat="1"/>
    <row r="9864" s="283" customFormat="1"/>
    <row r="9865" s="283" customFormat="1"/>
    <row r="9866" s="283" customFormat="1"/>
    <row r="9867" s="283" customFormat="1"/>
    <row r="9868" s="283" customFormat="1"/>
    <row r="9869" s="283" customFormat="1"/>
    <row r="9870" s="283" customFormat="1"/>
    <row r="9871" s="283" customFormat="1"/>
    <row r="9872" s="283" customFormat="1"/>
    <row r="9873" s="283" customFormat="1"/>
    <row r="9874" s="283" customFormat="1"/>
    <row r="9875" s="283" customFormat="1"/>
    <row r="9876" s="283" customFormat="1"/>
    <row r="9877" s="283" customFormat="1"/>
    <row r="9878" s="283" customFormat="1"/>
    <row r="9879" s="283" customFormat="1"/>
    <row r="9880" s="283" customFormat="1"/>
    <row r="9881" s="283" customFormat="1"/>
    <row r="9882" s="283" customFormat="1"/>
    <row r="9883" s="283" customFormat="1"/>
    <row r="9884" s="283" customFormat="1"/>
    <row r="9885" s="283" customFormat="1"/>
    <row r="9886" s="283" customFormat="1"/>
    <row r="9887" s="283" customFormat="1"/>
    <row r="9888" s="283" customFormat="1"/>
    <row r="9889" s="283" customFormat="1"/>
    <row r="9890" s="283" customFormat="1"/>
    <row r="9891" s="283" customFormat="1"/>
    <row r="9892" s="283" customFormat="1"/>
    <row r="9893" s="283" customFormat="1"/>
    <row r="9894" s="283" customFormat="1"/>
    <row r="9895" s="283" customFormat="1"/>
    <row r="9896" s="283" customFormat="1"/>
    <row r="9897" s="283" customFormat="1"/>
    <row r="9898" s="283" customFormat="1"/>
    <row r="9899" s="283" customFormat="1"/>
    <row r="9900" s="283" customFormat="1"/>
    <row r="9901" s="283" customFormat="1"/>
    <row r="9902" s="283" customFormat="1"/>
    <row r="9903" s="283" customFormat="1"/>
    <row r="9904" s="283" customFormat="1"/>
    <row r="9905" s="283" customFormat="1"/>
    <row r="9906" s="283" customFormat="1"/>
    <row r="9907" s="283" customFormat="1"/>
    <row r="9908" s="283" customFormat="1"/>
    <row r="9909" s="283" customFormat="1"/>
    <row r="9910" s="283" customFormat="1"/>
    <row r="9911" s="283" customFormat="1"/>
    <row r="9912" s="283" customFormat="1"/>
    <row r="9913" s="283" customFormat="1"/>
    <row r="9914" s="283" customFormat="1"/>
    <row r="9915" s="283" customFormat="1"/>
    <row r="9916" s="283" customFormat="1"/>
    <row r="9917" s="283" customFormat="1"/>
    <row r="9918" s="283" customFormat="1"/>
    <row r="9919" s="283" customFormat="1"/>
    <row r="9920" s="283" customFormat="1"/>
    <row r="9921" s="283" customFormat="1"/>
    <row r="9922" s="283" customFormat="1"/>
    <row r="9923" s="283" customFormat="1"/>
    <row r="9924" s="283" customFormat="1"/>
    <row r="9925" s="283" customFormat="1"/>
    <row r="9926" s="283" customFormat="1"/>
    <row r="9927" s="283" customFormat="1"/>
    <row r="9928" s="283" customFormat="1"/>
    <row r="9929" s="283" customFormat="1"/>
    <row r="9930" s="283" customFormat="1"/>
    <row r="9931" s="283" customFormat="1"/>
    <row r="9932" s="283" customFormat="1"/>
    <row r="9933" s="283" customFormat="1"/>
    <row r="9934" s="283" customFormat="1"/>
    <row r="9935" s="283" customFormat="1"/>
    <row r="9936" s="283" customFormat="1"/>
    <row r="9937" s="283" customFormat="1"/>
    <row r="9938" s="283" customFormat="1"/>
    <row r="9939" s="283" customFormat="1"/>
    <row r="9940" s="283" customFormat="1"/>
    <row r="9941" s="283" customFormat="1"/>
    <row r="9942" s="283" customFormat="1"/>
    <row r="9943" s="283" customFormat="1"/>
    <row r="9944" s="283" customFormat="1"/>
    <row r="9945" s="283" customFormat="1"/>
    <row r="9946" s="283" customFormat="1"/>
    <row r="9947" s="283" customFormat="1"/>
    <row r="9948" s="283" customFormat="1"/>
    <row r="9949" s="283" customFormat="1"/>
    <row r="9950" s="283" customFormat="1"/>
    <row r="9951" s="283" customFormat="1"/>
    <row r="9952" s="283" customFormat="1"/>
    <row r="9953" s="283" customFormat="1"/>
    <row r="9954" s="283" customFormat="1"/>
    <row r="9955" s="283" customFormat="1"/>
    <row r="9956" s="283" customFormat="1"/>
    <row r="9957" s="283" customFormat="1"/>
    <row r="9958" s="283" customFormat="1"/>
    <row r="9959" s="283" customFormat="1"/>
    <row r="9960" s="283" customFormat="1"/>
    <row r="9961" s="283" customFormat="1"/>
    <row r="9962" s="283" customFormat="1"/>
    <row r="9963" s="283" customFormat="1"/>
    <row r="9964" s="283" customFormat="1"/>
    <row r="9965" s="283" customFormat="1"/>
    <row r="9966" s="283" customFormat="1"/>
    <row r="9967" s="283" customFormat="1"/>
    <row r="9968" s="283" customFormat="1"/>
    <row r="9969" s="283" customFormat="1"/>
    <row r="9970" s="283" customFormat="1"/>
    <row r="9971" s="283" customFormat="1"/>
    <row r="9972" s="283" customFormat="1"/>
    <row r="9973" s="283" customFormat="1"/>
    <row r="9974" s="283" customFormat="1"/>
    <row r="9975" s="283" customFormat="1"/>
    <row r="9976" s="283" customFormat="1"/>
    <row r="9977" s="283" customFormat="1"/>
    <row r="9978" s="283" customFormat="1"/>
    <row r="9979" s="283" customFormat="1"/>
    <row r="9980" s="283" customFormat="1"/>
    <row r="9981" s="283" customFormat="1"/>
    <row r="9982" s="283" customFormat="1"/>
    <row r="9983" s="283" customFormat="1"/>
    <row r="9984" s="283" customFormat="1"/>
    <row r="9985" s="283" customFormat="1"/>
    <row r="9986" s="283" customFormat="1"/>
    <row r="9987" s="283" customFormat="1"/>
    <row r="9988" s="283" customFormat="1"/>
    <row r="9989" s="283" customFormat="1"/>
    <row r="9990" s="283" customFormat="1"/>
    <row r="9991" s="283" customFormat="1"/>
    <row r="9992" s="283" customFormat="1"/>
    <row r="9993" s="283" customFormat="1"/>
    <row r="9994" s="283" customFormat="1"/>
    <row r="9995" s="283" customFormat="1"/>
    <row r="9996" s="283" customFormat="1"/>
    <row r="9997" s="283" customFormat="1"/>
    <row r="9998" s="283" customFormat="1"/>
    <row r="9999" s="283" customFormat="1"/>
    <row r="10000" s="283" customFormat="1"/>
    <row r="10001" s="283" customFormat="1"/>
    <row r="10002" s="283" customFormat="1"/>
    <row r="10003" s="283" customFormat="1"/>
    <row r="10004" s="283" customFormat="1"/>
    <row r="10005" s="283" customFormat="1"/>
    <row r="10006" s="283" customFormat="1"/>
    <row r="10007" s="283" customFormat="1"/>
    <row r="10008" s="283" customFormat="1"/>
    <row r="10009" s="283" customFormat="1"/>
    <row r="10010" s="283" customFormat="1"/>
    <row r="10011" s="283" customFormat="1"/>
    <row r="10012" s="283" customFormat="1"/>
    <row r="10013" s="283" customFormat="1"/>
    <row r="10014" s="283" customFormat="1"/>
    <row r="10015" s="283" customFormat="1"/>
    <row r="10016" s="283" customFormat="1"/>
    <row r="10017" s="283" customFormat="1"/>
    <row r="10018" s="283" customFormat="1"/>
    <row r="10019" s="283" customFormat="1"/>
    <row r="10020" s="283" customFormat="1"/>
    <row r="10021" s="283" customFormat="1"/>
    <row r="10022" s="283" customFormat="1"/>
    <row r="10023" s="283" customFormat="1"/>
    <row r="10024" s="283" customFormat="1"/>
    <row r="10025" s="283" customFormat="1"/>
    <row r="10026" s="283" customFormat="1"/>
    <row r="10027" s="283" customFormat="1"/>
    <row r="10028" s="283" customFormat="1"/>
    <row r="10029" s="283" customFormat="1"/>
    <row r="10030" s="283" customFormat="1"/>
    <row r="10031" s="283" customFormat="1"/>
    <row r="10032" s="283" customFormat="1"/>
    <row r="10033" s="283" customFormat="1"/>
    <row r="10034" s="283" customFormat="1"/>
    <row r="10035" s="283" customFormat="1"/>
    <row r="10036" s="283" customFormat="1"/>
    <row r="10037" s="283" customFormat="1"/>
    <row r="10038" s="283" customFormat="1"/>
    <row r="10039" s="283" customFormat="1"/>
    <row r="10040" s="283" customFormat="1"/>
    <row r="10041" s="283" customFormat="1"/>
    <row r="10042" s="283" customFormat="1"/>
    <row r="10043" s="283" customFormat="1"/>
    <row r="10044" s="283" customFormat="1"/>
    <row r="10045" s="283" customFormat="1"/>
    <row r="10046" s="283" customFormat="1"/>
    <row r="10047" s="283" customFormat="1"/>
    <row r="10048" s="283" customFormat="1"/>
    <row r="10049" s="283" customFormat="1"/>
    <row r="10050" s="283" customFormat="1"/>
    <row r="10051" s="283" customFormat="1"/>
    <row r="10052" s="283" customFormat="1"/>
    <row r="10053" s="283" customFormat="1"/>
    <row r="10054" s="283" customFormat="1"/>
    <row r="10055" s="283" customFormat="1"/>
    <row r="10056" s="283" customFormat="1"/>
    <row r="10057" s="283" customFormat="1"/>
    <row r="10058" s="283" customFormat="1"/>
    <row r="10059" s="283" customFormat="1"/>
    <row r="10060" s="283" customFormat="1"/>
    <row r="10061" s="283" customFormat="1"/>
    <row r="10062" s="283" customFormat="1"/>
    <row r="10063" s="283" customFormat="1"/>
    <row r="10064" s="283" customFormat="1"/>
    <row r="10065" s="283" customFormat="1"/>
    <row r="10066" s="283" customFormat="1"/>
    <row r="10067" s="283" customFormat="1"/>
    <row r="10068" s="283" customFormat="1"/>
    <row r="10069" s="283" customFormat="1"/>
    <row r="10070" s="283" customFormat="1"/>
    <row r="10071" s="283" customFormat="1"/>
    <row r="10072" s="283" customFormat="1"/>
    <row r="10073" s="283" customFormat="1"/>
    <row r="10074" s="283" customFormat="1"/>
    <row r="10075" s="283" customFormat="1"/>
    <row r="10076" s="283" customFormat="1"/>
    <row r="10077" s="283" customFormat="1"/>
    <row r="10078" s="283" customFormat="1"/>
    <row r="10079" s="283" customFormat="1"/>
    <row r="10080" s="283" customFormat="1"/>
    <row r="10081" s="283" customFormat="1"/>
    <row r="10082" s="283" customFormat="1"/>
    <row r="10083" s="283" customFormat="1"/>
    <row r="10084" s="283" customFormat="1"/>
    <row r="10085" s="283" customFormat="1"/>
    <row r="10086" s="283" customFormat="1"/>
    <row r="10087" s="283" customFormat="1"/>
    <row r="10088" s="283" customFormat="1"/>
    <row r="10089" s="283" customFormat="1"/>
    <row r="10090" s="283" customFormat="1"/>
    <row r="10091" s="283" customFormat="1"/>
    <row r="10092" s="283" customFormat="1"/>
    <row r="10093" s="283" customFormat="1"/>
    <row r="10094" s="283" customFormat="1"/>
    <row r="10095" s="283" customFormat="1"/>
    <row r="10096" s="283" customFormat="1"/>
    <row r="10097" s="283" customFormat="1"/>
    <row r="10098" s="283" customFormat="1"/>
    <row r="10099" s="283" customFormat="1"/>
    <row r="10100" s="283" customFormat="1"/>
    <row r="10101" s="283" customFormat="1"/>
    <row r="10102" s="283" customFormat="1"/>
    <row r="10103" s="283" customFormat="1"/>
    <row r="10104" s="283" customFormat="1"/>
    <row r="10105" s="283" customFormat="1"/>
    <row r="10106" s="283" customFormat="1"/>
    <row r="10107" s="283" customFormat="1"/>
    <row r="10108" s="283" customFormat="1"/>
    <row r="10109" s="283" customFormat="1"/>
    <row r="10110" s="283" customFormat="1"/>
    <row r="10111" s="283" customFormat="1"/>
    <row r="10112" s="283" customFormat="1"/>
    <row r="10113" s="283" customFormat="1"/>
    <row r="10114" s="283" customFormat="1"/>
    <row r="10115" s="283" customFormat="1"/>
    <row r="10116" s="283" customFormat="1"/>
    <row r="10117" s="283" customFormat="1"/>
    <row r="10118" s="283" customFormat="1"/>
    <row r="10119" s="283" customFormat="1"/>
    <row r="10120" s="283" customFormat="1"/>
    <row r="10121" s="283" customFormat="1"/>
    <row r="10122" s="283" customFormat="1"/>
    <row r="10123" s="283" customFormat="1"/>
    <row r="10124" s="283" customFormat="1"/>
    <row r="10125" s="283" customFormat="1"/>
    <row r="10126" s="283" customFormat="1"/>
    <row r="10127" s="283" customFormat="1"/>
    <row r="10128" s="283" customFormat="1"/>
    <row r="10129" s="283" customFormat="1"/>
    <row r="10130" s="283" customFormat="1"/>
    <row r="10131" s="283" customFormat="1"/>
    <row r="10132" s="283" customFormat="1"/>
    <row r="10133" s="283" customFormat="1"/>
    <row r="10134" s="283" customFormat="1"/>
    <row r="10135" s="283" customFormat="1"/>
    <row r="10136" s="283" customFormat="1"/>
    <row r="10137" s="283" customFormat="1"/>
    <row r="10138" s="283" customFormat="1"/>
    <row r="10139" s="283" customFormat="1"/>
    <row r="10140" s="283" customFormat="1"/>
    <row r="10141" s="283" customFormat="1"/>
    <row r="10142" s="283" customFormat="1"/>
    <row r="10143" s="283" customFormat="1"/>
    <row r="10144" s="283" customFormat="1"/>
    <row r="10145" s="283" customFormat="1"/>
    <row r="10146" s="283" customFormat="1"/>
    <row r="10147" s="283" customFormat="1"/>
    <row r="10148" s="283" customFormat="1"/>
    <row r="10149" s="283" customFormat="1"/>
    <row r="10150" s="283" customFormat="1"/>
    <row r="10151" s="283" customFormat="1"/>
    <row r="10152" s="283" customFormat="1"/>
    <row r="10153" s="283" customFormat="1"/>
    <row r="10154" s="283" customFormat="1"/>
    <row r="10155" s="283" customFormat="1"/>
    <row r="10156" s="283" customFormat="1"/>
    <row r="10157" s="283" customFormat="1"/>
    <row r="10158" s="283" customFormat="1"/>
    <row r="10159" s="283" customFormat="1"/>
    <row r="10160" s="283" customFormat="1"/>
    <row r="10161" s="283" customFormat="1"/>
    <row r="10162" s="283" customFormat="1"/>
    <row r="10163" s="283" customFormat="1"/>
    <row r="10164" s="283" customFormat="1"/>
    <row r="10165" s="283" customFormat="1"/>
    <row r="10166" s="283" customFormat="1"/>
    <row r="10167" s="283" customFormat="1"/>
    <row r="10168" s="283" customFormat="1"/>
    <row r="10169" s="283" customFormat="1"/>
    <row r="10170" s="283" customFormat="1"/>
    <row r="10171" s="283" customFormat="1"/>
    <row r="10172" s="283" customFormat="1"/>
    <row r="10173" s="283" customFormat="1"/>
    <row r="10174" s="283" customFormat="1"/>
    <row r="10175" s="283" customFormat="1"/>
    <row r="10176" s="283" customFormat="1"/>
    <row r="10177" s="283" customFormat="1"/>
    <row r="10178" s="283" customFormat="1"/>
    <row r="10179" s="283" customFormat="1"/>
    <row r="10180" s="283" customFormat="1"/>
    <row r="10181" s="283" customFormat="1"/>
    <row r="10182" s="283" customFormat="1"/>
    <row r="10183" s="283" customFormat="1"/>
    <row r="10184" s="283" customFormat="1"/>
    <row r="10185" s="283" customFormat="1"/>
    <row r="10186" s="283" customFormat="1"/>
    <row r="10187" s="283" customFormat="1"/>
    <row r="10188" s="283" customFormat="1"/>
    <row r="10189" s="283" customFormat="1"/>
    <row r="10190" s="283" customFormat="1"/>
    <row r="10191" s="283" customFormat="1"/>
    <row r="10192" s="283" customFormat="1"/>
    <row r="10193" s="283" customFormat="1"/>
    <row r="10194" s="283" customFormat="1"/>
    <row r="10195" s="283" customFormat="1"/>
    <row r="10196" s="283" customFormat="1"/>
    <row r="10197" s="283" customFormat="1"/>
    <row r="10198" s="283" customFormat="1"/>
    <row r="10199" s="283" customFormat="1"/>
    <row r="10200" s="283" customFormat="1"/>
    <row r="10201" s="283" customFormat="1"/>
    <row r="10202" s="283" customFormat="1"/>
    <row r="10203" s="283" customFormat="1"/>
    <row r="10204" s="283" customFormat="1"/>
    <row r="10205" s="283" customFormat="1"/>
    <row r="10206" s="283" customFormat="1"/>
    <row r="10207" s="283" customFormat="1"/>
    <row r="10208" s="283" customFormat="1"/>
    <row r="10209" s="283" customFormat="1"/>
    <row r="10210" s="283" customFormat="1"/>
    <row r="10211" s="283" customFormat="1"/>
    <row r="10212" s="283" customFormat="1"/>
    <row r="10213" s="283" customFormat="1"/>
    <row r="10214" s="283" customFormat="1"/>
    <row r="10215" s="283" customFormat="1"/>
    <row r="10216" s="283" customFormat="1"/>
    <row r="10217" s="283" customFormat="1"/>
    <row r="10218" s="283" customFormat="1"/>
    <row r="10219" s="283" customFormat="1"/>
    <row r="10220" s="283" customFormat="1"/>
    <row r="10221" s="283" customFormat="1"/>
    <row r="10222" s="283" customFormat="1"/>
    <row r="10223" s="283" customFormat="1"/>
    <row r="10224" s="283" customFormat="1"/>
    <row r="10225" s="283" customFormat="1"/>
    <row r="10226" s="283" customFormat="1"/>
    <row r="10227" s="283" customFormat="1"/>
    <row r="10228" s="283" customFormat="1"/>
    <row r="10229" s="283" customFormat="1"/>
    <row r="10230" s="283" customFormat="1"/>
    <row r="10231" s="283" customFormat="1"/>
    <row r="10232" s="283" customFormat="1"/>
    <row r="10233" s="283" customFormat="1"/>
    <row r="10234" s="283" customFormat="1"/>
    <row r="10235" s="283" customFormat="1"/>
    <row r="10236" s="283" customFormat="1"/>
    <row r="10237" s="283" customFormat="1"/>
    <row r="10238" s="283" customFormat="1"/>
    <row r="10239" s="283" customFormat="1"/>
    <row r="10240" s="283" customFormat="1"/>
    <row r="10241" s="283" customFormat="1"/>
    <row r="10242" s="283" customFormat="1"/>
    <row r="10243" s="283" customFormat="1"/>
    <row r="10244" s="283" customFormat="1"/>
    <row r="10245" s="283" customFormat="1"/>
    <row r="10246" s="283" customFormat="1"/>
    <row r="10247" s="283" customFormat="1"/>
    <row r="10248" s="283" customFormat="1"/>
    <row r="10249" s="283" customFormat="1"/>
    <row r="10250" s="283" customFormat="1"/>
    <row r="10251" s="283" customFormat="1"/>
    <row r="10252" s="283" customFormat="1"/>
    <row r="10253" s="283" customFormat="1"/>
    <row r="10254" s="283" customFormat="1"/>
    <row r="10255" s="283" customFormat="1"/>
    <row r="10256" s="283" customFormat="1"/>
    <row r="10257" s="283" customFormat="1"/>
    <row r="10258" s="283" customFormat="1"/>
    <row r="10259" s="283" customFormat="1"/>
    <row r="10260" s="283" customFormat="1"/>
    <row r="10261" s="283" customFormat="1"/>
    <row r="10262" s="283" customFormat="1"/>
    <row r="10263" s="283" customFormat="1"/>
    <row r="10264" s="283" customFormat="1"/>
    <row r="10265" s="283" customFormat="1"/>
    <row r="10266" s="283" customFormat="1"/>
    <row r="10267" s="283" customFormat="1"/>
    <row r="10268" s="283" customFormat="1"/>
    <row r="10269" s="283" customFormat="1"/>
    <row r="10270" s="283" customFormat="1"/>
    <row r="10271" s="283" customFormat="1"/>
    <row r="10272" s="283" customFormat="1"/>
    <row r="10273" s="283" customFormat="1"/>
    <row r="10274" s="283" customFormat="1"/>
    <row r="10275" s="283" customFormat="1"/>
    <row r="10276" s="283" customFormat="1"/>
    <row r="10277" s="283" customFormat="1"/>
    <row r="10278" s="283" customFormat="1"/>
    <row r="10279" s="283" customFormat="1"/>
    <row r="10280" s="283" customFormat="1"/>
    <row r="10281" s="283" customFormat="1"/>
    <row r="10282" s="283" customFormat="1"/>
    <row r="10283" s="283" customFormat="1"/>
    <row r="10284" s="283" customFormat="1"/>
    <row r="10285" s="283" customFormat="1"/>
    <row r="10286" s="283" customFormat="1"/>
    <row r="10287" s="283" customFormat="1"/>
    <row r="10288" s="283" customFormat="1"/>
    <row r="10289" s="283" customFormat="1"/>
    <row r="10290" s="283" customFormat="1"/>
    <row r="10291" s="283" customFormat="1"/>
    <row r="10292" s="283" customFormat="1"/>
    <row r="10293" s="283" customFormat="1"/>
    <row r="10294" s="283" customFormat="1"/>
    <row r="10295" s="283" customFormat="1"/>
    <row r="10296" s="283" customFormat="1"/>
    <row r="10297" s="283" customFormat="1"/>
    <row r="10298" s="283" customFormat="1"/>
    <row r="10299" s="283" customFormat="1"/>
    <row r="10300" s="283" customFormat="1"/>
    <row r="10301" s="283" customFormat="1"/>
    <row r="10302" s="283" customFormat="1"/>
    <row r="10303" s="283" customFormat="1"/>
    <row r="10304" s="283" customFormat="1"/>
    <row r="10305" s="283" customFormat="1"/>
    <row r="10306" s="283" customFormat="1"/>
    <row r="10307" s="283" customFormat="1"/>
    <row r="10308" s="283" customFormat="1"/>
    <row r="10309" s="283" customFormat="1"/>
    <row r="10310" s="283" customFormat="1"/>
    <row r="10311" s="283" customFormat="1"/>
    <row r="10312" s="283" customFormat="1"/>
    <row r="10313" s="283" customFormat="1"/>
    <row r="10314" s="283" customFormat="1"/>
    <row r="10315" s="283" customFormat="1"/>
    <row r="10316" s="283" customFormat="1"/>
    <row r="10317" s="283" customFormat="1"/>
    <row r="10318" s="283" customFormat="1"/>
    <row r="10319" s="283" customFormat="1"/>
    <row r="10320" s="283" customFormat="1"/>
    <row r="10321" s="283" customFormat="1"/>
    <row r="10322" s="283" customFormat="1"/>
    <row r="10323" s="283" customFormat="1"/>
    <row r="10324" s="283" customFormat="1"/>
    <row r="10325" s="283" customFormat="1"/>
    <row r="10326" s="283" customFormat="1"/>
    <row r="10327" s="283" customFormat="1"/>
    <row r="10328" s="283" customFormat="1"/>
    <row r="10329" s="283" customFormat="1"/>
    <row r="10330" s="283" customFormat="1"/>
    <row r="10331" s="283" customFormat="1"/>
    <row r="10332" s="283" customFormat="1"/>
    <row r="10333" s="283" customFormat="1"/>
    <row r="10334" s="283" customFormat="1"/>
    <row r="10335" s="283" customFormat="1"/>
    <row r="10336" s="283" customFormat="1"/>
    <row r="10337" s="283" customFormat="1"/>
    <row r="10338" s="283" customFormat="1"/>
    <row r="10339" s="283" customFormat="1"/>
    <row r="10340" s="283" customFormat="1"/>
    <row r="10341" s="283" customFormat="1"/>
    <row r="10342" s="283" customFormat="1"/>
    <row r="10343" s="283" customFormat="1"/>
    <row r="10344" s="283" customFormat="1"/>
    <row r="10345" s="283" customFormat="1"/>
    <row r="10346" s="283" customFormat="1"/>
    <row r="10347" s="283" customFormat="1"/>
    <row r="10348" s="283" customFormat="1"/>
    <row r="10349" s="283" customFormat="1"/>
    <row r="10350" s="283" customFormat="1"/>
    <row r="10351" s="283" customFormat="1"/>
    <row r="10352" s="283" customFormat="1"/>
    <row r="10353" s="283" customFormat="1"/>
    <row r="10354" s="283" customFormat="1"/>
    <row r="10355" s="283" customFormat="1"/>
    <row r="10356" s="283" customFormat="1"/>
    <row r="10357" s="283" customFormat="1"/>
    <row r="10358" s="283" customFormat="1"/>
    <row r="10359" s="283" customFormat="1"/>
    <row r="10360" s="283" customFormat="1"/>
    <row r="10361" s="283" customFormat="1"/>
    <row r="10362" s="283" customFormat="1"/>
    <row r="10363" s="283" customFormat="1"/>
    <row r="10364" s="283" customFormat="1"/>
    <row r="10365" s="283" customFormat="1"/>
    <row r="10366" s="283" customFormat="1"/>
    <row r="10367" s="283" customFormat="1"/>
    <row r="10368" s="283" customFormat="1"/>
    <row r="10369" s="283" customFormat="1"/>
    <row r="10370" s="283" customFormat="1"/>
    <row r="10371" s="283" customFormat="1"/>
    <row r="10372" s="283" customFormat="1"/>
    <row r="10373" s="283" customFormat="1"/>
    <row r="10374" s="283" customFormat="1"/>
    <row r="10375" s="283" customFormat="1"/>
    <row r="10376" s="283" customFormat="1"/>
    <row r="10377" s="283" customFormat="1"/>
    <row r="10378" s="283" customFormat="1"/>
    <row r="10379" s="283" customFormat="1"/>
    <row r="10380" s="283" customFormat="1"/>
    <row r="10381" s="283" customFormat="1"/>
    <row r="10382" s="283" customFormat="1"/>
    <row r="10383" s="283" customFormat="1"/>
    <row r="10384" s="283" customFormat="1"/>
    <row r="10385" s="283" customFormat="1"/>
    <row r="10386" s="283" customFormat="1"/>
    <row r="10387" s="283" customFormat="1"/>
    <row r="10388" s="283" customFormat="1"/>
    <row r="10389" s="283" customFormat="1"/>
    <row r="10390" s="283" customFormat="1"/>
    <row r="10391" s="283" customFormat="1"/>
    <row r="10392" s="283" customFormat="1"/>
    <row r="10393" s="283" customFormat="1"/>
    <row r="10394" s="283" customFormat="1"/>
    <row r="10395" s="283" customFormat="1"/>
    <row r="10396" s="283" customFormat="1"/>
    <row r="10397" s="283" customFormat="1"/>
    <row r="10398" s="283" customFormat="1"/>
    <row r="10399" s="283" customFormat="1"/>
    <row r="10400" s="283" customFormat="1"/>
    <row r="10401" s="283" customFormat="1"/>
    <row r="10402" s="283" customFormat="1"/>
    <row r="10403" s="283" customFormat="1"/>
    <row r="10404" s="283" customFormat="1"/>
    <row r="10405" s="283" customFormat="1"/>
    <row r="10406" s="283" customFormat="1"/>
    <row r="10407" s="283" customFormat="1"/>
    <row r="10408" s="283" customFormat="1"/>
    <row r="10409" s="283" customFormat="1"/>
    <row r="10410" s="283" customFormat="1"/>
    <row r="10411" s="283" customFormat="1"/>
    <row r="10412" s="283" customFormat="1"/>
    <row r="10413" s="283" customFormat="1"/>
    <row r="10414" s="283" customFormat="1"/>
    <row r="10415" s="283" customFormat="1"/>
    <row r="10416" s="283" customFormat="1"/>
    <row r="10417" s="283" customFormat="1"/>
    <row r="10418" s="283" customFormat="1"/>
    <row r="10419" s="283" customFormat="1"/>
    <row r="10420" s="283" customFormat="1"/>
    <row r="10421" s="283" customFormat="1"/>
    <row r="10422" s="283" customFormat="1"/>
    <row r="10423" s="283" customFormat="1"/>
    <row r="10424" s="283" customFormat="1"/>
    <row r="10425" s="283" customFormat="1"/>
    <row r="10426" s="283" customFormat="1"/>
    <row r="10427" s="283" customFormat="1"/>
    <row r="10428" s="283" customFormat="1"/>
    <row r="10429" s="283" customFormat="1"/>
    <row r="10430" s="283" customFormat="1"/>
    <row r="10431" s="283" customFormat="1"/>
    <row r="10432" s="283" customFormat="1"/>
    <row r="10433" s="283" customFormat="1"/>
    <row r="10434" s="283" customFormat="1"/>
    <row r="10435" s="283" customFormat="1"/>
    <row r="10436" s="283" customFormat="1"/>
    <row r="10437" s="283" customFormat="1"/>
    <row r="10438" s="283" customFormat="1"/>
    <row r="10439" s="283" customFormat="1"/>
    <row r="10440" s="283" customFormat="1"/>
    <row r="10441" s="283" customFormat="1"/>
    <row r="10442" s="283" customFormat="1"/>
    <row r="10443" s="283" customFormat="1"/>
    <row r="10444" s="283" customFormat="1"/>
    <row r="10445" s="283" customFormat="1"/>
    <row r="10446" s="283" customFormat="1"/>
    <row r="10447" s="283" customFormat="1"/>
    <row r="10448" s="283" customFormat="1"/>
    <row r="10449" s="283" customFormat="1"/>
    <row r="10450" s="283" customFormat="1"/>
    <row r="10451" s="283" customFormat="1"/>
    <row r="10452" s="283" customFormat="1"/>
    <row r="10453" s="283" customFormat="1"/>
    <row r="10454" s="283" customFormat="1"/>
    <row r="10455" s="283" customFormat="1"/>
    <row r="10456" s="283" customFormat="1"/>
    <row r="10457" s="283" customFormat="1"/>
    <row r="10458" s="283" customFormat="1"/>
    <row r="10459" s="283" customFormat="1"/>
    <row r="10460" s="283" customFormat="1"/>
    <row r="10461" s="283" customFormat="1"/>
    <row r="10462" s="283" customFormat="1"/>
    <row r="10463" s="283" customFormat="1"/>
    <row r="10464" s="283" customFormat="1"/>
    <row r="10465" s="283" customFormat="1"/>
    <row r="10466" s="283" customFormat="1"/>
    <row r="10467" s="283" customFormat="1"/>
    <row r="10468" s="283" customFormat="1"/>
    <row r="10469" s="283" customFormat="1"/>
    <row r="10470" s="283" customFormat="1"/>
    <row r="10471" s="283" customFormat="1"/>
    <row r="10472" s="283" customFormat="1"/>
    <row r="10473" s="283" customFormat="1"/>
    <row r="10474" s="283" customFormat="1"/>
    <row r="10475" s="283" customFormat="1"/>
    <row r="10476" s="283" customFormat="1"/>
    <row r="10477" s="283" customFormat="1"/>
    <row r="10478" s="283" customFormat="1"/>
    <row r="10479" s="283" customFormat="1"/>
    <row r="10480" s="283" customFormat="1"/>
    <row r="10481" s="283" customFormat="1"/>
    <row r="10482" s="283" customFormat="1"/>
    <row r="10483" s="283" customFormat="1"/>
    <row r="10484" s="283" customFormat="1"/>
    <row r="10485" s="283" customFormat="1"/>
    <row r="10486" s="283" customFormat="1"/>
    <row r="10487" s="283" customFormat="1"/>
    <row r="10488" s="283" customFormat="1"/>
    <row r="10489" s="283" customFormat="1"/>
    <row r="10490" s="283" customFormat="1"/>
    <row r="10491" s="283" customFormat="1"/>
    <row r="10492" s="283" customFormat="1"/>
    <row r="10493" s="283" customFormat="1"/>
    <row r="10494" s="283" customFormat="1"/>
    <row r="10495" s="283" customFormat="1"/>
    <row r="10496" s="283" customFormat="1"/>
    <row r="10497" s="283" customFormat="1"/>
    <row r="10498" s="283" customFormat="1"/>
    <row r="10499" s="283" customFormat="1"/>
    <row r="10500" s="283" customFormat="1"/>
    <row r="10501" s="283" customFormat="1"/>
    <row r="10502" s="283" customFormat="1"/>
    <row r="10503" s="283" customFormat="1"/>
    <row r="10504" s="283" customFormat="1"/>
    <row r="10505" s="283" customFormat="1"/>
    <row r="10506" s="283" customFormat="1"/>
    <row r="10507" s="283" customFormat="1"/>
    <row r="10508" s="283" customFormat="1"/>
    <row r="10509" s="283" customFormat="1"/>
    <row r="10510" s="283" customFormat="1"/>
    <row r="10511" s="283" customFormat="1"/>
    <row r="10512" s="283" customFormat="1"/>
    <row r="10513" s="283" customFormat="1"/>
    <row r="10514" s="283" customFormat="1"/>
    <row r="10515" s="283" customFormat="1"/>
    <row r="10516" s="283" customFormat="1"/>
    <row r="10517" s="283" customFormat="1"/>
    <row r="10518" s="283" customFormat="1"/>
    <row r="10519" s="283" customFormat="1"/>
    <row r="10520" s="283" customFormat="1"/>
    <row r="10521" s="283" customFormat="1"/>
    <row r="10522" s="283" customFormat="1"/>
    <row r="10523" s="283" customFormat="1"/>
    <row r="10524" s="283" customFormat="1"/>
    <row r="10525" s="283" customFormat="1"/>
    <row r="10526" s="283" customFormat="1"/>
    <row r="10527" s="283" customFormat="1"/>
    <row r="10528" s="283" customFormat="1"/>
    <row r="10529" s="283" customFormat="1"/>
    <row r="10530" s="283" customFormat="1"/>
    <row r="10531" s="283" customFormat="1"/>
    <row r="10532" s="283" customFormat="1"/>
    <row r="10533" s="283" customFormat="1"/>
    <row r="10534" s="283" customFormat="1"/>
    <row r="10535" s="283" customFormat="1"/>
    <row r="10536" s="283" customFormat="1"/>
    <row r="10537" s="283" customFormat="1"/>
    <row r="10538" s="283" customFormat="1"/>
    <row r="10539" s="283" customFormat="1"/>
    <row r="10540" s="283" customFormat="1"/>
    <row r="10541" s="283" customFormat="1"/>
    <row r="10542" s="283" customFormat="1"/>
    <row r="10543" s="283" customFormat="1"/>
    <row r="10544" s="283" customFormat="1"/>
    <row r="10545" s="283" customFormat="1"/>
    <row r="10546" s="283" customFormat="1"/>
    <row r="10547" s="283" customFormat="1"/>
    <row r="10548" s="283" customFormat="1"/>
    <row r="10549" s="283" customFormat="1"/>
    <row r="10550" s="283" customFormat="1"/>
    <row r="10551" s="283" customFormat="1"/>
    <row r="10552" s="283" customFormat="1"/>
    <row r="10553" s="283" customFormat="1"/>
    <row r="10554" s="283" customFormat="1"/>
    <row r="10555" s="283" customFormat="1"/>
    <row r="10556" s="283" customFormat="1"/>
    <row r="10557" s="283" customFormat="1"/>
    <row r="10558" s="283" customFormat="1"/>
    <row r="10559" s="283" customFormat="1"/>
    <row r="10560" s="283" customFormat="1"/>
    <row r="10561" s="283" customFormat="1"/>
    <row r="10562" s="283" customFormat="1"/>
    <row r="10563" s="283" customFormat="1"/>
    <row r="10564" s="283" customFormat="1"/>
    <row r="10565" s="283" customFormat="1"/>
    <row r="10566" s="283" customFormat="1"/>
    <row r="10567" s="283" customFormat="1"/>
    <row r="10568" s="283" customFormat="1"/>
    <row r="10569" s="283" customFormat="1"/>
    <row r="10570" s="283" customFormat="1"/>
    <row r="10571" s="283" customFormat="1"/>
    <row r="10572" s="283" customFormat="1"/>
    <row r="10573" s="283" customFormat="1"/>
    <row r="10574" s="283" customFormat="1"/>
    <row r="10575" s="283" customFormat="1"/>
    <row r="10576" s="283" customFormat="1"/>
    <row r="10577" s="283" customFormat="1"/>
    <row r="10578" s="283" customFormat="1"/>
    <row r="10579" s="283" customFormat="1"/>
    <row r="10580" s="283" customFormat="1"/>
    <row r="10581" s="283" customFormat="1"/>
    <row r="10582" s="283" customFormat="1"/>
    <row r="10583" s="283" customFormat="1"/>
    <row r="10584" s="283" customFormat="1"/>
    <row r="10585" s="283" customFormat="1"/>
    <row r="10586" s="283" customFormat="1"/>
    <row r="10587" s="283" customFormat="1"/>
    <row r="10588" s="283" customFormat="1"/>
    <row r="10589" s="283" customFormat="1"/>
    <row r="10590" s="283" customFormat="1"/>
    <row r="10591" s="283" customFormat="1"/>
    <row r="10592" s="283" customFormat="1"/>
    <row r="10593" s="283" customFormat="1"/>
    <row r="10594" s="283" customFormat="1"/>
    <row r="10595" s="283" customFormat="1"/>
    <row r="10596" s="283" customFormat="1"/>
    <row r="10597" s="283" customFormat="1"/>
    <row r="10598" s="283" customFormat="1"/>
    <row r="10599" s="283" customFormat="1"/>
    <row r="10600" s="283" customFormat="1"/>
    <row r="10601" s="283" customFormat="1"/>
    <row r="10602" s="283" customFormat="1"/>
    <row r="10603" s="283" customFormat="1"/>
    <row r="10604" s="283" customFormat="1"/>
    <row r="10605" s="283" customFormat="1"/>
    <row r="10606" s="283" customFormat="1"/>
    <row r="10607" s="283" customFormat="1"/>
    <row r="10608" s="283" customFormat="1"/>
    <row r="10609" s="283" customFormat="1"/>
    <row r="10610" s="283" customFormat="1"/>
    <row r="10611" s="283" customFormat="1"/>
    <row r="10612" s="283" customFormat="1"/>
    <row r="10613" s="283" customFormat="1"/>
    <row r="10614" s="283" customFormat="1"/>
    <row r="10615" s="283" customFormat="1"/>
    <row r="10616" s="283" customFormat="1"/>
    <row r="10617" s="283" customFormat="1"/>
    <row r="10618" s="283" customFormat="1"/>
    <row r="10619" s="283" customFormat="1"/>
    <row r="10620" s="283" customFormat="1"/>
    <row r="10621" s="283" customFormat="1"/>
    <row r="10622" s="283" customFormat="1"/>
    <row r="10623" s="283" customFormat="1"/>
    <row r="10624" s="283" customFormat="1"/>
    <row r="10625" s="283" customFormat="1"/>
    <row r="10626" s="283" customFormat="1"/>
    <row r="10627" s="283" customFormat="1"/>
    <row r="10628" s="283" customFormat="1"/>
    <row r="10629" s="283" customFormat="1"/>
    <row r="10630" s="283" customFormat="1"/>
    <row r="10631" s="283" customFormat="1"/>
    <row r="10632" s="283" customFormat="1"/>
    <row r="10633" s="283" customFormat="1"/>
    <row r="10634" s="283" customFormat="1"/>
    <row r="10635" s="283" customFormat="1"/>
    <row r="10636" s="283" customFormat="1"/>
    <row r="10637" s="283" customFormat="1"/>
    <row r="10638" s="283" customFormat="1"/>
    <row r="10639" s="283" customFormat="1"/>
    <row r="10640" s="283" customFormat="1"/>
    <row r="10641" s="283" customFormat="1"/>
    <row r="10642" s="283" customFormat="1"/>
    <row r="10643" s="283" customFormat="1"/>
    <row r="10644" s="283" customFormat="1"/>
    <row r="10645" s="283" customFormat="1"/>
    <row r="10646" s="283" customFormat="1"/>
    <row r="10647" s="283" customFormat="1"/>
    <row r="10648" s="283" customFormat="1"/>
    <row r="10649" s="283" customFormat="1"/>
    <row r="10650" s="283" customFormat="1"/>
    <row r="10651" s="283" customFormat="1"/>
    <row r="10652" s="283" customFormat="1"/>
    <row r="10653" s="283" customFormat="1"/>
    <row r="10654" s="283" customFormat="1"/>
    <row r="10655" s="283" customFormat="1"/>
    <row r="10656" s="283" customFormat="1"/>
    <row r="10657" s="283" customFormat="1"/>
    <row r="10658" s="283" customFormat="1"/>
    <row r="10659" s="283" customFormat="1"/>
    <row r="10660" s="283" customFormat="1"/>
    <row r="10661" s="283" customFormat="1"/>
    <row r="10662" s="283" customFormat="1"/>
    <row r="10663" s="283" customFormat="1"/>
    <row r="10664" s="283" customFormat="1"/>
    <row r="10665" s="283" customFormat="1"/>
    <row r="10666" s="283" customFormat="1"/>
    <row r="10667" s="283" customFormat="1"/>
    <row r="10668" s="283" customFormat="1"/>
    <row r="10669" s="283" customFormat="1"/>
    <row r="10670" s="283" customFormat="1"/>
    <row r="10671" s="283" customFormat="1"/>
    <row r="10672" s="283" customFormat="1"/>
    <row r="10673" s="283" customFormat="1"/>
    <row r="10674" s="283" customFormat="1"/>
    <row r="10675" s="283" customFormat="1"/>
    <row r="10676" s="283" customFormat="1"/>
    <row r="10677" s="283" customFormat="1"/>
    <row r="10678" s="283" customFormat="1"/>
    <row r="10679" s="283" customFormat="1"/>
    <row r="10680" s="283" customFormat="1"/>
    <row r="10681" s="283" customFormat="1"/>
    <row r="10682" s="283" customFormat="1"/>
    <row r="10683" s="283" customFormat="1"/>
    <row r="10684" s="283" customFormat="1"/>
    <row r="10685" s="283" customFormat="1"/>
    <row r="10686" s="283" customFormat="1"/>
    <row r="10687" s="283" customFormat="1"/>
    <row r="10688" s="283" customFormat="1"/>
    <row r="10689" s="283" customFormat="1"/>
    <row r="10690" s="283" customFormat="1"/>
    <row r="10691" s="283" customFormat="1"/>
    <row r="10692" s="283" customFormat="1"/>
    <row r="10693" s="283" customFormat="1"/>
    <row r="10694" s="283" customFormat="1"/>
    <row r="10695" s="283" customFormat="1"/>
    <row r="10696" s="283" customFormat="1"/>
    <row r="10697" s="283" customFormat="1"/>
    <row r="10698" s="283" customFormat="1"/>
    <row r="10699" s="283" customFormat="1"/>
    <row r="10700" s="283" customFormat="1"/>
    <row r="10701" s="283" customFormat="1"/>
    <row r="10702" s="283" customFormat="1"/>
    <row r="10703" s="283" customFormat="1"/>
    <row r="10704" s="283" customFormat="1"/>
    <row r="10705" s="283" customFormat="1"/>
    <row r="10706" s="283" customFormat="1"/>
    <row r="10707" s="283" customFormat="1"/>
    <row r="10708" s="283" customFormat="1"/>
    <row r="10709" s="283" customFormat="1"/>
    <row r="10710" s="283" customFormat="1"/>
    <row r="10711" s="283" customFormat="1"/>
    <row r="10712" s="283" customFormat="1"/>
    <row r="10713" s="283" customFormat="1"/>
    <row r="10714" s="283" customFormat="1"/>
    <row r="10715" s="283" customFormat="1"/>
    <row r="10716" s="283" customFormat="1"/>
    <row r="10717" s="283" customFormat="1"/>
    <row r="10718" s="283" customFormat="1"/>
    <row r="10719" s="283" customFormat="1"/>
    <row r="10720" s="283" customFormat="1"/>
    <row r="10721" s="283" customFormat="1"/>
    <row r="10722" s="283" customFormat="1"/>
    <row r="10723" s="283" customFormat="1"/>
    <row r="10724" s="283" customFormat="1"/>
    <row r="10725" s="283" customFormat="1"/>
    <row r="10726" s="283" customFormat="1"/>
    <row r="10727" s="283" customFormat="1"/>
    <row r="10728" s="283" customFormat="1"/>
    <row r="10729" s="283" customFormat="1"/>
    <row r="10730" s="283" customFormat="1"/>
    <row r="10731" s="283" customFormat="1"/>
    <row r="10732" s="283" customFormat="1"/>
    <row r="10733" s="283" customFormat="1"/>
    <row r="10734" s="283" customFormat="1"/>
    <row r="10735" s="283" customFormat="1"/>
    <row r="10736" s="283" customFormat="1"/>
    <row r="10737" s="283" customFormat="1"/>
    <row r="10738" s="283" customFormat="1"/>
    <row r="10739" s="283" customFormat="1"/>
    <row r="10740" s="283" customFormat="1"/>
    <row r="10741" s="283" customFormat="1"/>
    <row r="10742" s="283" customFormat="1"/>
    <row r="10743" s="283" customFormat="1"/>
    <row r="10744" s="283" customFormat="1"/>
    <row r="10745" s="283" customFormat="1"/>
    <row r="10746" s="283" customFormat="1"/>
    <row r="10747" s="283" customFormat="1"/>
    <row r="10748" s="283" customFormat="1"/>
    <row r="10749" s="283" customFormat="1"/>
    <row r="10750" s="283" customFormat="1"/>
    <row r="10751" s="283" customFormat="1"/>
    <row r="10752" s="283" customFormat="1"/>
    <row r="10753" s="283" customFormat="1"/>
    <row r="10754" s="283" customFormat="1"/>
    <row r="10755" s="283" customFormat="1"/>
    <row r="10756" s="283" customFormat="1"/>
    <row r="10757" s="283" customFormat="1"/>
    <row r="10758" s="283" customFormat="1"/>
    <row r="10759" s="283" customFormat="1"/>
    <row r="10760" s="283" customFormat="1"/>
    <row r="10761" s="283" customFormat="1"/>
    <row r="10762" s="283" customFormat="1"/>
    <row r="10763" s="283" customFormat="1"/>
    <row r="10764" s="283" customFormat="1"/>
    <row r="10765" s="283" customFormat="1"/>
    <row r="10766" s="283" customFormat="1"/>
    <row r="10767" s="283" customFormat="1"/>
    <row r="10768" s="283" customFormat="1"/>
    <row r="10769" s="283" customFormat="1"/>
    <row r="10770" s="283" customFormat="1"/>
    <row r="10771" s="283" customFormat="1"/>
    <row r="10772" s="283" customFormat="1"/>
    <row r="10773" s="283" customFormat="1"/>
    <row r="10774" s="283" customFormat="1"/>
    <row r="10775" s="283" customFormat="1"/>
    <row r="10776" s="283" customFormat="1"/>
    <row r="10777" s="283" customFormat="1"/>
    <row r="10778" s="283" customFormat="1"/>
    <row r="10779" s="283" customFormat="1"/>
    <row r="10780" s="283" customFormat="1"/>
    <row r="10781" s="283" customFormat="1"/>
    <row r="10782" s="283" customFormat="1"/>
    <row r="10783" s="283" customFormat="1"/>
    <row r="10784" s="283" customFormat="1"/>
    <row r="10785" s="283" customFormat="1"/>
    <row r="10786" s="283" customFormat="1"/>
    <row r="10787" s="283" customFormat="1"/>
    <row r="10788" s="283" customFormat="1"/>
    <row r="10789" s="283" customFormat="1"/>
    <row r="10790" s="283" customFormat="1"/>
    <row r="10791" s="283" customFormat="1"/>
    <row r="10792" s="283" customFormat="1"/>
    <row r="10793" s="283" customFormat="1"/>
    <row r="10794" s="283" customFormat="1"/>
    <row r="10795" s="283" customFormat="1"/>
    <row r="10796" s="283" customFormat="1"/>
    <row r="10797" s="283" customFormat="1"/>
    <row r="10798" s="283" customFormat="1"/>
    <row r="10799" s="283" customFormat="1"/>
    <row r="10800" s="283" customFormat="1"/>
    <row r="10801" s="283" customFormat="1"/>
    <row r="10802" s="283" customFormat="1"/>
    <row r="10803" s="283" customFormat="1"/>
    <row r="10804" s="283" customFormat="1"/>
    <row r="10805" s="283" customFormat="1"/>
    <row r="10806" s="283" customFormat="1"/>
    <row r="10807" s="283" customFormat="1"/>
    <row r="10808" s="283" customFormat="1"/>
    <row r="10809" s="283" customFormat="1"/>
    <row r="10810" s="283" customFormat="1"/>
    <row r="10811" s="283" customFormat="1"/>
    <row r="10812" s="283" customFormat="1"/>
    <row r="10813" s="283" customFormat="1"/>
    <row r="10814" s="283" customFormat="1"/>
    <row r="10815" s="283" customFormat="1"/>
    <row r="10816" s="283" customFormat="1"/>
    <row r="10817" s="283" customFormat="1"/>
    <row r="10818" s="283" customFormat="1"/>
    <row r="10819" s="283" customFormat="1"/>
    <row r="10820" s="283" customFormat="1"/>
    <row r="10821" s="283" customFormat="1"/>
    <row r="10822" s="283" customFormat="1"/>
    <row r="10823" s="283" customFormat="1"/>
    <row r="10824" s="283" customFormat="1"/>
    <row r="10825" s="283" customFormat="1"/>
    <row r="10826" s="283" customFormat="1"/>
    <row r="10827" s="283" customFormat="1"/>
    <row r="10828" s="283" customFormat="1"/>
    <row r="10829" s="283" customFormat="1"/>
    <row r="10830" s="283" customFormat="1"/>
    <row r="10831" s="283" customFormat="1"/>
    <row r="10832" s="283" customFormat="1"/>
    <row r="10833" s="283" customFormat="1"/>
    <row r="10834" s="283" customFormat="1"/>
    <row r="10835" s="283" customFormat="1"/>
    <row r="10836" s="283" customFormat="1"/>
    <row r="10837" s="283" customFormat="1"/>
    <row r="10838" s="283" customFormat="1"/>
    <row r="10839" s="283" customFormat="1"/>
    <row r="10840" s="283" customFormat="1"/>
    <row r="10841" s="283" customFormat="1"/>
    <row r="10842" s="283" customFormat="1"/>
    <row r="10843" s="283" customFormat="1"/>
    <row r="10844" s="283" customFormat="1"/>
    <row r="10845" s="283" customFormat="1"/>
    <row r="10846" s="283" customFormat="1"/>
    <row r="10847" s="283" customFormat="1"/>
    <row r="10848" s="283" customFormat="1"/>
    <row r="10849" s="283" customFormat="1"/>
    <row r="10850" s="283" customFormat="1"/>
    <row r="10851" s="283" customFormat="1"/>
    <row r="10852" s="283" customFormat="1"/>
    <row r="10853" s="283" customFormat="1"/>
    <row r="10854" s="283" customFormat="1"/>
    <row r="10855" s="283" customFormat="1"/>
    <row r="10856" s="283" customFormat="1"/>
    <row r="10857" s="283" customFormat="1"/>
    <row r="10858" s="283" customFormat="1"/>
    <row r="10859" s="283" customFormat="1"/>
    <row r="10860" s="283" customFormat="1"/>
    <row r="10861" s="283" customFormat="1"/>
    <row r="10862" s="283" customFormat="1"/>
    <row r="10863" s="283" customFormat="1"/>
    <row r="10864" s="283" customFormat="1"/>
    <row r="10865" s="283" customFormat="1"/>
    <row r="10866" s="283" customFormat="1"/>
    <row r="10867" s="283" customFormat="1"/>
    <row r="10868" s="283" customFormat="1"/>
    <row r="10869" s="283" customFormat="1"/>
    <row r="10870" s="283" customFormat="1"/>
    <row r="10871" s="283" customFormat="1"/>
    <row r="10872" s="283" customFormat="1"/>
    <row r="10873" s="283" customFormat="1"/>
    <row r="10874" s="283" customFormat="1"/>
    <row r="10875" s="283" customFormat="1"/>
    <row r="10876" s="283" customFormat="1"/>
    <row r="10877" s="283" customFormat="1"/>
    <row r="10878" s="283" customFormat="1"/>
    <row r="10879" s="283" customFormat="1"/>
    <row r="10880" s="283" customFormat="1"/>
    <row r="10881" s="283" customFormat="1"/>
    <row r="10882" s="283" customFormat="1"/>
    <row r="10883" s="283" customFormat="1"/>
    <row r="10884" s="283" customFormat="1"/>
    <row r="10885" s="283" customFormat="1"/>
    <row r="10886" s="283" customFormat="1"/>
    <row r="10887" s="283" customFormat="1"/>
    <row r="10888" s="283" customFormat="1"/>
    <row r="10889" s="283" customFormat="1"/>
    <row r="10890" s="283" customFormat="1"/>
    <row r="10891" s="283" customFormat="1"/>
    <row r="10892" s="283" customFormat="1"/>
    <row r="10893" s="283" customFormat="1"/>
    <row r="10894" s="283" customFormat="1"/>
    <row r="10895" s="283" customFormat="1"/>
    <row r="10896" s="283" customFormat="1"/>
    <row r="10897" s="283" customFormat="1"/>
    <row r="10898" s="283" customFormat="1"/>
    <row r="10899" s="283" customFormat="1"/>
    <row r="10900" s="283" customFormat="1"/>
    <row r="10901" s="283" customFormat="1"/>
    <row r="10902" s="283" customFormat="1"/>
    <row r="10903" s="283" customFormat="1"/>
    <row r="10904" s="283" customFormat="1"/>
    <row r="10905" s="283" customFormat="1"/>
    <row r="10906" s="283" customFormat="1"/>
    <row r="10907" s="283" customFormat="1"/>
    <row r="10908" s="283" customFormat="1"/>
    <row r="10909" s="283" customFormat="1"/>
    <row r="10910" s="283" customFormat="1"/>
    <row r="10911" s="283" customFormat="1"/>
    <row r="10912" s="283" customFormat="1"/>
    <row r="10913" s="283" customFormat="1"/>
    <row r="10914" s="283" customFormat="1"/>
    <row r="10915" s="283" customFormat="1"/>
    <row r="10916" s="283" customFormat="1"/>
    <row r="10917" s="283" customFormat="1"/>
    <row r="10918" s="283" customFormat="1"/>
    <row r="10919" s="283" customFormat="1"/>
    <row r="10920" s="283" customFormat="1"/>
    <row r="10921" s="283" customFormat="1"/>
    <row r="10922" s="283" customFormat="1"/>
    <row r="10923" s="283" customFormat="1"/>
    <row r="10924" s="283" customFormat="1"/>
    <row r="10925" s="283" customFormat="1"/>
    <row r="10926" s="283" customFormat="1"/>
    <row r="10927" s="283" customFormat="1"/>
    <row r="10928" s="283" customFormat="1"/>
    <row r="10929" s="283" customFormat="1"/>
    <row r="10930" s="283" customFormat="1"/>
    <row r="10931" s="283" customFormat="1"/>
    <row r="10932" s="283" customFormat="1"/>
    <row r="10933" s="283" customFormat="1"/>
    <row r="10934" s="283" customFormat="1"/>
    <row r="10935" s="283" customFormat="1"/>
    <row r="10936" s="283" customFormat="1"/>
    <row r="10937" s="283" customFormat="1"/>
    <row r="10938" s="283" customFormat="1"/>
    <row r="10939" s="283" customFormat="1"/>
    <row r="10940" s="283" customFormat="1"/>
    <row r="10941" s="283" customFormat="1"/>
    <row r="10942" s="283" customFormat="1"/>
    <row r="10943" s="283" customFormat="1"/>
    <row r="10944" s="283" customFormat="1"/>
    <row r="10945" s="283" customFormat="1"/>
    <row r="10946" s="283" customFormat="1"/>
    <row r="10947" s="283" customFormat="1"/>
    <row r="10948" s="283" customFormat="1"/>
    <row r="10949" s="283" customFormat="1"/>
    <row r="10950" s="283" customFormat="1"/>
    <row r="10951" s="283" customFormat="1"/>
    <row r="10952" s="283" customFormat="1"/>
    <row r="10953" s="283" customFormat="1"/>
    <row r="10954" s="283" customFormat="1"/>
    <row r="10955" s="283" customFormat="1"/>
    <row r="10956" s="283" customFormat="1"/>
    <row r="10957" s="283" customFormat="1"/>
    <row r="10958" s="283" customFormat="1"/>
    <row r="10959" s="283" customFormat="1"/>
    <row r="10960" s="283" customFormat="1"/>
    <row r="10961" s="283" customFormat="1"/>
    <row r="10962" s="283" customFormat="1"/>
    <row r="10963" s="283" customFormat="1"/>
    <row r="10964" s="283" customFormat="1"/>
    <row r="10965" s="283" customFormat="1"/>
    <row r="10966" s="283" customFormat="1"/>
    <row r="10967" s="283" customFormat="1"/>
    <row r="10968" s="283" customFormat="1"/>
    <row r="10969" s="283" customFormat="1"/>
    <row r="10970" s="283" customFormat="1"/>
    <row r="10971" s="283" customFormat="1"/>
    <row r="10972" s="283" customFormat="1"/>
    <row r="10973" s="283" customFormat="1"/>
    <row r="10974" s="283" customFormat="1"/>
    <row r="10975" s="283" customFormat="1"/>
    <row r="10976" s="283" customFormat="1"/>
    <row r="10977" s="283" customFormat="1"/>
    <row r="10978" s="283" customFormat="1"/>
    <row r="10979" s="283" customFormat="1"/>
    <row r="10980" s="283" customFormat="1"/>
    <row r="10981" s="283" customFormat="1"/>
    <row r="10982" s="283" customFormat="1"/>
    <row r="10983" s="283" customFormat="1"/>
    <row r="10984" s="283" customFormat="1"/>
    <row r="10985" s="283" customFormat="1"/>
    <row r="10986" s="283" customFormat="1"/>
    <row r="10987" s="283" customFormat="1"/>
    <row r="10988" s="283" customFormat="1"/>
    <row r="10989" s="283" customFormat="1"/>
    <row r="10990" s="283" customFormat="1"/>
    <row r="10991" s="283" customFormat="1"/>
    <row r="10992" s="283" customFormat="1"/>
    <row r="10993" s="283" customFormat="1"/>
    <row r="10994" s="283" customFormat="1"/>
    <row r="10995" s="283" customFormat="1"/>
    <row r="10996" s="283" customFormat="1"/>
    <row r="10997" s="283" customFormat="1"/>
    <row r="10998" s="283" customFormat="1"/>
    <row r="10999" s="283" customFormat="1"/>
    <row r="11000" s="283" customFormat="1"/>
    <row r="11001" s="283" customFormat="1"/>
    <row r="11002" s="283" customFormat="1"/>
    <row r="11003" s="283" customFormat="1"/>
    <row r="11004" s="283" customFormat="1"/>
    <row r="11005" s="283" customFormat="1"/>
    <row r="11006" s="283" customFormat="1"/>
    <row r="11007" s="283" customFormat="1"/>
    <row r="11008" s="283" customFormat="1"/>
    <row r="11009" s="283" customFormat="1"/>
    <row r="11010" s="283" customFormat="1"/>
    <row r="11011" s="283" customFormat="1"/>
    <row r="11012" s="283" customFormat="1"/>
    <row r="11013" s="283" customFormat="1"/>
    <row r="11014" s="283" customFormat="1"/>
    <row r="11015" s="283" customFormat="1"/>
    <row r="11016" s="283" customFormat="1"/>
    <row r="11017" s="283" customFormat="1"/>
    <row r="11018" s="283" customFormat="1"/>
    <row r="11019" s="283" customFormat="1"/>
    <row r="11020" s="283" customFormat="1"/>
    <row r="11021" s="283" customFormat="1"/>
    <row r="11022" s="283" customFormat="1"/>
    <row r="11023" s="283" customFormat="1"/>
    <row r="11024" s="283" customFormat="1"/>
    <row r="11025" s="283" customFormat="1"/>
    <row r="11026" s="283" customFormat="1"/>
    <row r="11027" s="283" customFormat="1"/>
    <row r="11028" s="283" customFormat="1"/>
    <row r="11029" s="283" customFormat="1"/>
    <row r="11030" s="283" customFormat="1"/>
    <row r="11031" s="283" customFormat="1"/>
    <row r="11032" s="283" customFormat="1"/>
    <row r="11033" s="283" customFormat="1"/>
    <row r="11034" s="283" customFormat="1"/>
    <row r="11035" s="283" customFormat="1"/>
    <row r="11036" s="283" customFormat="1"/>
    <row r="11037" s="283" customFormat="1"/>
    <row r="11038" s="283" customFormat="1"/>
    <row r="11039" s="283" customFormat="1"/>
    <row r="11040" s="283" customFormat="1"/>
    <row r="11041" s="283" customFormat="1"/>
    <row r="11042" s="283" customFormat="1"/>
    <row r="11043" s="283" customFormat="1"/>
    <row r="11044" s="283" customFormat="1"/>
    <row r="11045" s="283" customFormat="1"/>
    <row r="11046" s="283" customFormat="1"/>
    <row r="11047" s="283" customFormat="1"/>
    <row r="11048" s="283" customFormat="1"/>
    <row r="11049" s="283" customFormat="1"/>
    <row r="11050" s="283" customFormat="1"/>
    <row r="11051" s="283" customFormat="1"/>
    <row r="11052" s="283" customFormat="1"/>
    <row r="11053" s="283" customFormat="1"/>
    <row r="11054" s="283" customFormat="1"/>
    <row r="11055" s="283" customFormat="1"/>
    <row r="11056" s="283" customFormat="1"/>
    <row r="11057" s="283" customFormat="1"/>
    <row r="11058" s="283" customFormat="1"/>
    <row r="11059" s="283" customFormat="1"/>
    <row r="11060" s="283" customFormat="1"/>
    <row r="11061" s="283" customFormat="1"/>
    <row r="11062" s="283" customFormat="1"/>
    <row r="11063" s="283" customFormat="1"/>
    <row r="11064" s="283" customFormat="1"/>
    <row r="11065" s="283" customFormat="1"/>
    <row r="11066" s="283" customFormat="1"/>
    <row r="11067" s="283" customFormat="1"/>
    <row r="11068" s="283" customFormat="1"/>
    <row r="11069" s="283" customFormat="1"/>
    <row r="11070" s="283" customFormat="1"/>
    <row r="11071" s="283" customFormat="1"/>
    <row r="11072" s="283" customFormat="1"/>
    <row r="11073" s="283" customFormat="1"/>
    <row r="11074" s="283" customFormat="1"/>
    <row r="11075" s="283" customFormat="1"/>
    <row r="11076" s="283" customFormat="1"/>
    <row r="11077" s="283" customFormat="1"/>
    <row r="11078" s="283" customFormat="1"/>
    <row r="11079" s="283" customFormat="1"/>
    <row r="11080" s="283" customFormat="1"/>
    <row r="11081" s="283" customFormat="1"/>
    <row r="11082" s="283" customFormat="1"/>
    <row r="11083" s="283" customFormat="1"/>
    <row r="11084" s="283" customFormat="1"/>
    <row r="11085" s="283" customFormat="1"/>
    <row r="11086" s="283" customFormat="1"/>
    <row r="11087" s="283" customFormat="1"/>
    <row r="11088" s="283" customFormat="1"/>
    <row r="11089" s="283" customFormat="1"/>
    <row r="11090" s="283" customFormat="1"/>
    <row r="11091" s="283" customFormat="1"/>
    <row r="11092" s="283" customFormat="1"/>
    <row r="11093" s="283" customFormat="1"/>
    <row r="11094" s="283" customFormat="1"/>
    <row r="11095" s="283" customFormat="1"/>
    <row r="11096" s="283" customFormat="1"/>
    <row r="11097" s="283" customFormat="1"/>
    <row r="11098" s="283" customFormat="1"/>
    <row r="11099" s="283" customFormat="1"/>
    <row r="11100" s="283" customFormat="1"/>
    <row r="11101" s="283" customFormat="1"/>
    <row r="11102" s="283" customFormat="1"/>
    <row r="11103" s="283" customFormat="1"/>
    <row r="11104" s="283" customFormat="1"/>
    <row r="11105" s="283" customFormat="1"/>
    <row r="11106" s="283" customFormat="1"/>
    <row r="11107" s="283" customFormat="1"/>
    <row r="11108" s="283" customFormat="1"/>
    <row r="11109" s="283" customFormat="1"/>
    <row r="11110" s="283" customFormat="1"/>
    <row r="11111" s="283" customFormat="1"/>
    <row r="11112" s="283" customFormat="1"/>
    <row r="11113" s="283" customFormat="1"/>
    <row r="11114" s="283" customFormat="1"/>
    <row r="11115" s="283" customFormat="1"/>
    <row r="11116" s="283" customFormat="1"/>
    <row r="11117" s="283" customFormat="1"/>
    <row r="11118" s="283" customFormat="1"/>
    <row r="11119" s="283" customFormat="1"/>
    <row r="11120" s="283" customFormat="1"/>
    <row r="11121" s="283" customFormat="1"/>
    <row r="11122" s="283" customFormat="1"/>
    <row r="11123" s="283" customFormat="1"/>
    <row r="11124" s="283" customFormat="1"/>
    <row r="11125" s="283" customFormat="1"/>
    <row r="11126" s="283" customFormat="1"/>
    <row r="11127" s="283" customFormat="1"/>
    <row r="11128" s="283" customFormat="1"/>
    <row r="11129" s="283" customFormat="1"/>
    <row r="11130" s="283" customFormat="1"/>
    <row r="11131" s="283" customFormat="1"/>
    <row r="11132" s="283" customFormat="1"/>
    <row r="11133" s="283" customFormat="1"/>
    <row r="11134" s="283" customFormat="1"/>
    <row r="11135" s="283" customFormat="1"/>
    <row r="11136" s="283" customFormat="1"/>
    <row r="11137" s="283" customFormat="1"/>
    <row r="11138" s="283" customFormat="1"/>
    <row r="11139" s="283" customFormat="1"/>
    <row r="11140" s="283" customFormat="1"/>
    <row r="11141" s="283" customFormat="1"/>
    <row r="11142" s="283" customFormat="1"/>
    <row r="11143" s="283" customFormat="1"/>
    <row r="11144" s="283" customFormat="1"/>
    <row r="11145" s="283" customFormat="1"/>
    <row r="11146" s="283" customFormat="1"/>
    <row r="11147" s="283" customFormat="1"/>
    <row r="11148" s="283" customFormat="1"/>
    <row r="11149" s="283" customFormat="1"/>
    <row r="11150" s="283" customFormat="1"/>
    <row r="11151" s="283" customFormat="1"/>
    <row r="11152" s="283" customFormat="1"/>
    <row r="11153" s="283" customFormat="1"/>
    <row r="11154" s="283" customFormat="1"/>
    <row r="11155" s="283" customFormat="1"/>
    <row r="11156" s="283" customFormat="1"/>
    <row r="11157" s="283" customFormat="1"/>
    <row r="11158" s="283" customFormat="1"/>
    <row r="11159" s="283" customFormat="1"/>
    <row r="11160" s="283" customFormat="1"/>
    <row r="11161" s="283" customFormat="1"/>
    <row r="11162" s="283" customFormat="1"/>
    <row r="11163" s="283" customFormat="1"/>
    <row r="11164" s="283" customFormat="1"/>
    <row r="11165" s="283" customFormat="1"/>
    <row r="11166" s="283" customFormat="1"/>
    <row r="11167" s="283" customFormat="1"/>
    <row r="11168" s="283" customFormat="1"/>
    <row r="11169" s="283" customFormat="1"/>
    <row r="11170" s="283" customFormat="1"/>
    <row r="11171" s="283" customFormat="1"/>
    <row r="11172" s="283" customFormat="1"/>
    <row r="11173" s="283" customFormat="1"/>
    <row r="11174" s="283" customFormat="1"/>
    <row r="11175" s="283" customFormat="1"/>
    <row r="11176" s="283" customFormat="1"/>
    <row r="11177" s="283" customFormat="1"/>
    <row r="11178" s="283" customFormat="1"/>
    <row r="11179" s="283" customFormat="1"/>
    <row r="11180" s="283" customFormat="1"/>
    <row r="11181" s="283" customFormat="1"/>
    <row r="11182" s="283" customFormat="1"/>
    <row r="11183" s="283" customFormat="1"/>
    <row r="11184" s="283" customFormat="1"/>
    <row r="11185" s="283" customFormat="1"/>
    <row r="11186" s="283" customFormat="1"/>
    <row r="11187" s="283" customFormat="1"/>
    <row r="11188" s="283" customFormat="1"/>
    <row r="11189" s="283" customFormat="1"/>
    <row r="11190" s="283" customFormat="1"/>
    <row r="11191" s="283" customFormat="1"/>
    <row r="11192" s="283" customFormat="1"/>
    <row r="11193" s="283" customFormat="1"/>
    <row r="11194" s="283" customFormat="1"/>
    <row r="11195" s="283" customFormat="1"/>
    <row r="11196" s="283" customFormat="1"/>
    <row r="11197" s="283" customFormat="1"/>
    <row r="11198" s="283" customFormat="1"/>
    <row r="11199" s="283" customFormat="1"/>
    <row r="11200" s="283" customFormat="1"/>
    <row r="11201" s="283" customFormat="1"/>
    <row r="11202" s="283" customFormat="1"/>
    <row r="11203" s="283" customFormat="1"/>
    <row r="11204" s="283" customFormat="1"/>
    <row r="11205" s="283" customFormat="1"/>
    <row r="11206" s="283" customFormat="1"/>
    <row r="11207" s="283" customFormat="1"/>
    <row r="11208" s="283" customFormat="1"/>
    <row r="11209" s="283" customFormat="1"/>
    <row r="11210" s="283" customFormat="1"/>
    <row r="11211" s="283" customFormat="1"/>
    <row r="11212" s="283" customFormat="1"/>
    <row r="11213" s="283" customFormat="1"/>
    <row r="11214" s="283" customFormat="1"/>
    <row r="11215" s="283" customFormat="1"/>
    <row r="11216" s="283" customFormat="1"/>
    <row r="11217" s="283" customFormat="1"/>
    <row r="11218" s="283" customFormat="1"/>
    <row r="11219" s="283" customFormat="1"/>
    <row r="11220" s="283" customFormat="1"/>
    <row r="11221" s="283" customFormat="1"/>
    <row r="11222" s="283" customFormat="1"/>
    <row r="11223" s="283" customFormat="1"/>
    <row r="11224" s="283" customFormat="1"/>
    <row r="11225" s="283" customFormat="1"/>
    <row r="11226" s="283" customFormat="1"/>
    <row r="11227" s="283" customFormat="1"/>
    <row r="11228" s="283" customFormat="1"/>
    <row r="11229" s="283" customFormat="1"/>
    <row r="11230" s="283" customFormat="1"/>
    <row r="11231" s="283" customFormat="1"/>
    <row r="11232" s="283" customFormat="1"/>
    <row r="11233" s="283" customFormat="1"/>
    <row r="11234" s="283" customFormat="1"/>
    <row r="11235" s="283" customFormat="1"/>
    <row r="11236" s="283" customFormat="1"/>
    <row r="11237" s="283" customFormat="1"/>
    <row r="11238" s="283" customFormat="1"/>
    <row r="11239" s="283" customFormat="1"/>
    <row r="11240" s="283" customFormat="1"/>
    <row r="11241" s="283" customFormat="1"/>
    <row r="11242" s="283" customFormat="1"/>
    <row r="11243" s="283" customFormat="1"/>
    <row r="11244" s="283" customFormat="1"/>
    <row r="11245" s="283" customFormat="1"/>
    <row r="11246" s="283" customFormat="1"/>
    <row r="11247" s="283" customFormat="1"/>
    <row r="11248" s="283" customFormat="1"/>
    <row r="11249" s="283" customFormat="1"/>
    <row r="11250" s="283" customFormat="1"/>
    <row r="11251" s="283" customFormat="1"/>
    <row r="11252" s="283" customFormat="1"/>
    <row r="11253" s="283" customFormat="1"/>
    <row r="11254" s="283" customFormat="1"/>
    <row r="11255" s="283" customFormat="1"/>
    <row r="11256" s="283" customFormat="1"/>
    <row r="11257" s="283" customFormat="1"/>
    <row r="11258" s="283" customFormat="1"/>
    <row r="11259" s="283" customFormat="1"/>
    <row r="11260" s="283" customFormat="1"/>
    <row r="11261" s="283" customFormat="1"/>
    <row r="11262" s="283" customFormat="1"/>
    <row r="11263" s="283" customFormat="1"/>
    <row r="11264" s="283" customFormat="1"/>
    <row r="11265" s="283" customFormat="1"/>
    <row r="11266" s="283" customFormat="1"/>
    <row r="11267" s="283" customFormat="1"/>
    <row r="11268" s="283" customFormat="1"/>
    <row r="11269" s="283" customFormat="1"/>
    <row r="11270" s="283" customFormat="1"/>
    <row r="11271" s="283" customFormat="1"/>
    <row r="11272" s="283" customFormat="1"/>
    <row r="11273" s="283" customFormat="1"/>
    <row r="11274" s="283" customFormat="1"/>
    <row r="11275" s="283" customFormat="1"/>
    <row r="11276" s="283" customFormat="1"/>
    <row r="11277" s="283" customFormat="1"/>
    <row r="11278" s="283" customFormat="1"/>
    <row r="11279" s="283" customFormat="1"/>
    <row r="11280" s="283" customFormat="1"/>
    <row r="11281" s="283" customFormat="1"/>
    <row r="11282" s="283" customFormat="1"/>
    <row r="11283" s="283" customFormat="1"/>
    <row r="11284" s="283" customFormat="1"/>
    <row r="11285" s="283" customFormat="1"/>
    <row r="11286" s="283" customFormat="1"/>
    <row r="11287" s="283" customFormat="1"/>
    <row r="11288" s="283" customFormat="1"/>
    <row r="11289" s="283" customFormat="1"/>
    <row r="11290" s="283" customFormat="1"/>
    <row r="11291" s="283" customFormat="1"/>
    <row r="11292" s="283" customFormat="1"/>
    <row r="11293" s="283" customFormat="1"/>
    <row r="11294" s="283" customFormat="1"/>
    <row r="11295" s="283" customFormat="1"/>
    <row r="11296" s="283" customFormat="1"/>
    <row r="11297" s="283" customFormat="1"/>
    <row r="11298" s="283" customFormat="1"/>
    <row r="11299" s="283" customFormat="1"/>
    <row r="11300" s="283" customFormat="1"/>
    <row r="11301" s="283" customFormat="1"/>
    <row r="11302" s="283" customFormat="1"/>
    <row r="11303" s="283" customFormat="1"/>
    <row r="11304" s="283" customFormat="1"/>
    <row r="11305" s="283" customFormat="1"/>
    <row r="11306" s="283" customFormat="1"/>
    <row r="11307" s="283" customFormat="1"/>
    <row r="11308" s="283" customFormat="1"/>
    <row r="11309" s="283" customFormat="1"/>
    <row r="11310" s="283" customFormat="1"/>
    <row r="11311" s="283" customFormat="1"/>
    <row r="11312" s="283" customFormat="1"/>
    <row r="11313" s="283" customFormat="1"/>
    <row r="11314" s="283" customFormat="1"/>
    <row r="11315" s="283" customFormat="1"/>
    <row r="11316" s="283" customFormat="1"/>
    <row r="11317" s="283" customFormat="1"/>
    <row r="11318" s="283" customFormat="1"/>
    <row r="11319" s="283" customFormat="1"/>
    <row r="11320" s="283" customFormat="1"/>
    <row r="11321" s="283" customFormat="1"/>
    <row r="11322" s="283" customFormat="1"/>
    <row r="11323" s="283" customFormat="1"/>
    <row r="11324" s="283" customFormat="1"/>
    <row r="11325" s="283" customFormat="1"/>
    <row r="11326" s="283" customFormat="1"/>
    <row r="11327" s="283" customFormat="1"/>
    <row r="11328" s="283" customFormat="1"/>
    <row r="11329" s="283" customFormat="1"/>
    <row r="11330" s="283" customFormat="1"/>
    <row r="11331" s="283" customFormat="1"/>
    <row r="11332" s="283" customFormat="1"/>
    <row r="11333" s="283" customFormat="1"/>
    <row r="11334" s="283" customFormat="1"/>
    <row r="11335" s="283" customFormat="1"/>
    <row r="11336" s="283" customFormat="1"/>
    <row r="11337" s="283" customFormat="1"/>
    <row r="11338" s="283" customFormat="1"/>
    <row r="11339" s="283" customFormat="1"/>
    <row r="11340" s="283" customFormat="1"/>
    <row r="11341" s="283" customFormat="1"/>
    <row r="11342" s="283" customFormat="1"/>
    <row r="11343" s="283" customFormat="1"/>
    <row r="11344" s="283" customFormat="1"/>
    <row r="11345" s="283" customFormat="1"/>
    <row r="11346" s="283" customFormat="1"/>
    <row r="11347" s="283" customFormat="1"/>
    <row r="11348" s="283" customFormat="1"/>
    <row r="11349" s="283" customFormat="1"/>
    <row r="11350" s="283" customFormat="1"/>
    <row r="11351" s="283" customFormat="1"/>
    <row r="11352" s="283" customFormat="1"/>
    <row r="11353" s="283" customFormat="1"/>
    <row r="11354" s="283" customFormat="1"/>
    <row r="11355" s="283" customFormat="1"/>
    <row r="11356" s="283" customFormat="1"/>
    <row r="11357" s="283" customFormat="1"/>
    <row r="11358" s="283" customFormat="1"/>
    <row r="11359" s="283" customFormat="1"/>
    <row r="11360" s="283" customFormat="1"/>
    <row r="11361" s="283" customFormat="1"/>
    <row r="11362" s="283" customFormat="1"/>
    <row r="11363" s="283" customFormat="1"/>
    <row r="11364" s="283" customFormat="1"/>
    <row r="11365" s="283" customFormat="1"/>
    <row r="11366" s="283" customFormat="1"/>
    <row r="11367" s="283" customFormat="1"/>
    <row r="11368" s="283" customFormat="1"/>
    <row r="11369" s="283" customFormat="1"/>
    <row r="11370" s="283" customFormat="1"/>
    <row r="11371" s="283" customFormat="1"/>
    <row r="11372" s="283" customFormat="1"/>
    <row r="11373" s="283" customFormat="1"/>
    <row r="11374" s="283" customFormat="1"/>
    <row r="11375" s="283" customFormat="1"/>
    <row r="11376" s="283" customFormat="1"/>
    <row r="11377" s="283" customFormat="1"/>
    <row r="11378" s="283" customFormat="1"/>
    <row r="11379" s="283" customFormat="1"/>
    <row r="11380" s="283" customFormat="1"/>
    <row r="11381" s="283" customFormat="1"/>
    <row r="11382" s="283" customFormat="1"/>
    <row r="11383" s="283" customFormat="1"/>
    <row r="11384" s="283" customFormat="1"/>
    <row r="11385" s="283" customFormat="1"/>
    <row r="11386" s="283" customFormat="1"/>
    <row r="11387" s="283" customFormat="1"/>
    <row r="11388" s="283" customFormat="1"/>
    <row r="11389" s="283" customFormat="1"/>
    <row r="11390" s="283" customFormat="1"/>
    <row r="11391" s="283" customFormat="1"/>
    <row r="11392" s="283" customFormat="1"/>
    <row r="11393" s="283" customFormat="1"/>
    <row r="11394" s="283" customFormat="1"/>
    <row r="11395" s="283" customFormat="1"/>
    <row r="11396" s="283" customFormat="1"/>
    <row r="11397" s="283" customFormat="1"/>
    <row r="11398" s="283" customFormat="1"/>
    <row r="11399" s="283" customFormat="1"/>
    <row r="11400" s="283" customFormat="1"/>
    <row r="11401" s="283" customFormat="1"/>
    <row r="11402" s="283" customFormat="1"/>
    <row r="11403" s="283" customFormat="1"/>
    <row r="11404" s="283" customFormat="1"/>
    <row r="11405" s="283" customFormat="1"/>
    <row r="11406" s="283" customFormat="1"/>
    <row r="11407" s="283" customFormat="1"/>
    <row r="11408" s="283" customFormat="1"/>
    <row r="11409" s="283" customFormat="1"/>
    <row r="11410" s="283" customFormat="1"/>
    <row r="11411" s="283" customFormat="1"/>
    <row r="11412" s="283" customFormat="1"/>
    <row r="11413" s="283" customFormat="1"/>
    <row r="11414" s="283" customFormat="1"/>
    <row r="11415" s="283" customFormat="1"/>
    <row r="11416" s="283" customFormat="1"/>
    <row r="11417" s="283" customFormat="1"/>
    <row r="11418" s="283" customFormat="1"/>
    <row r="11419" s="283" customFormat="1"/>
    <row r="11420" s="283" customFormat="1"/>
    <row r="11421" s="283" customFormat="1"/>
    <row r="11422" s="283" customFormat="1"/>
    <row r="11423" s="283" customFormat="1"/>
    <row r="11424" s="283" customFormat="1"/>
    <row r="11425" s="283" customFormat="1"/>
    <row r="11426" s="283" customFormat="1"/>
    <row r="11427" s="283" customFormat="1"/>
    <row r="11428" s="283" customFormat="1"/>
    <row r="11429" s="283" customFormat="1"/>
    <row r="11430" s="283" customFormat="1"/>
    <row r="11431" s="283" customFormat="1"/>
    <row r="11432" s="283" customFormat="1"/>
    <row r="11433" s="283" customFormat="1"/>
    <row r="11434" s="283" customFormat="1"/>
    <row r="11435" s="283" customFormat="1"/>
    <row r="11436" s="283" customFormat="1"/>
    <row r="11437" s="283" customFormat="1"/>
    <row r="11438" s="283" customFormat="1"/>
    <row r="11439" s="283" customFormat="1"/>
    <row r="11440" s="283" customFormat="1"/>
    <row r="11441" s="283" customFormat="1"/>
    <row r="11442" s="283" customFormat="1"/>
    <row r="11443" s="283" customFormat="1"/>
    <row r="11444" s="283" customFormat="1"/>
    <row r="11445" s="283" customFormat="1"/>
    <row r="11446" s="283" customFormat="1"/>
    <row r="11447" s="283" customFormat="1"/>
    <row r="11448" s="283" customFormat="1"/>
    <row r="11449" s="283" customFormat="1"/>
    <row r="11450" s="283" customFormat="1"/>
    <row r="11451" s="283" customFormat="1"/>
    <row r="11452" s="283" customFormat="1"/>
    <row r="11453" s="283" customFormat="1"/>
    <row r="11454" s="283" customFormat="1"/>
    <row r="11455" s="283" customFormat="1"/>
    <row r="11456" s="283" customFormat="1"/>
    <row r="11457" s="283" customFormat="1"/>
    <row r="11458" s="283" customFormat="1"/>
    <row r="11459" s="283" customFormat="1"/>
    <row r="11460" s="283" customFormat="1"/>
    <row r="11461" s="283" customFormat="1"/>
    <row r="11462" s="283" customFormat="1"/>
    <row r="11463" s="283" customFormat="1"/>
    <row r="11464" s="283" customFormat="1"/>
    <row r="11465" s="283" customFormat="1"/>
    <row r="11466" s="283" customFormat="1"/>
    <row r="11467" s="283" customFormat="1"/>
    <row r="11468" s="283" customFormat="1"/>
    <row r="11469" s="283" customFormat="1"/>
    <row r="11470" s="283" customFormat="1"/>
    <row r="11471" s="283" customFormat="1"/>
    <row r="11472" s="283" customFormat="1"/>
    <row r="11473" s="283" customFormat="1"/>
    <row r="11474" s="283" customFormat="1"/>
    <row r="11475" s="283" customFormat="1"/>
    <row r="11476" s="283" customFormat="1"/>
    <row r="11477" s="283" customFormat="1"/>
    <row r="11478" s="283" customFormat="1"/>
    <row r="11479" s="283" customFormat="1"/>
    <row r="11480" s="283" customFormat="1"/>
    <row r="11481" s="283" customFormat="1"/>
    <row r="11482" s="283" customFormat="1"/>
    <row r="11483" s="283" customFormat="1"/>
    <row r="11484" s="283" customFormat="1"/>
    <row r="11485" s="283" customFormat="1"/>
    <row r="11486" s="283" customFormat="1"/>
    <row r="11487" s="283" customFormat="1"/>
    <row r="11488" s="283" customFormat="1"/>
    <row r="11489" s="283" customFormat="1"/>
    <row r="11490" s="283" customFormat="1"/>
    <row r="11491" s="283" customFormat="1"/>
    <row r="11492" s="283" customFormat="1"/>
    <row r="11493" s="283" customFormat="1"/>
    <row r="11494" s="283" customFormat="1"/>
    <row r="11495" s="283" customFormat="1"/>
    <row r="11496" s="283" customFormat="1"/>
    <row r="11497" s="283" customFormat="1"/>
    <row r="11498" s="283" customFormat="1"/>
    <row r="11499" s="283" customFormat="1"/>
    <row r="11500" s="283" customFormat="1"/>
    <row r="11501" s="283" customFormat="1"/>
    <row r="11502" s="283" customFormat="1"/>
    <row r="11503" s="283" customFormat="1"/>
    <row r="11504" s="283" customFormat="1"/>
    <row r="11505" s="283" customFormat="1"/>
    <row r="11506" s="283" customFormat="1"/>
    <row r="11507" s="283" customFormat="1"/>
    <row r="11508" s="283" customFormat="1"/>
    <row r="11509" s="283" customFormat="1"/>
    <row r="11510" s="283" customFormat="1"/>
    <row r="11511" s="283" customFormat="1"/>
    <row r="11512" s="283" customFormat="1"/>
    <row r="11513" s="283" customFormat="1"/>
    <row r="11514" s="283" customFormat="1"/>
    <row r="11515" s="283" customFormat="1"/>
    <row r="11516" s="283" customFormat="1"/>
    <row r="11517" s="283" customFormat="1"/>
    <row r="11518" s="283" customFormat="1"/>
    <row r="11519" s="283" customFormat="1"/>
    <row r="11520" s="283" customFormat="1"/>
    <row r="11521" s="283" customFormat="1"/>
    <row r="11522" s="283" customFormat="1"/>
    <row r="11523" s="283" customFormat="1"/>
    <row r="11524" s="283" customFormat="1"/>
    <row r="11525" s="283" customFormat="1"/>
    <row r="11526" s="283" customFormat="1"/>
    <row r="11527" s="283" customFormat="1"/>
    <row r="11528" s="283" customFormat="1"/>
    <row r="11529" s="283" customFormat="1"/>
    <row r="11530" s="283" customFormat="1"/>
    <row r="11531" s="283" customFormat="1"/>
    <row r="11532" s="283" customFormat="1"/>
    <row r="11533" s="283" customFormat="1"/>
    <row r="11534" s="283" customFormat="1"/>
    <row r="11535" s="283" customFormat="1"/>
    <row r="11536" s="283" customFormat="1"/>
    <row r="11537" s="283" customFormat="1"/>
    <row r="11538" s="283" customFormat="1"/>
    <row r="11539" s="283" customFormat="1"/>
    <row r="11540" s="283" customFormat="1"/>
    <row r="11541" s="283" customFormat="1"/>
    <row r="11542" s="283" customFormat="1"/>
    <row r="11543" s="283" customFormat="1"/>
    <row r="11544" s="283" customFormat="1"/>
    <row r="11545" s="283" customFormat="1"/>
    <row r="11546" s="283" customFormat="1"/>
    <row r="11547" s="283" customFormat="1"/>
    <row r="11548" s="283" customFormat="1"/>
    <row r="11549" s="283" customFormat="1"/>
    <row r="11550" s="283" customFormat="1"/>
    <row r="11551" s="283" customFormat="1"/>
    <row r="11552" s="283" customFormat="1"/>
    <row r="11553" s="283" customFormat="1"/>
    <row r="11554" s="283" customFormat="1"/>
    <row r="11555" s="283" customFormat="1"/>
    <row r="11556" s="283" customFormat="1"/>
    <row r="11557" s="283" customFormat="1"/>
    <row r="11558" s="283" customFormat="1"/>
    <row r="11559" s="283" customFormat="1"/>
    <row r="11560" s="283" customFormat="1"/>
    <row r="11561" s="283" customFormat="1"/>
    <row r="11562" s="283" customFormat="1"/>
    <row r="11563" s="283" customFormat="1"/>
    <row r="11564" s="283" customFormat="1"/>
    <row r="11565" s="283" customFormat="1"/>
    <row r="11566" s="283" customFormat="1"/>
    <row r="11567" s="283" customFormat="1"/>
    <row r="11568" s="283" customFormat="1"/>
    <row r="11569" s="283" customFormat="1"/>
    <row r="11570" s="283" customFormat="1"/>
    <row r="11571" s="283" customFormat="1"/>
    <row r="11572" s="283" customFormat="1"/>
    <row r="11573" s="283" customFormat="1"/>
    <row r="11574" s="283" customFormat="1"/>
    <row r="11575" s="283" customFormat="1"/>
    <row r="11576" s="283" customFormat="1"/>
    <row r="11577" s="283" customFormat="1"/>
    <row r="11578" s="283" customFormat="1"/>
    <row r="11579" s="283" customFormat="1"/>
    <row r="11580" s="283" customFormat="1"/>
    <row r="11581" s="283" customFormat="1"/>
    <row r="11582" s="283" customFormat="1"/>
    <row r="11583" s="283" customFormat="1"/>
    <row r="11584" s="283" customFormat="1"/>
    <row r="11585" s="283" customFormat="1"/>
    <row r="11586" s="283" customFormat="1"/>
    <row r="11587" s="283" customFormat="1"/>
    <row r="11588" s="283" customFormat="1"/>
    <row r="11589" s="283" customFormat="1"/>
    <row r="11590" s="283" customFormat="1"/>
    <row r="11591" s="283" customFormat="1"/>
    <row r="11592" s="283" customFormat="1"/>
    <row r="11593" s="283" customFormat="1"/>
    <row r="11594" s="283" customFormat="1"/>
    <row r="11595" s="283" customFormat="1"/>
    <row r="11596" s="283" customFormat="1"/>
    <row r="11597" s="283" customFormat="1"/>
    <row r="11598" s="283" customFormat="1"/>
    <row r="11599" s="283" customFormat="1"/>
    <row r="11600" s="283" customFormat="1"/>
    <row r="11601" s="283" customFormat="1"/>
    <row r="11602" s="283" customFormat="1"/>
    <row r="11603" s="283" customFormat="1"/>
    <row r="11604" s="283" customFormat="1"/>
    <row r="11605" s="283" customFormat="1"/>
    <row r="11606" s="283" customFormat="1"/>
    <row r="11607" s="283" customFormat="1"/>
    <row r="11608" s="283" customFormat="1"/>
    <row r="11609" s="283" customFormat="1"/>
    <row r="11610" s="283" customFormat="1"/>
    <row r="11611" s="283" customFormat="1"/>
    <row r="11612" s="283" customFormat="1"/>
    <row r="11613" s="283" customFormat="1"/>
    <row r="11614" s="283" customFormat="1"/>
    <row r="11615" s="283" customFormat="1"/>
    <row r="11616" s="283" customFormat="1"/>
    <row r="11617" s="283" customFormat="1"/>
    <row r="11618" s="283" customFormat="1"/>
    <row r="11619" s="283" customFormat="1"/>
    <row r="11620" s="283" customFormat="1"/>
    <row r="11621" s="283" customFormat="1"/>
    <row r="11622" s="283" customFormat="1"/>
    <row r="11623" s="283" customFormat="1"/>
    <row r="11624" s="283" customFormat="1"/>
    <row r="11625" s="283" customFormat="1"/>
    <row r="11626" s="283" customFormat="1"/>
    <row r="11627" s="283" customFormat="1"/>
    <row r="11628" s="283" customFormat="1"/>
    <row r="11629" s="283" customFormat="1"/>
    <row r="11630" s="283" customFormat="1"/>
    <row r="11631" s="283" customFormat="1"/>
    <row r="11632" s="283" customFormat="1"/>
    <row r="11633" s="283" customFormat="1"/>
    <row r="11634" s="283" customFormat="1"/>
    <row r="11635" s="283" customFormat="1"/>
    <row r="11636" s="283" customFormat="1"/>
    <row r="11637" s="283" customFormat="1"/>
    <row r="11638" s="283" customFormat="1"/>
    <row r="11639" s="283" customFormat="1"/>
    <row r="11640" s="283" customFormat="1"/>
    <row r="11641" s="283" customFormat="1"/>
    <row r="11642" s="283" customFormat="1"/>
    <row r="11643" s="283" customFormat="1"/>
    <row r="11644" s="283" customFormat="1"/>
    <row r="11645" s="283" customFormat="1"/>
    <row r="11646" s="283" customFormat="1"/>
    <row r="11647" s="283" customFormat="1"/>
    <row r="11648" s="283" customFormat="1"/>
    <row r="11649" s="283" customFormat="1"/>
    <row r="11650" s="283" customFormat="1"/>
    <row r="11651" s="283" customFormat="1"/>
    <row r="11652" s="283" customFormat="1"/>
    <row r="11653" s="283" customFormat="1"/>
    <row r="11654" s="283" customFormat="1"/>
    <row r="11655" s="283" customFormat="1"/>
    <row r="11656" s="283" customFormat="1"/>
    <row r="11657" s="283" customFormat="1"/>
    <row r="11658" s="283" customFormat="1"/>
    <row r="11659" s="283" customFormat="1"/>
    <row r="11660" s="283" customFormat="1"/>
    <row r="11661" s="283" customFormat="1"/>
    <row r="11662" s="283" customFormat="1"/>
    <row r="11663" s="283" customFormat="1"/>
    <row r="11664" s="283" customFormat="1"/>
    <row r="11665" s="283" customFormat="1"/>
    <row r="11666" s="283" customFormat="1"/>
    <row r="11667" s="283" customFormat="1"/>
    <row r="11668" s="283" customFormat="1"/>
    <row r="11669" s="283" customFormat="1"/>
    <row r="11670" s="283" customFormat="1"/>
    <row r="11671" s="283" customFormat="1"/>
    <row r="11672" s="283" customFormat="1"/>
    <row r="11673" s="283" customFormat="1"/>
    <row r="11674" s="283" customFormat="1"/>
    <row r="11675" s="283" customFormat="1"/>
    <row r="11676" s="283" customFormat="1"/>
    <row r="11677" s="283" customFormat="1"/>
    <row r="11678" s="283" customFormat="1"/>
    <row r="11679" s="283" customFormat="1"/>
    <row r="11680" s="283" customFormat="1"/>
    <row r="11681" s="283" customFormat="1"/>
    <row r="11682" s="283" customFormat="1"/>
    <row r="11683" s="283" customFormat="1"/>
    <row r="11684" s="283" customFormat="1"/>
    <row r="11685" s="283" customFormat="1"/>
    <row r="11686" s="283" customFormat="1"/>
    <row r="11687" s="283" customFormat="1"/>
    <row r="11688" s="283" customFormat="1"/>
    <row r="11689" s="283" customFormat="1"/>
    <row r="11690" s="283" customFormat="1"/>
    <row r="11691" s="283" customFormat="1"/>
    <row r="11692" s="283" customFormat="1"/>
    <row r="11693" s="283" customFormat="1"/>
    <row r="11694" s="283" customFormat="1"/>
    <row r="11695" s="283" customFormat="1"/>
    <row r="11696" s="283" customFormat="1"/>
    <row r="11697" s="283" customFormat="1"/>
    <row r="11698" s="283" customFormat="1"/>
    <row r="11699" s="283" customFormat="1"/>
    <row r="11700" s="283" customFormat="1"/>
    <row r="11701" s="283" customFormat="1"/>
    <row r="11702" s="283" customFormat="1"/>
    <row r="11703" s="283" customFormat="1"/>
    <row r="11704" s="283" customFormat="1"/>
    <row r="11705" s="283" customFormat="1"/>
    <row r="11706" s="283" customFormat="1"/>
    <row r="11707" s="283" customFormat="1"/>
    <row r="11708" s="283" customFormat="1"/>
    <row r="11709" s="283" customFormat="1"/>
    <row r="11710" s="283" customFormat="1"/>
    <row r="11711" s="283" customFormat="1"/>
    <row r="11712" s="283" customFormat="1"/>
    <row r="11713" s="283" customFormat="1"/>
    <row r="11714" s="283" customFormat="1"/>
    <row r="11715" s="283" customFormat="1"/>
    <row r="11716" s="283" customFormat="1"/>
    <row r="11717" s="283" customFormat="1"/>
    <row r="11718" s="283" customFormat="1"/>
    <row r="11719" s="283" customFormat="1"/>
    <row r="11720" s="283" customFormat="1"/>
    <row r="11721" s="283" customFormat="1"/>
    <row r="11722" s="283" customFormat="1"/>
    <row r="11723" s="283" customFormat="1"/>
    <row r="11724" s="283" customFormat="1"/>
    <row r="11725" s="283" customFormat="1"/>
    <row r="11726" s="283" customFormat="1"/>
    <row r="11727" s="283" customFormat="1"/>
    <row r="11728" s="283" customFormat="1"/>
    <row r="11729" s="283" customFormat="1"/>
    <row r="11730" s="283" customFormat="1"/>
    <row r="11731" s="283" customFormat="1"/>
    <row r="11732" s="283" customFormat="1"/>
    <row r="11733" s="283" customFormat="1"/>
    <row r="11734" s="283" customFormat="1"/>
    <row r="11735" s="283" customFormat="1"/>
    <row r="11736" s="283" customFormat="1"/>
    <row r="11737" s="283" customFormat="1"/>
    <row r="11738" s="283" customFormat="1"/>
    <row r="11739" s="283" customFormat="1"/>
    <row r="11740" s="283" customFormat="1"/>
    <row r="11741" s="283" customFormat="1"/>
    <row r="11742" s="283" customFormat="1"/>
    <row r="11743" s="283" customFormat="1"/>
    <row r="11744" s="283" customFormat="1"/>
    <row r="11745" s="283" customFormat="1"/>
    <row r="11746" s="283" customFormat="1"/>
    <row r="11747" s="283" customFormat="1"/>
    <row r="11748" s="283" customFormat="1"/>
    <row r="11749" s="283" customFormat="1"/>
    <row r="11750" s="283" customFormat="1"/>
    <row r="11751" s="283" customFormat="1"/>
    <row r="11752" s="283" customFormat="1"/>
    <row r="11753" s="283" customFormat="1"/>
    <row r="11754" s="283" customFormat="1"/>
    <row r="11755" s="283" customFormat="1"/>
    <row r="11756" s="283" customFormat="1"/>
    <row r="11757" s="283" customFormat="1"/>
    <row r="11758" s="283" customFormat="1"/>
    <row r="11759" s="283" customFormat="1"/>
    <row r="11760" s="283" customFormat="1"/>
    <row r="11761" s="283" customFormat="1"/>
    <row r="11762" s="283" customFormat="1"/>
    <row r="11763" s="283" customFormat="1"/>
    <row r="11764" s="283" customFormat="1"/>
    <row r="11765" s="283" customFormat="1"/>
    <row r="11766" s="283" customFormat="1"/>
    <row r="11767" s="283" customFormat="1"/>
    <row r="11768" s="283" customFormat="1"/>
    <row r="11769" s="283" customFormat="1"/>
    <row r="11770" s="283" customFormat="1"/>
    <row r="11771" s="283" customFormat="1"/>
    <row r="11772" s="283" customFormat="1"/>
    <row r="11773" s="283" customFormat="1"/>
    <row r="11774" s="283" customFormat="1"/>
    <row r="11775" s="283" customFormat="1"/>
    <row r="11776" s="283" customFormat="1"/>
    <row r="11777" s="283" customFormat="1"/>
    <row r="11778" s="283" customFormat="1"/>
    <row r="11779" s="283" customFormat="1"/>
    <row r="11780" s="283" customFormat="1"/>
    <row r="11781" s="283" customFormat="1"/>
    <row r="11782" s="283" customFormat="1"/>
    <row r="11783" s="283" customFormat="1"/>
    <row r="11784" s="283" customFormat="1"/>
    <row r="11785" s="283" customFormat="1"/>
    <row r="11786" s="283" customFormat="1"/>
    <row r="11787" s="283" customFormat="1"/>
    <row r="11788" s="283" customFormat="1"/>
    <row r="11789" s="283" customFormat="1"/>
    <row r="11790" s="283" customFormat="1"/>
    <row r="11791" s="283" customFormat="1"/>
    <row r="11792" s="283" customFormat="1"/>
    <row r="11793" s="283" customFormat="1"/>
    <row r="11794" s="283" customFormat="1"/>
    <row r="11795" s="283" customFormat="1"/>
    <row r="11796" s="283" customFormat="1"/>
    <row r="11797" s="283" customFormat="1"/>
    <row r="11798" s="283" customFormat="1"/>
    <row r="11799" s="283" customFormat="1"/>
    <row r="11800" s="283" customFormat="1"/>
    <row r="11801" s="283" customFormat="1"/>
    <row r="11802" s="283" customFormat="1"/>
    <row r="11803" s="283" customFormat="1"/>
    <row r="11804" s="283" customFormat="1"/>
    <row r="11805" s="283" customFormat="1"/>
    <row r="11806" s="283" customFormat="1"/>
    <row r="11807" s="283" customFormat="1"/>
    <row r="11808" s="283" customFormat="1"/>
    <row r="11809" s="283" customFormat="1"/>
    <row r="11810" s="283" customFormat="1"/>
    <row r="11811" s="283" customFormat="1"/>
    <row r="11812" s="283" customFormat="1"/>
    <row r="11813" s="283" customFormat="1"/>
    <row r="11814" s="283" customFormat="1"/>
    <row r="11815" s="283" customFormat="1"/>
    <row r="11816" s="283" customFormat="1"/>
    <row r="11817" s="283" customFormat="1"/>
    <row r="11818" s="283" customFormat="1"/>
    <row r="11819" s="283" customFormat="1"/>
    <row r="11820" s="283" customFormat="1"/>
    <row r="11821" s="283" customFormat="1"/>
    <row r="11822" s="283" customFormat="1"/>
    <row r="11823" s="283" customFormat="1"/>
    <row r="11824" s="283" customFormat="1"/>
    <row r="11825" s="283" customFormat="1"/>
    <row r="11826" s="283" customFormat="1"/>
    <row r="11827" s="283" customFormat="1"/>
    <row r="11828" s="283" customFormat="1"/>
    <row r="11829" s="283" customFormat="1"/>
    <row r="11830" s="283" customFormat="1"/>
    <row r="11831" s="283" customFormat="1"/>
    <row r="11832" s="283" customFormat="1"/>
    <row r="11833" s="283" customFormat="1"/>
    <row r="11834" s="283" customFormat="1"/>
    <row r="11835" s="283" customFormat="1"/>
    <row r="11836" s="283" customFormat="1"/>
    <row r="11837" s="283" customFormat="1"/>
    <row r="11838" s="283" customFormat="1"/>
    <row r="11839" s="283" customFormat="1"/>
    <row r="11840" s="283" customFormat="1"/>
    <row r="11841" s="283" customFormat="1"/>
    <row r="11842" s="283" customFormat="1"/>
    <row r="11843" s="283" customFormat="1"/>
    <row r="11844" s="283" customFormat="1"/>
    <row r="11845" s="283" customFormat="1"/>
    <row r="11846" s="283" customFormat="1"/>
    <row r="11847" s="283" customFormat="1"/>
    <row r="11848" s="283" customFormat="1"/>
    <row r="11849" s="283" customFormat="1"/>
    <row r="11850" s="283" customFormat="1"/>
    <row r="11851" s="283" customFormat="1"/>
    <row r="11852" s="283" customFormat="1"/>
    <row r="11853" s="283" customFormat="1"/>
    <row r="11854" s="283" customFormat="1"/>
    <row r="11855" s="283" customFormat="1"/>
    <row r="11856" s="283" customFormat="1"/>
    <row r="11857" s="283" customFormat="1"/>
    <row r="11858" s="283" customFormat="1"/>
    <row r="11859" s="283" customFormat="1"/>
    <row r="11860" s="283" customFormat="1"/>
    <row r="11861" s="283" customFormat="1"/>
    <row r="11862" s="283" customFormat="1"/>
    <row r="11863" s="283" customFormat="1"/>
    <row r="11864" s="283" customFormat="1"/>
    <row r="11865" s="283" customFormat="1"/>
    <row r="11866" s="283" customFormat="1"/>
    <row r="11867" s="283" customFormat="1"/>
    <row r="11868" s="283" customFormat="1"/>
    <row r="11869" s="283" customFormat="1"/>
    <row r="11870" s="283" customFormat="1"/>
    <row r="11871" s="283" customFormat="1"/>
    <row r="11872" s="283" customFormat="1"/>
    <row r="11873" s="283" customFormat="1"/>
    <row r="11874" s="283" customFormat="1"/>
    <row r="11875" s="283" customFormat="1"/>
    <row r="11876" s="283" customFormat="1"/>
    <row r="11877" s="283" customFormat="1"/>
    <row r="11878" s="283" customFormat="1"/>
    <row r="11879" s="283" customFormat="1"/>
    <row r="11880" s="283" customFormat="1"/>
    <row r="11881" s="283" customFormat="1"/>
    <row r="11882" s="283" customFormat="1"/>
    <row r="11883" s="283" customFormat="1"/>
    <row r="11884" s="283" customFormat="1"/>
    <row r="11885" s="283" customFormat="1"/>
    <row r="11886" s="283" customFormat="1"/>
    <row r="11887" s="283" customFormat="1"/>
    <row r="11888" s="283" customFormat="1"/>
    <row r="11889" s="283" customFormat="1"/>
    <row r="11890" s="283" customFormat="1"/>
    <row r="11891" s="283" customFormat="1"/>
    <row r="11892" s="283" customFormat="1"/>
    <row r="11893" s="283" customFormat="1"/>
    <row r="11894" s="283" customFormat="1"/>
    <row r="11895" s="283" customFormat="1"/>
    <row r="11896" s="283" customFormat="1"/>
    <row r="11897" s="283" customFormat="1"/>
    <row r="11898" s="283" customFormat="1"/>
    <row r="11899" s="283" customFormat="1"/>
    <row r="11900" s="283" customFormat="1"/>
    <row r="11901" s="283" customFormat="1"/>
    <row r="11902" s="283" customFormat="1"/>
    <row r="11903" s="283" customFormat="1"/>
    <row r="11904" s="283" customFormat="1"/>
    <row r="11905" s="283" customFormat="1"/>
    <row r="11906" s="283" customFormat="1"/>
    <row r="11907" s="283" customFormat="1"/>
    <row r="11908" s="283" customFormat="1"/>
    <row r="11909" s="283" customFormat="1"/>
    <row r="11910" s="283" customFormat="1"/>
    <row r="11911" s="283" customFormat="1"/>
    <row r="11912" s="283" customFormat="1"/>
    <row r="11913" s="283" customFormat="1"/>
    <row r="11914" s="283" customFormat="1"/>
    <row r="11915" s="283" customFormat="1"/>
    <row r="11916" s="283" customFormat="1"/>
    <row r="11917" s="283" customFormat="1"/>
    <row r="11918" s="283" customFormat="1"/>
    <row r="11919" s="283" customFormat="1"/>
    <row r="11920" s="283" customFormat="1"/>
    <row r="11921" s="283" customFormat="1"/>
    <row r="11922" s="283" customFormat="1"/>
    <row r="11923" s="283" customFormat="1"/>
    <row r="11924" s="283" customFormat="1"/>
    <row r="11925" s="283" customFormat="1"/>
    <row r="11926" s="283" customFormat="1"/>
    <row r="11927" s="283" customFormat="1"/>
    <row r="11928" s="283" customFormat="1"/>
    <row r="11929" s="283" customFormat="1"/>
    <row r="11930" s="283" customFormat="1"/>
    <row r="11931" s="283" customFormat="1"/>
    <row r="11932" s="283" customFormat="1"/>
    <row r="11933" s="283" customFormat="1"/>
    <row r="11934" s="283" customFormat="1"/>
    <row r="11935" s="283" customFormat="1"/>
    <row r="11936" s="283" customFormat="1"/>
    <row r="11937" s="283" customFormat="1"/>
    <row r="11938" s="283" customFormat="1"/>
    <row r="11939" s="283" customFormat="1"/>
    <row r="11940" s="283" customFormat="1"/>
    <row r="11941" s="283" customFormat="1"/>
    <row r="11942" s="283" customFormat="1"/>
    <row r="11943" s="283" customFormat="1"/>
    <row r="11944" s="283" customFormat="1"/>
    <row r="11945" s="283" customFormat="1"/>
    <row r="11946" s="283" customFormat="1"/>
    <row r="11947" s="283" customFormat="1"/>
    <row r="11948" s="283" customFormat="1"/>
    <row r="11949" s="283" customFormat="1"/>
    <row r="11950" s="283" customFormat="1"/>
    <row r="11951" s="283" customFormat="1"/>
    <row r="11952" s="283" customFormat="1"/>
    <row r="11953" s="283" customFormat="1"/>
    <row r="11954" s="283" customFormat="1"/>
    <row r="11955" s="283" customFormat="1"/>
    <row r="11956" s="283" customFormat="1"/>
    <row r="11957" s="283" customFormat="1"/>
    <row r="11958" s="283" customFormat="1"/>
    <row r="11959" s="283" customFormat="1"/>
    <row r="11960" s="283" customFormat="1"/>
    <row r="11961" s="283" customFormat="1"/>
    <row r="11962" s="283" customFormat="1"/>
    <row r="11963" s="283" customFormat="1"/>
    <row r="11964" s="283" customFormat="1"/>
    <row r="11965" s="283" customFormat="1"/>
    <row r="11966" s="283" customFormat="1"/>
    <row r="11967" s="283" customFormat="1"/>
    <row r="11968" s="283" customFormat="1"/>
    <row r="11969" s="283" customFormat="1"/>
    <row r="11970" s="283" customFormat="1"/>
    <row r="11971" s="283" customFormat="1"/>
    <row r="11972" s="283" customFormat="1"/>
    <row r="11973" s="283" customFormat="1"/>
    <row r="11974" s="283" customFormat="1"/>
    <row r="11975" s="283" customFormat="1"/>
    <row r="11976" s="283" customFormat="1"/>
    <row r="11977" s="283" customFormat="1"/>
    <row r="11978" s="283" customFormat="1"/>
    <row r="11979" s="283" customFormat="1"/>
    <row r="11980" s="283" customFormat="1"/>
    <row r="11981" s="283" customFormat="1"/>
    <row r="11982" s="283" customFormat="1"/>
    <row r="11983" s="283" customFormat="1"/>
    <row r="11984" s="283" customFormat="1"/>
    <row r="11985" s="283" customFormat="1"/>
    <row r="11986" s="283" customFormat="1"/>
    <row r="11987" s="283" customFormat="1"/>
    <row r="11988" s="283" customFormat="1"/>
    <row r="11989" s="283" customFormat="1"/>
    <row r="11990" s="283" customFormat="1"/>
    <row r="11991" s="283" customFormat="1"/>
    <row r="11992" s="283" customFormat="1"/>
    <row r="11993" s="283" customFormat="1"/>
    <row r="11994" s="283" customFormat="1"/>
    <row r="11995" s="283" customFormat="1"/>
    <row r="11996" s="283" customFormat="1"/>
    <row r="11997" s="283" customFormat="1"/>
    <row r="11998" s="283" customFormat="1"/>
    <row r="11999" s="283" customFormat="1"/>
    <row r="12000" s="283" customFormat="1"/>
    <row r="12001" s="283" customFormat="1"/>
    <row r="12002" s="283" customFormat="1"/>
    <row r="12003" s="283" customFormat="1"/>
    <row r="12004" s="283" customFormat="1"/>
    <row r="12005" s="283" customFormat="1"/>
    <row r="12006" s="283" customFormat="1"/>
    <row r="12007" s="283" customFormat="1"/>
    <row r="12008" s="283" customFormat="1"/>
    <row r="12009" s="283" customFormat="1"/>
    <row r="12010" s="283" customFormat="1"/>
    <row r="12011" s="283" customFormat="1"/>
    <row r="12012" s="283" customFormat="1"/>
    <row r="12013" s="283" customFormat="1"/>
    <row r="12014" s="283" customFormat="1"/>
    <row r="12015" s="283" customFormat="1"/>
    <row r="12016" s="283" customFormat="1"/>
    <row r="12017" s="283" customFormat="1"/>
    <row r="12018" s="283" customFormat="1"/>
    <row r="12019" s="283" customFormat="1"/>
    <row r="12020" s="283" customFormat="1"/>
    <row r="12021" s="283" customFormat="1"/>
    <row r="12022" s="283" customFormat="1"/>
    <row r="12023" s="283" customFormat="1"/>
    <row r="12024" s="283" customFormat="1"/>
    <row r="12025" s="283" customFormat="1"/>
    <row r="12026" s="283" customFormat="1"/>
    <row r="12027" s="283" customFormat="1"/>
    <row r="12028" s="283" customFormat="1"/>
    <row r="12029" s="283" customFormat="1"/>
    <row r="12030" s="283" customFormat="1"/>
    <row r="12031" s="283" customFormat="1"/>
    <row r="12032" s="283" customFormat="1"/>
    <row r="12033" s="283" customFormat="1"/>
    <row r="12034" s="283" customFormat="1"/>
    <row r="12035" s="283" customFormat="1"/>
    <row r="12036" s="283" customFormat="1"/>
    <row r="12037" s="283" customFormat="1"/>
    <row r="12038" s="283" customFormat="1"/>
    <row r="12039" s="283" customFormat="1"/>
    <row r="12040" s="283" customFormat="1"/>
    <row r="12041" s="283" customFormat="1"/>
    <row r="12042" s="283" customFormat="1"/>
    <row r="12043" s="283" customFormat="1"/>
    <row r="12044" s="283" customFormat="1"/>
    <row r="12045" s="283" customFormat="1"/>
    <row r="12046" s="283" customFormat="1"/>
    <row r="12047" s="283" customFormat="1"/>
    <row r="12048" s="283" customFormat="1"/>
    <row r="12049" s="283" customFormat="1"/>
    <row r="12050" s="283" customFormat="1"/>
    <row r="12051" s="283" customFormat="1"/>
    <row r="12052" s="283" customFormat="1"/>
    <row r="12053" s="283" customFormat="1"/>
    <row r="12054" s="283" customFormat="1"/>
    <row r="12055" s="283" customFormat="1"/>
    <row r="12056" s="283" customFormat="1"/>
    <row r="12057" s="283" customFormat="1"/>
    <row r="12058" s="283" customFormat="1"/>
    <row r="12059" s="283" customFormat="1"/>
    <row r="12060" s="283" customFormat="1"/>
    <row r="12061" s="283" customFormat="1"/>
    <row r="12062" s="283" customFormat="1"/>
    <row r="12063" s="283" customFormat="1"/>
    <row r="12064" s="283" customFormat="1"/>
    <row r="12065" s="283" customFormat="1"/>
    <row r="12066" s="283" customFormat="1"/>
    <row r="12067" s="283" customFormat="1"/>
    <row r="12068" s="283" customFormat="1"/>
    <row r="12069" s="283" customFormat="1"/>
    <row r="12070" s="283" customFormat="1"/>
    <row r="12071" s="283" customFormat="1"/>
    <row r="12072" s="283" customFormat="1"/>
    <row r="12073" s="283" customFormat="1"/>
    <row r="12074" s="283" customFormat="1"/>
    <row r="12075" s="283" customFormat="1"/>
    <row r="12076" s="283" customFormat="1"/>
    <row r="12077" s="283" customFormat="1"/>
    <row r="12078" s="283" customFormat="1"/>
    <row r="12079" s="283" customFormat="1"/>
    <row r="12080" s="283" customFormat="1"/>
    <row r="12081" s="283" customFormat="1"/>
    <row r="12082" s="283" customFormat="1"/>
    <row r="12083" s="283" customFormat="1"/>
    <row r="12084" s="283" customFormat="1"/>
    <row r="12085" s="283" customFormat="1"/>
    <row r="12086" s="283" customFormat="1"/>
    <row r="12087" s="283" customFormat="1"/>
    <row r="12088" s="283" customFormat="1"/>
    <row r="12089" s="283" customFormat="1"/>
    <row r="12090" s="283" customFormat="1"/>
    <row r="12091" s="283" customFormat="1"/>
    <row r="12092" s="283" customFormat="1"/>
    <row r="12093" s="283" customFormat="1"/>
    <row r="12094" s="283" customFormat="1"/>
    <row r="12095" s="283" customFormat="1"/>
    <row r="12096" s="283" customFormat="1"/>
    <row r="12097" s="283" customFormat="1"/>
    <row r="12098" s="283" customFormat="1"/>
    <row r="12099" s="283" customFormat="1"/>
    <row r="12100" s="283" customFormat="1"/>
    <row r="12101" s="283" customFormat="1"/>
    <row r="12102" s="283" customFormat="1"/>
    <row r="12103" s="283" customFormat="1"/>
    <row r="12104" s="283" customFormat="1"/>
    <row r="12105" s="283" customFormat="1"/>
    <row r="12106" s="283" customFormat="1"/>
    <row r="12107" s="283" customFormat="1"/>
    <row r="12108" s="283" customFormat="1"/>
    <row r="12109" s="283" customFormat="1"/>
    <row r="12110" s="283" customFormat="1"/>
    <row r="12111" s="283" customFormat="1"/>
    <row r="12112" s="283" customFormat="1"/>
    <row r="12113" s="283" customFormat="1"/>
    <row r="12114" s="283" customFormat="1"/>
    <row r="12115" s="283" customFormat="1"/>
    <row r="12116" s="283" customFormat="1"/>
    <row r="12117" s="283" customFormat="1"/>
    <row r="12118" s="283" customFormat="1"/>
    <row r="12119" s="283" customFormat="1"/>
    <row r="12120" s="283" customFormat="1"/>
    <row r="12121" s="283" customFormat="1"/>
    <row r="12122" s="283" customFormat="1"/>
    <row r="12123" s="283" customFormat="1"/>
    <row r="12124" s="283" customFormat="1"/>
    <row r="12125" s="283" customFormat="1"/>
    <row r="12126" s="283" customFormat="1"/>
    <row r="12127" s="283" customFormat="1"/>
    <row r="12128" s="283" customFormat="1"/>
    <row r="12129" s="283" customFormat="1"/>
    <row r="12130" s="283" customFormat="1"/>
    <row r="12131" s="283" customFormat="1"/>
    <row r="12132" s="283" customFormat="1"/>
    <row r="12133" s="283" customFormat="1"/>
    <row r="12134" s="283" customFormat="1"/>
    <row r="12135" s="283" customFormat="1"/>
    <row r="12136" s="283" customFormat="1"/>
    <row r="12137" s="283" customFormat="1"/>
    <row r="12138" s="283" customFormat="1"/>
    <row r="12139" s="283" customFormat="1"/>
    <row r="12140" s="283" customFormat="1"/>
    <row r="12141" s="283" customFormat="1"/>
    <row r="12142" s="283" customFormat="1"/>
    <row r="12143" s="283" customFormat="1"/>
    <row r="12144" s="283" customFormat="1"/>
    <row r="12145" s="283" customFormat="1"/>
    <row r="12146" s="283" customFormat="1"/>
    <row r="12147" s="283" customFormat="1"/>
    <row r="12148" s="283" customFormat="1"/>
    <row r="12149" s="283" customFormat="1"/>
    <row r="12150" s="283" customFormat="1"/>
    <row r="12151" s="283" customFormat="1"/>
    <row r="12152" s="283" customFormat="1"/>
    <row r="12153" s="283" customFormat="1"/>
    <row r="12154" s="283" customFormat="1"/>
    <row r="12155" s="283" customFormat="1"/>
    <row r="12156" s="283" customFormat="1"/>
    <row r="12157" s="283" customFormat="1"/>
    <row r="12158" s="283" customFormat="1"/>
    <row r="12159" s="283" customFormat="1"/>
    <row r="12160" s="283" customFormat="1"/>
    <row r="12161" s="283" customFormat="1"/>
    <row r="12162" s="283" customFormat="1"/>
    <row r="12163" s="283" customFormat="1"/>
    <row r="12164" s="283" customFormat="1"/>
    <row r="12165" s="283" customFormat="1"/>
    <row r="12166" s="283" customFormat="1"/>
    <row r="12167" s="283" customFormat="1"/>
    <row r="12168" s="283" customFormat="1"/>
    <row r="12169" s="283" customFormat="1"/>
    <row r="12170" s="283" customFormat="1"/>
    <row r="12171" s="283" customFormat="1"/>
    <row r="12172" s="283" customFormat="1"/>
    <row r="12173" s="283" customFormat="1"/>
    <row r="12174" s="283" customFormat="1"/>
    <row r="12175" s="283" customFormat="1"/>
    <row r="12176" s="283" customFormat="1"/>
    <row r="12177" s="283" customFormat="1"/>
    <row r="12178" s="283" customFormat="1"/>
    <row r="12179" s="283" customFormat="1"/>
    <row r="12180" s="283" customFormat="1"/>
    <row r="12181" s="283" customFormat="1"/>
    <row r="12182" s="283" customFormat="1"/>
    <row r="12183" s="283" customFormat="1"/>
    <row r="12184" s="283" customFormat="1"/>
    <row r="12185" s="283" customFormat="1"/>
    <row r="12186" s="283" customFormat="1"/>
    <row r="12187" s="283" customFormat="1"/>
    <row r="12188" s="283" customFormat="1"/>
    <row r="12189" s="283" customFormat="1"/>
    <row r="12190" s="283" customFormat="1"/>
    <row r="12191" s="283" customFormat="1"/>
    <row r="12192" s="283" customFormat="1"/>
    <row r="12193" s="283" customFormat="1"/>
    <row r="12194" s="283" customFormat="1"/>
    <row r="12195" s="283" customFormat="1"/>
    <row r="12196" s="283" customFormat="1"/>
    <row r="12197" s="283" customFormat="1"/>
    <row r="12198" s="283" customFormat="1"/>
    <row r="12199" s="283" customFormat="1"/>
    <row r="12200" s="283" customFormat="1"/>
    <row r="12201" s="283" customFormat="1"/>
    <row r="12202" s="283" customFormat="1"/>
    <row r="12203" s="283" customFormat="1"/>
    <row r="12204" s="283" customFormat="1"/>
    <row r="12205" s="283" customFormat="1"/>
    <row r="12206" s="283" customFormat="1"/>
    <row r="12207" s="283" customFormat="1"/>
    <row r="12208" s="283" customFormat="1"/>
    <row r="12209" s="283" customFormat="1"/>
    <row r="12210" s="283" customFormat="1"/>
    <row r="12211" s="283" customFormat="1"/>
    <row r="12212" s="283" customFormat="1"/>
    <row r="12213" s="283" customFormat="1"/>
    <row r="12214" s="283" customFormat="1"/>
    <row r="12215" s="283" customFormat="1"/>
    <row r="12216" s="283" customFormat="1"/>
    <row r="12217" s="283" customFormat="1"/>
    <row r="12218" s="283" customFormat="1"/>
    <row r="12219" s="283" customFormat="1"/>
    <row r="12220" s="283" customFormat="1"/>
    <row r="12221" s="283" customFormat="1"/>
    <row r="12222" s="283" customFormat="1"/>
    <row r="12223" s="283" customFormat="1"/>
    <row r="12224" s="283" customFormat="1"/>
    <row r="12225" s="283" customFormat="1"/>
    <row r="12226" s="283" customFormat="1"/>
    <row r="12227" s="283" customFormat="1"/>
    <row r="12228" s="283" customFormat="1"/>
    <row r="12229" s="283" customFormat="1"/>
    <row r="12230" s="283" customFormat="1"/>
    <row r="12231" s="283" customFormat="1"/>
    <row r="12232" s="283" customFormat="1"/>
    <row r="12233" s="283" customFormat="1"/>
    <row r="12234" s="283" customFormat="1"/>
    <row r="12235" s="283" customFormat="1"/>
    <row r="12236" s="283" customFormat="1"/>
    <row r="12237" s="283" customFormat="1"/>
    <row r="12238" s="283" customFormat="1"/>
    <row r="12239" s="283" customFormat="1"/>
    <row r="12240" s="283" customFormat="1"/>
    <row r="12241" s="283" customFormat="1"/>
    <row r="12242" s="283" customFormat="1"/>
    <row r="12243" s="283" customFormat="1"/>
    <row r="12244" s="283" customFormat="1"/>
    <row r="12245" s="283" customFormat="1"/>
    <row r="12246" s="283" customFormat="1"/>
    <row r="12247" s="283" customFormat="1"/>
    <row r="12248" s="283" customFormat="1"/>
    <row r="12249" s="283" customFormat="1"/>
    <row r="12250" s="283" customFormat="1"/>
    <row r="12251" s="283" customFormat="1"/>
    <row r="12252" s="283" customFormat="1"/>
    <row r="12253" s="283" customFormat="1"/>
    <row r="12254" s="283" customFormat="1"/>
    <row r="12255" s="283" customFormat="1"/>
    <row r="12256" s="283" customFormat="1"/>
    <row r="12257" s="283" customFormat="1"/>
    <row r="12258" s="283" customFormat="1"/>
    <row r="12259" s="283" customFormat="1"/>
    <row r="12260" s="283" customFormat="1"/>
    <row r="12261" s="283" customFormat="1"/>
    <row r="12262" s="283" customFormat="1"/>
    <row r="12263" s="283" customFormat="1"/>
    <row r="12264" s="283" customFormat="1"/>
    <row r="12265" s="283" customFormat="1"/>
    <row r="12266" s="283" customFormat="1"/>
    <row r="12267" s="283" customFormat="1"/>
    <row r="12268" s="283" customFormat="1"/>
    <row r="12269" s="283" customFormat="1"/>
    <row r="12270" s="283" customFormat="1"/>
    <row r="12271" s="283" customFormat="1"/>
    <row r="12272" s="283" customFormat="1"/>
    <row r="12273" s="283" customFormat="1"/>
    <row r="12274" s="283" customFormat="1"/>
    <row r="12275" s="283" customFormat="1"/>
    <row r="12276" s="283" customFormat="1"/>
    <row r="12277" s="283" customFormat="1"/>
    <row r="12278" s="283" customFormat="1"/>
    <row r="12279" s="283" customFormat="1"/>
    <row r="12280" s="283" customFormat="1"/>
    <row r="12281" s="283" customFormat="1"/>
    <row r="12282" s="283" customFormat="1"/>
    <row r="12283" s="283" customFormat="1"/>
    <row r="12284" s="283" customFormat="1"/>
    <row r="12285" s="283" customFormat="1"/>
    <row r="12286" s="283" customFormat="1"/>
    <row r="12287" s="283" customFormat="1"/>
    <row r="12288" s="283" customFormat="1"/>
    <row r="12289" s="283" customFormat="1"/>
    <row r="12290" s="283" customFormat="1"/>
    <row r="12291" s="283" customFormat="1"/>
    <row r="12292" s="283" customFormat="1"/>
    <row r="12293" s="283" customFormat="1"/>
    <row r="12294" s="283" customFormat="1"/>
    <row r="12295" s="283" customFormat="1"/>
    <row r="12296" s="283" customFormat="1"/>
    <row r="12297" s="283" customFormat="1"/>
    <row r="12298" s="283" customFormat="1"/>
    <row r="12299" s="283" customFormat="1"/>
    <row r="12300" s="283" customFormat="1"/>
    <row r="12301" s="283" customFormat="1"/>
    <row r="12302" s="283" customFormat="1"/>
    <row r="12303" s="283" customFormat="1"/>
    <row r="12304" s="283" customFormat="1"/>
    <row r="12305" s="283" customFormat="1"/>
    <row r="12306" s="283" customFormat="1"/>
    <row r="12307" s="283" customFormat="1"/>
    <row r="12308" s="283" customFormat="1"/>
    <row r="12309" s="283" customFormat="1"/>
    <row r="12310" s="283" customFormat="1"/>
    <row r="12311" s="283" customFormat="1"/>
    <row r="12312" s="283" customFormat="1"/>
    <row r="12313" s="283" customFormat="1"/>
    <row r="12314" s="283" customFormat="1"/>
    <row r="12315" s="283" customFormat="1"/>
    <row r="12316" s="283" customFormat="1"/>
    <row r="12317" s="283" customFormat="1"/>
    <row r="12318" s="283" customFormat="1"/>
    <row r="12319" s="283" customFormat="1"/>
    <row r="12320" s="283" customFormat="1"/>
    <row r="12321" s="283" customFormat="1"/>
    <row r="12322" s="283" customFormat="1"/>
    <row r="12323" s="283" customFormat="1"/>
    <row r="12324" s="283" customFormat="1"/>
    <row r="12325" s="283" customFormat="1"/>
    <row r="12326" s="283" customFormat="1"/>
    <row r="12327" s="283" customFormat="1"/>
    <row r="12328" s="283" customFormat="1"/>
    <row r="12329" s="283" customFormat="1"/>
    <row r="12330" s="283" customFormat="1"/>
    <row r="12331" s="283" customFormat="1"/>
    <row r="12332" s="283" customFormat="1"/>
    <row r="12333" s="283" customFormat="1"/>
    <row r="12334" s="283" customFormat="1"/>
    <row r="12335" s="283" customFormat="1"/>
    <row r="12336" s="283" customFormat="1"/>
    <row r="12337" s="283" customFormat="1"/>
    <row r="12338" s="283" customFormat="1"/>
    <row r="12339" s="283" customFormat="1"/>
    <row r="12340" s="283" customFormat="1"/>
    <row r="12341" s="283" customFormat="1"/>
    <row r="12342" s="283" customFormat="1"/>
    <row r="12343" s="283" customFormat="1"/>
    <row r="12344" s="283" customFormat="1"/>
    <row r="12345" s="283" customFormat="1"/>
    <row r="12346" s="283" customFormat="1"/>
    <row r="12347" s="283" customFormat="1"/>
    <row r="12348" s="283" customFormat="1"/>
    <row r="12349" s="283" customFormat="1"/>
    <row r="12350" s="283" customFormat="1"/>
    <row r="12351" s="283" customFormat="1"/>
    <row r="12352" s="283" customFormat="1"/>
    <row r="12353" s="283" customFormat="1"/>
    <row r="12354" s="283" customFormat="1"/>
    <row r="12355" s="283" customFormat="1"/>
    <row r="12356" s="283" customFormat="1"/>
    <row r="12357" s="283" customFormat="1"/>
    <row r="12358" s="283" customFormat="1"/>
    <row r="12359" s="283" customFormat="1"/>
    <row r="12360" s="283" customFormat="1"/>
    <row r="12361" s="283" customFormat="1"/>
    <row r="12362" s="283" customFormat="1"/>
    <row r="12363" s="283" customFormat="1"/>
    <row r="12364" s="283" customFormat="1"/>
    <row r="12365" s="283" customFormat="1"/>
    <row r="12366" s="283" customFormat="1"/>
    <row r="12367" s="283" customFormat="1"/>
    <row r="12368" s="283" customFormat="1"/>
    <row r="12369" s="283" customFormat="1"/>
    <row r="12370" s="283" customFormat="1"/>
    <row r="12371" s="283" customFormat="1"/>
    <row r="12372" s="283" customFormat="1"/>
    <row r="12373" s="283" customFormat="1"/>
    <row r="12374" s="283" customFormat="1"/>
    <row r="12375" s="283" customFormat="1"/>
    <row r="12376" s="283" customFormat="1"/>
    <row r="12377" s="283" customFormat="1"/>
    <row r="12378" s="283" customFormat="1"/>
    <row r="12379" s="283" customFormat="1"/>
    <row r="12380" s="283" customFormat="1"/>
    <row r="12381" s="283" customFormat="1"/>
    <row r="12382" s="283" customFormat="1"/>
    <row r="12383" s="283" customFormat="1"/>
    <row r="12384" s="283" customFormat="1"/>
    <row r="12385" s="283" customFormat="1"/>
    <row r="12386" s="283" customFormat="1"/>
    <row r="12387" s="283" customFormat="1"/>
    <row r="12388" s="283" customFormat="1"/>
    <row r="12389" s="283" customFormat="1"/>
    <row r="12390" s="283" customFormat="1"/>
    <row r="12391" s="283" customFormat="1"/>
    <row r="12392" s="283" customFormat="1"/>
    <row r="12393" s="283" customFormat="1"/>
    <row r="12394" s="283" customFormat="1"/>
    <row r="12395" s="283" customFormat="1"/>
    <row r="12396" s="283" customFormat="1"/>
    <row r="12397" s="283" customFormat="1"/>
    <row r="12398" s="283" customFormat="1"/>
    <row r="12399" s="283" customFormat="1"/>
    <row r="12400" s="283" customFormat="1"/>
    <row r="12401" s="283" customFormat="1"/>
    <row r="12402" s="283" customFormat="1"/>
    <row r="12403" s="283" customFormat="1"/>
    <row r="12404" s="283" customFormat="1"/>
    <row r="12405" s="283" customFormat="1"/>
    <row r="12406" s="283" customFormat="1"/>
    <row r="12407" s="283" customFormat="1"/>
    <row r="12408" s="283" customFormat="1"/>
    <row r="12409" s="283" customFormat="1"/>
    <row r="12410" s="283" customFormat="1"/>
    <row r="12411" s="283" customFormat="1"/>
    <row r="12412" s="283" customFormat="1"/>
    <row r="12413" s="283" customFormat="1"/>
    <row r="12414" s="283" customFormat="1"/>
    <row r="12415" s="283" customFormat="1"/>
    <row r="12416" s="283" customFormat="1"/>
    <row r="12417" s="283" customFormat="1"/>
    <row r="12418" s="283" customFormat="1"/>
    <row r="12419" s="283" customFormat="1"/>
    <row r="12420" s="283" customFormat="1"/>
    <row r="12421" s="283" customFormat="1"/>
    <row r="12422" s="283" customFormat="1"/>
    <row r="12423" s="283" customFormat="1"/>
    <row r="12424" s="283" customFormat="1"/>
    <row r="12425" s="283" customFormat="1"/>
    <row r="12426" s="283" customFormat="1"/>
    <row r="12427" s="283" customFormat="1"/>
    <row r="12428" s="283" customFormat="1"/>
    <row r="12429" s="283" customFormat="1"/>
    <row r="12430" s="283" customFormat="1"/>
    <row r="12431" s="283" customFormat="1"/>
    <row r="12432" s="283" customFormat="1"/>
    <row r="12433" s="283" customFormat="1"/>
    <row r="12434" s="283" customFormat="1"/>
    <row r="12435" s="283" customFormat="1"/>
    <row r="12436" s="283" customFormat="1"/>
    <row r="12437" s="283" customFormat="1"/>
    <row r="12438" s="283" customFormat="1"/>
    <row r="12439" s="283" customFormat="1"/>
    <row r="12440" s="283" customFormat="1"/>
    <row r="12441" s="283" customFormat="1"/>
    <row r="12442" s="283" customFormat="1"/>
    <row r="12443" s="283" customFormat="1"/>
    <row r="12444" s="283" customFormat="1"/>
    <row r="12445" s="283" customFormat="1"/>
    <row r="12446" s="283" customFormat="1"/>
    <row r="12447" s="283" customFormat="1"/>
    <row r="12448" s="283" customFormat="1"/>
    <row r="12449" s="283" customFormat="1"/>
    <row r="12450" s="283" customFormat="1"/>
    <row r="12451" s="283" customFormat="1"/>
    <row r="12452" s="283" customFormat="1"/>
    <row r="12453" s="283" customFormat="1"/>
    <row r="12454" s="283" customFormat="1"/>
    <row r="12455" s="283" customFormat="1"/>
    <row r="12456" s="283" customFormat="1"/>
    <row r="12457" s="283" customFormat="1"/>
    <row r="12458" s="283" customFormat="1"/>
    <row r="12459" s="283" customFormat="1"/>
    <row r="12460" s="283" customFormat="1"/>
    <row r="12461" s="283" customFormat="1"/>
    <row r="12462" s="283" customFormat="1"/>
    <row r="12463" s="283" customFormat="1"/>
    <row r="12464" s="283" customFormat="1"/>
    <row r="12465" s="283" customFormat="1"/>
    <row r="12466" s="283" customFormat="1"/>
    <row r="12467" s="283" customFormat="1"/>
    <row r="12468" s="283" customFormat="1"/>
    <row r="12469" s="283" customFormat="1"/>
    <row r="12470" s="283" customFormat="1"/>
    <row r="12471" s="283" customFormat="1"/>
    <row r="12472" s="283" customFormat="1"/>
    <row r="12473" s="283" customFormat="1"/>
    <row r="12474" s="283" customFormat="1"/>
    <row r="12475" s="283" customFormat="1"/>
    <row r="12476" s="283" customFormat="1"/>
    <row r="12477" s="283" customFormat="1"/>
    <row r="12478" s="283" customFormat="1"/>
    <row r="12479" s="283" customFormat="1"/>
    <row r="12480" s="283" customFormat="1"/>
    <row r="12481" s="283" customFormat="1"/>
    <row r="12482" s="283" customFormat="1"/>
    <row r="12483" s="283" customFormat="1"/>
    <row r="12484" s="283" customFormat="1"/>
    <row r="12485" s="283" customFormat="1"/>
    <row r="12486" s="283" customFormat="1"/>
    <row r="12487" s="283" customFormat="1"/>
    <row r="12488" s="283" customFormat="1"/>
    <row r="12489" s="283" customFormat="1"/>
    <row r="12490" s="283" customFormat="1"/>
    <row r="12491" s="283" customFormat="1"/>
    <row r="12492" s="283" customFormat="1"/>
    <row r="12493" s="283" customFormat="1"/>
    <row r="12494" s="283" customFormat="1"/>
    <row r="12495" s="283" customFormat="1"/>
    <row r="12496" s="283" customFormat="1"/>
    <row r="12497" s="283" customFormat="1"/>
    <row r="12498" s="283" customFormat="1"/>
    <row r="12499" s="283" customFormat="1"/>
    <row r="12500" s="283" customFormat="1"/>
    <row r="12501" s="283" customFormat="1"/>
    <row r="12502" s="283" customFormat="1"/>
    <row r="12503" s="283" customFormat="1"/>
    <row r="12504" s="283" customFormat="1"/>
    <row r="12505" s="283" customFormat="1"/>
    <row r="12506" s="283" customFormat="1"/>
    <row r="12507" s="283" customFormat="1"/>
    <row r="12508" s="283" customFormat="1"/>
    <row r="12509" s="283" customFormat="1"/>
    <row r="12510" s="283" customFormat="1"/>
    <row r="12511" s="283" customFormat="1"/>
    <row r="12512" s="283" customFormat="1"/>
    <row r="12513" s="283" customFormat="1"/>
    <row r="12514" s="283" customFormat="1"/>
    <row r="12515" s="283" customFormat="1"/>
    <row r="12516" s="283" customFormat="1"/>
    <row r="12517" s="283" customFormat="1"/>
    <row r="12518" s="283" customFormat="1"/>
    <row r="12519" s="283" customFormat="1"/>
    <row r="12520" s="283" customFormat="1"/>
    <row r="12521" s="283" customFormat="1"/>
    <row r="12522" s="283" customFormat="1"/>
    <row r="12523" s="283" customFormat="1"/>
    <row r="12524" s="283" customFormat="1"/>
    <row r="12525" s="283" customFormat="1"/>
    <row r="12526" s="283" customFormat="1"/>
    <row r="12527" s="283" customFormat="1"/>
    <row r="12528" s="283" customFormat="1"/>
    <row r="12529" s="283" customFormat="1"/>
    <row r="12530" s="283" customFormat="1"/>
    <row r="12531" s="283" customFormat="1"/>
    <row r="12532" s="283" customFormat="1"/>
    <row r="12533" s="283" customFormat="1"/>
    <row r="12534" s="283" customFormat="1"/>
    <row r="12535" s="283" customFormat="1"/>
    <row r="12536" s="283" customFormat="1"/>
    <row r="12537" s="283" customFormat="1"/>
    <row r="12538" s="283" customFormat="1"/>
    <row r="12539" s="283" customFormat="1"/>
    <row r="12540" s="283" customFormat="1"/>
    <row r="12541" s="283" customFormat="1"/>
    <row r="12542" s="283" customFormat="1"/>
    <row r="12543" s="283" customFormat="1"/>
    <row r="12544" s="283" customFormat="1"/>
    <row r="12545" s="283" customFormat="1"/>
    <row r="12546" s="283" customFormat="1"/>
    <row r="12547" s="283" customFormat="1"/>
    <row r="12548" s="283" customFormat="1"/>
    <row r="12549" s="283" customFormat="1"/>
    <row r="12550" s="283" customFormat="1"/>
    <row r="12551" s="283" customFormat="1"/>
    <row r="12552" s="283" customFormat="1"/>
    <row r="12553" s="283" customFormat="1"/>
    <row r="12554" s="283" customFormat="1"/>
    <row r="12555" s="283" customFormat="1"/>
    <row r="12556" s="283" customFormat="1"/>
    <row r="12557" s="283" customFormat="1"/>
    <row r="12558" s="283" customFormat="1"/>
    <row r="12559" s="283" customFormat="1"/>
    <row r="12560" s="283" customFormat="1"/>
    <row r="12561" s="283" customFormat="1"/>
    <row r="12562" s="283" customFormat="1"/>
    <row r="12563" s="283" customFormat="1"/>
    <row r="12564" s="283" customFormat="1"/>
    <row r="12565" s="283" customFormat="1"/>
    <row r="12566" s="283" customFormat="1"/>
    <row r="12567" s="283" customFormat="1"/>
    <row r="12568" s="283" customFormat="1"/>
    <row r="12569" s="283" customFormat="1"/>
    <row r="12570" s="283" customFormat="1"/>
    <row r="12571" s="283" customFormat="1"/>
    <row r="12572" s="283" customFormat="1"/>
    <row r="12573" s="283" customFormat="1"/>
    <row r="12574" s="283" customFormat="1"/>
    <row r="12575" s="283" customFormat="1"/>
    <row r="12576" s="283" customFormat="1"/>
    <row r="12577" s="283" customFormat="1"/>
    <row r="12578" s="283" customFormat="1"/>
    <row r="12579" s="283" customFormat="1"/>
    <row r="12580" s="283" customFormat="1"/>
    <row r="12581" s="283" customFormat="1"/>
    <row r="12582" s="283" customFormat="1"/>
    <row r="12583" s="283" customFormat="1"/>
    <row r="12584" s="283" customFormat="1"/>
    <row r="12585" s="283" customFormat="1"/>
    <row r="12586" s="283" customFormat="1"/>
    <row r="12587" s="283" customFormat="1"/>
    <row r="12588" s="283" customFormat="1"/>
    <row r="12589" s="283" customFormat="1"/>
    <row r="12590" s="283" customFormat="1"/>
    <row r="12591" s="283" customFormat="1"/>
    <row r="12592" s="283" customFormat="1"/>
    <row r="12593" s="283" customFormat="1"/>
    <row r="12594" s="283" customFormat="1"/>
    <row r="12595" s="283" customFormat="1"/>
    <row r="12596" s="283" customFormat="1"/>
    <row r="12597" s="283" customFormat="1"/>
    <row r="12598" s="283" customFormat="1"/>
    <row r="12599" s="283" customFormat="1"/>
    <row r="12600" s="283" customFormat="1"/>
    <row r="12601" s="283" customFormat="1"/>
    <row r="12602" s="283" customFormat="1"/>
    <row r="12603" s="283" customFormat="1"/>
    <row r="12604" s="283" customFormat="1"/>
    <row r="12605" s="283" customFormat="1"/>
    <row r="12606" s="283" customFormat="1"/>
    <row r="12607" s="283" customFormat="1"/>
    <row r="12608" s="283" customFormat="1"/>
    <row r="12609" s="283" customFormat="1"/>
    <row r="12610" s="283" customFormat="1"/>
    <row r="12611" s="283" customFormat="1"/>
    <row r="12612" s="283" customFormat="1"/>
    <row r="12613" s="283" customFormat="1"/>
    <row r="12614" s="283" customFormat="1"/>
    <row r="12615" s="283" customFormat="1"/>
    <row r="12616" s="283" customFormat="1"/>
    <row r="12617" s="283" customFormat="1"/>
    <row r="12618" s="283" customFormat="1"/>
    <row r="12619" s="283" customFormat="1"/>
    <row r="12620" s="283" customFormat="1"/>
    <row r="12621" s="283" customFormat="1"/>
    <row r="12622" s="283" customFormat="1"/>
    <row r="12623" s="283" customFormat="1"/>
    <row r="12624" s="283" customFormat="1"/>
    <row r="12625" s="283" customFormat="1"/>
    <row r="12626" s="283" customFormat="1"/>
    <row r="12627" s="283" customFormat="1"/>
    <row r="12628" s="283" customFormat="1"/>
    <row r="12629" s="283" customFormat="1"/>
    <row r="12630" s="283" customFormat="1"/>
    <row r="12631" s="283" customFormat="1"/>
    <row r="12632" s="283" customFormat="1"/>
    <row r="12633" s="283" customFormat="1"/>
    <row r="12634" s="283" customFormat="1"/>
    <row r="12635" s="283" customFormat="1"/>
    <row r="12636" s="283" customFormat="1"/>
    <row r="12637" s="283" customFormat="1"/>
    <row r="12638" s="283" customFormat="1"/>
    <row r="12639" s="283" customFormat="1"/>
    <row r="12640" s="283" customFormat="1"/>
    <row r="12641" s="283" customFormat="1"/>
    <row r="12642" s="283" customFormat="1"/>
    <row r="12643" s="283" customFormat="1"/>
    <row r="12644" s="283" customFormat="1"/>
    <row r="12645" s="283" customFormat="1"/>
    <row r="12646" s="283" customFormat="1"/>
    <row r="12647" s="283" customFormat="1"/>
    <row r="12648" s="283" customFormat="1"/>
    <row r="12649" s="283" customFormat="1"/>
    <row r="12650" s="283" customFormat="1"/>
    <row r="12651" s="283" customFormat="1"/>
    <row r="12652" s="283" customFormat="1"/>
    <row r="12653" s="283" customFormat="1"/>
    <row r="12654" s="283" customFormat="1"/>
    <row r="12655" s="283" customFormat="1"/>
    <row r="12656" s="283" customFormat="1"/>
    <row r="12657" s="283" customFormat="1"/>
    <row r="12658" s="283" customFormat="1"/>
    <row r="12659" s="283" customFormat="1"/>
    <row r="12660" s="283" customFormat="1"/>
    <row r="12661" s="283" customFormat="1"/>
    <row r="12662" s="283" customFormat="1"/>
    <row r="12663" s="283" customFormat="1"/>
    <row r="12664" s="283" customFormat="1"/>
    <row r="12665" s="283" customFormat="1"/>
    <row r="12666" s="283" customFormat="1"/>
    <row r="12667" s="283" customFormat="1"/>
    <row r="12668" s="283" customFormat="1"/>
    <row r="12669" s="283" customFormat="1"/>
    <row r="12670" s="283" customFormat="1"/>
    <row r="12671" s="283" customFormat="1"/>
    <row r="12672" s="283" customFormat="1"/>
    <row r="12673" s="283" customFormat="1"/>
    <row r="12674" s="283" customFormat="1"/>
    <row r="12675" s="283" customFormat="1"/>
    <row r="12676" s="283" customFormat="1"/>
    <row r="12677" s="283" customFormat="1"/>
    <row r="12678" s="283" customFormat="1"/>
    <row r="12679" s="283" customFormat="1"/>
    <row r="12680" s="283" customFormat="1"/>
    <row r="12681" s="283" customFormat="1"/>
    <row r="12682" s="283" customFormat="1"/>
    <row r="12683" s="283" customFormat="1"/>
    <row r="12684" s="283" customFormat="1"/>
    <row r="12685" s="283" customFormat="1"/>
    <row r="12686" s="283" customFormat="1"/>
    <row r="12687" s="283" customFormat="1"/>
    <row r="12688" s="283" customFormat="1"/>
    <row r="12689" s="283" customFormat="1"/>
    <row r="12690" s="283" customFormat="1"/>
    <row r="12691" s="283" customFormat="1"/>
    <row r="12692" s="283" customFormat="1"/>
    <row r="12693" s="283" customFormat="1"/>
    <row r="12694" s="283" customFormat="1"/>
    <row r="12695" s="283" customFormat="1"/>
    <row r="12696" s="283" customFormat="1"/>
    <row r="12697" s="283" customFormat="1"/>
    <row r="12698" s="283" customFormat="1"/>
    <row r="12699" s="283" customFormat="1"/>
    <row r="12700" s="283" customFormat="1"/>
    <row r="12701" s="283" customFormat="1"/>
    <row r="12702" s="283" customFormat="1"/>
    <row r="12703" s="283" customFormat="1"/>
    <row r="12704" s="283" customFormat="1"/>
    <row r="12705" s="283" customFormat="1"/>
    <row r="12706" s="283" customFormat="1"/>
    <row r="12707" s="283" customFormat="1"/>
    <row r="12708" s="283" customFormat="1"/>
    <row r="12709" s="283" customFormat="1"/>
    <row r="12710" s="283" customFormat="1"/>
    <row r="12711" s="283" customFormat="1"/>
    <row r="12712" s="283" customFormat="1"/>
    <row r="12713" s="283" customFormat="1"/>
    <row r="12714" s="283" customFormat="1"/>
    <row r="12715" s="283" customFormat="1"/>
    <row r="12716" s="283" customFormat="1"/>
    <row r="12717" s="283" customFormat="1"/>
    <row r="12718" s="283" customFormat="1"/>
    <row r="12719" s="283" customFormat="1"/>
    <row r="12720" s="283" customFormat="1"/>
    <row r="12721" s="283" customFormat="1"/>
    <row r="12722" s="283" customFormat="1"/>
    <row r="12723" s="283" customFormat="1"/>
    <row r="12724" s="283" customFormat="1"/>
    <row r="12725" s="283" customFormat="1"/>
    <row r="12726" s="283" customFormat="1"/>
    <row r="12727" s="283" customFormat="1"/>
    <row r="12728" s="283" customFormat="1"/>
    <row r="12729" s="283" customFormat="1"/>
    <row r="12730" s="283" customFormat="1"/>
    <row r="12731" s="283" customFormat="1"/>
    <row r="12732" s="283" customFormat="1"/>
    <row r="12733" s="283" customFormat="1"/>
    <row r="12734" s="283" customFormat="1"/>
    <row r="12735" s="283" customFormat="1"/>
    <row r="12736" s="283" customFormat="1"/>
    <row r="12737" s="283" customFormat="1"/>
    <row r="12738" s="283" customFormat="1"/>
    <row r="12739" s="283" customFormat="1"/>
    <row r="12740" s="283" customFormat="1"/>
    <row r="12741" s="283" customFormat="1"/>
    <row r="12742" s="283" customFormat="1"/>
    <row r="12743" s="283" customFormat="1"/>
    <row r="12744" s="283" customFormat="1"/>
    <row r="12745" s="283" customFormat="1"/>
    <row r="12746" s="283" customFormat="1"/>
    <row r="12747" s="283" customFormat="1"/>
    <row r="12748" s="283" customFormat="1"/>
    <row r="12749" s="283" customFormat="1"/>
    <row r="12750" s="283" customFormat="1"/>
    <row r="12751" s="283" customFormat="1"/>
    <row r="12752" s="283" customFormat="1"/>
    <row r="12753" s="283" customFormat="1"/>
    <row r="12754" s="283" customFormat="1"/>
    <row r="12755" s="283" customFormat="1"/>
    <row r="12756" s="283" customFormat="1"/>
    <row r="12757" s="283" customFormat="1"/>
    <row r="12758" s="283" customFormat="1"/>
    <row r="12759" s="283" customFormat="1"/>
    <row r="12760" s="283" customFormat="1"/>
    <row r="12761" s="283" customFormat="1"/>
    <row r="12762" s="283" customFormat="1"/>
    <row r="12763" s="283" customFormat="1"/>
    <row r="12764" s="283" customFormat="1"/>
    <row r="12765" s="283" customFormat="1"/>
    <row r="12766" s="283" customFormat="1"/>
    <row r="12767" s="283" customFormat="1"/>
    <row r="12768" s="283" customFormat="1"/>
    <row r="12769" s="283" customFormat="1"/>
    <row r="12770" s="283" customFormat="1"/>
    <row r="12771" s="283" customFormat="1"/>
    <row r="12772" s="283" customFormat="1"/>
    <row r="12773" s="283" customFormat="1"/>
    <row r="12774" s="283" customFormat="1"/>
    <row r="12775" s="283" customFormat="1"/>
    <row r="12776" s="283" customFormat="1"/>
    <row r="12777" s="283" customFormat="1"/>
    <row r="12778" s="283" customFormat="1"/>
    <row r="12779" s="283" customFormat="1"/>
    <row r="12780" s="283" customFormat="1"/>
    <row r="12781" s="283" customFormat="1"/>
    <row r="12782" s="283" customFormat="1"/>
    <row r="12783" s="283" customFormat="1"/>
    <row r="12784" s="283" customFormat="1"/>
    <row r="12785" s="283" customFormat="1"/>
    <row r="12786" s="283" customFormat="1"/>
    <row r="12787" s="283" customFormat="1"/>
    <row r="12788" s="283" customFormat="1"/>
    <row r="12789" s="283" customFormat="1"/>
    <row r="12790" s="283" customFormat="1"/>
    <row r="12791" s="283" customFormat="1"/>
    <row r="12792" s="283" customFormat="1"/>
    <row r="12793" s="283" customFormat="1"/>
    <row r="12794" s="283" customFormat="1"/>
    <row r="12795" s="283" customFormat="1"/>
    <row r="12796" s="283" customFormat="1"/>
    <row r="12797" s="283" customFormat="1"/>
    <row r="12798" s="283" customFormat="1"/>
    <row r="12799" s="283" customFormat="1"/>
    <row r="12800" s="283" customFormat="1"/>
    <row r="12801" s="283" customFormat="1"/>
    <row r="12802" s="283" customFormat="1"/>
    <row r="12803" s="283" customFormat="1"/>
    <row r="12804" s="283" customFormat="1"/>
    <row r="12805" s="283" customFormat="1"/>
    <row r="12806" s="283" customFormat="1"/>
    <row r="12807" s="283" customFormat="1"/>
    <row r="12808" s="283" customFormat="1"/>
    <row r="12809" s="283" customFormat="1"/>
    <row r="12810" s="283" customFormat="1"/>
    <row r="12811" s="283" customFormat="1"/>
    <row r="12812" s="283" customFormat="1"/>
    <row r="12813" s="283" customFormat="1"/>
    <row r="12814" s="283" customFormat="1"/>
    <row r="12815" s="283" customFormat="1"/>
    <row r="12816" s="283" customFormat="1"/>
    <row r="12817" s="283" customFormat="1"/>
    <row r="12818" s="283" customFormat="1"/>
    <row r="12819" s="283" customFormat="1"/>
    <row r="12820" s="283" customFormat="1"/>
    <row r="12821" s="283" customFormat="1"/>
    <row r="12822" s="283" customFormat="1"/>
    <row r="12823" s="283" customFormat="1"/>
    <row r="12824" s="283" customFormat="1"/>
    <row r="12825" s="283" customFormat="1"/>
    <row r="12826" s="283" customFormat="1"/>
    <row r="12827" s="283" customFormat="1"/>
    <row r="12828" s="283" customFormat="1"/>
    <row r="12829" s="283" customFormat="1"/>
    <row r="12830" s="283" customFormat="1"/>
    <row r="12831" s="283" customFormat="1"/>
    <row r="12832" s="283" customFormat="1"/>
    <row r="12833" s="283" customFormat="1"/>
    <row r="12834" s="283" customFormat="1"/>
    <row r="12835" s="283" customFormat="1"/>
    <row r="12836" s="283" customFormat="1"/>
    <row r="12837" s="283" customFormat="1"/>
    <row r="12838" s="283" customFormat="1"/>
    <row r="12839" s="283" customFormat="1"/>
    <row r="12840" s="283" customFormat="1"/>
    <row r="12841" s="283" customFormat="1"/>
    <row r="12842" s="283" customFormat="1"/>
    <row r="12843" s="283" customFormat="1"/>
    <row r="12844" s="283" customFormat="1"/>
    <row r="12845" s="283" customFormat="1"/>
    <row r="12846" s="283" customFormat="1"/>
    <row r="12847" s="283" customFormat="1"/>
    <row r="12848" s="283" customFormat="1"/>
    <row r="12849" s="283" customFormat="1"/>
    <row r="12850" s="283" customFormat="1"/>
    <row r="12851" s="283" customFormat="1"/>
    <row r="12852" s="283" customFormat="1"/>
    <row r="12853" s="283" customFormat="1"/>
    <row r="12854" s="283" customFormat="1"/>
    <row r="12855" s="283" customFormat="1"/>
    <row r="12856" s="283" customFormat="1"/>
    <row r="12857" s="283" customFormat="1"/>
    <row r="12858" s="283" customFormat="1"/>
    <row r="12859" s="283" customFormat="1"/>
    <row r="12860" s="283" customFormat="1"/>
    <row r="12861" s="283" customFormat="1"/>
    <row r="12862" s="283" customFormat="1"/>
    <row r="12863" s="283" customFormat="1"/>
    <row r="12864" s="283" customFormat="1"/>
    <row r="12865" s="283" customFormat="1"/>
    <row r="12866" s="283" customFormat="1"/>
    <row r="12867" s="283" customFormat="1"/>
    <row r="12868" s="283" customFormat="1"/>
    <row r="12869" s="283" customFormat="1"/>
    <row r="12870" s="283" customFormat="1"/>
    <row r="12871" s="283" customFormat="1"/>
    <row r="12872" s="283" customFormat="1"/>
    <row r="12873" s="283" customFormat="1"/>
    <row r="12874" s="283" customFormat="1"/>
    <row r="12875" s="283" customFormat="1"/>
    <row r="12876" s="283" customFormat="1"/>
    <row r="12877" s="283" customFormat="1"/>
    <row r="12878" s="283" customFormat="1"/>
    <row r="12879" s="283" customFormat="1"/>
    <row r="12880" s="283" customFormat="1"/>
    <row r="12881" s="283" customFormat="1"/>
    <row r="12882" s="283" customFormat="1"/>
    <row r="12883" s="283" customFormat="1"/>
    <row r="12884" s="283" customFormat="1"/>
    <row r="12885" s="283" customFormat="1"/>
    <row r="12886" s="283" customFormat="1"/>
    <row r="12887" s="283" customFormat="1"/>
    <row r="12888" s="283" customFormat="1"/>
    <row r="12889" s="283" customFormat="1"/>
    <row r="12890" s="283" customFormat="1"/>
    <row r="12891" s="283" customFormat="1"/>
    <row r="12892" s="283" customFormat="1"/>
    <row r="12893" s="283" customFormat="1"/>
    <row r="12894" s="283" customFormat="1"/>
    <row r="12895" s="283" customFormat="1"/>
    <row r="12896" s="283" customFormat="1"/>
    <row r="12897" s="283" customFormat="1"/>
    <row r="12898" s="283" customFormat="1"/>
    <row r="12899" s="283" customFormat="1"/>
    <row r="12900" s="283" customFormat="1"/>
    <row r="12901" s="283" customFormat="1"/>
    <row r="12902" s="283" customFormat="1"/>
    <row r="12903" s="283" customFormat="1"/>
    <row r="12904" s="283" customFormat="1"/>
    <row r="12905" s="283" customFormat="1"/>
    <row r="12906" s="283" customFormat="1"/>
    <row r="12907" s="283" customFormat="1"/>
    <row r="12908" s="283" customFormat="1"/>
    <row r="12909" s="283" customFormat="1"/>
    <row r="12910" s="283" customFormat="1"/>
    <row r="12911" s="283" customFormat="1"/>
    <row r="12912" s="283" customFormat="1"/>
    <row r="12913" s="283" customFormat="1"/>
    <row r="12914" s="283" customFormat="1"/>
    <row r="12915" s="283" customFormat="1"/>
    <row r="12916" s="283" customFormat="1"/>
    <row r="12917" s="283" customFormat="1"/>
    <row r="12918" s="283" customFormat="1"/>
    <row r="12919" s="283" customFormat="1"/>
    <row r="12920" s="283" customFormat="1"/>
    <row r="12921" s="283" customFormat="1"/>
    <row r="12922" s="283" customFormat="1"/>
    <row r="12923" s="283" customFormat="1"/>
    <row r="12924" s="283" customFormat="1"/>
    <row r="12925" s="283" customFormat="1"/>
    <row r="12926" s="283" customFormat="1"/>
    <row r="12927" s="283" customFormat="1"/>
    <row r="12928" s="283" customFormat="1"/>
    <row r="12929" s="283" customFormat="1"/>
    <row r="12930" s="283" customFormat="1"/>
    <row r="12931" s="283" customFormat="1"/>
    <row r="12932" s="283" customFormat="1"/>
    <row r="12933" s="283" customFormat="1"/>
    <row r="12934" s="283" customFormat="1"/>
    <row r="12935" s="283" customFormat="1"/>
    <row r="12936" s="283" customFormat="1"/>
    <row r="12937" s="283" customFormat="1"/>
    <row r="12938" s="283" customFormat="1"/>
    <row r="12939" s="283" customFormat="1"/>
    <row r="12940" s="283" customFormat="1"/>
    <row r="12941" s="283" customFormat="1"/>
    <row r="12942" s="283" customFormat="1"/>
    <row r="12943" s="283" customFormat="1"/>
    <row r="12944" s="283" customFormat="1"/>
    <row r="12945" s="283" customFormat="1"/>
    <row r="12946" s="283" customFormat="1"/>
    <row r="12947" s="283" customFormat="1"/>
    <row r="12948" s="283" customFormat="1"/>
    <row r="12949" s="283" customFormat="1"/>
    <row r="12950" s="283" customFormat="1"/>
    <row r="12951" s="283" customFormat="1"/>
    <row r="12952" s="283" customFormat="1"/>
    <row r="12953" s="283" customFormat="1"/>
    <row r="12954" s="283" customFormat="1"/>
    <row r="12955" s="283" customFormat="1"/>
    <row r="12956" s="283" customFormat="1"/>
    <row r="12957" s="283" customFormat="1"/>
    <row r="12958" s="283" customFormat="1"/>
    <row r="12959" s="283" customFormat="1"/>
    <row r="12960" s="283" customFormat="1"/>
    <row r="12961" s="283" customFormat="1"/>
    <row r="12962" s="283" customFormat="1"/>
    <row r="12963" s="283" customFormat="1"/>
    <row r="12964" s="283" customFormat="1"/>
    <row r="12965" s="283" customFormat="1"/>
    <row r="12966" s="283" customFormat="1"/>
    <row r="12967" s="283" customFormat="1"/>
    <row r="12968" s="283" customFormat="1"/>
    <row r="12969" s="283" customFormat="1"/>
    <row r="12970" s="283" customFormat="1"/>
    <row r="12971" s="283" customFormat="1"/>
    <row r="12972" s="283" customFormat="1"/>
    <row r="12973" s="283" customFormat="1"/>
    <row r="12974" s="283" customFormat="1"/>
    <row r="12975" s="283" customFormat="1"/>
    <row r="12976" s="283" customFormat="1"/>
    <row r="12977" s="283" customFormat="1"/>
    <row r="12978" s="283" customFormat="1"/>
    <row r="12979" s="283" customFormat="1"/>
    <row r="12980" s="283" customFormat="1"/>
    <row r="12981" s="283" customFormat="1"/>
    <row r="12982" s="283" customFormat="1"/>
    <row r="12983" s="283" customFormat="1"/>
    <row r="12984" s="283" customFormat="1"/>
    <row r="12985" s="283" customFormat="1"/>
    <row r="12986" s="283" customFormat="1"/>
    <row r="12987" s="283" customFormat="1"/>
    <row r="12988" s="283" customFormat="1"/>
    <row r="12989" s="283" customFormat="1"/>
    <row r="12990" s="283" customFormat="1"/>
    <row r="12991" s="283" customFormat="1"/>
    <row r="12992" s="283" customFormat="1"/>
    <row r="12993" s="283" customFormat="1"/>
    <row r="12994" s="283" customFormat="1"/>
    <row r="12995" s="283" customFormat="1"/>
    <row r="12996" s="283" customFormat="1"/>
    <row r="12997" s="283" customFormat="1"/>
    <row r="12998" s="283" customFormat="1"/>
    <row r="12999" s="283" customFormat="1"/>
    <row r="13000" s="283" customFormat="1"/>
    <row r="13001" s="283" customFormat="1"/>
    <row r="13002" s="283" customFormat="1"/>
    <row r="13003" s="283" customFormat="1"/>
    <row r="13004" s="283" customFormat="1"/>
    <row r="13005" s="283" customFormat="1"/>
    <row r="13006" s="283" customFormat="1"/>
    <row r="13007" s="283" customFormat="1"/>
    <row r="13008" s="283" customFormat="1"/>
    <row r="13009" s="283" customFormat="1"/>
    <row r="13010" s="283" customFormat="1"/>
    <row r="13011" s="283" customFormat="1"/>
    <row r="13012" s="283" customFormat="1"/>
    <row r="13013" s="283" customFormat="1"/>
    <row r="13014" s="283" customFormat="1"/>
    <row r="13015" s="283" customFormat="1"/>
    <row r="13016" s="283" customFormat="1"/>
    <row r="13017" s="283" customFormat="1"/>
    <row r="13018" s="283" customFormat="1"/>
    <row r="13019" s="283" customFormat="1"/>
    <row r="13020" s="283" customFormat="1"/>
    <row r="13021" s="283" customFormat="1"/>
    <row r="13022" s="283" customFormat="1"/>
    <row r="13023" s="283" customFormat="1"/>
    <row r="13024" s="283" customFormat="1"/>
    <row r="13025" s="283" customFormat="1"/>
    <row r="13026" s="283" customFormat="1"/>
    <row r="13027" s="283" customFormat="1"/>
    <row r="13028" s="283" customFormat="1"/>
    <row r="13029" s="283" customFormat="1"/>
    <row r="13030" s="283" customFormat="1"/>
    <row r="13031" s="283" customFormat="1"/>
    <row r="13032" s="283" customFormat="1"/>
    <row r="13033" s="283" customFormat="1"/>
    <row r="13034" s="283" customFormat="1"/>
    <row r="13035" s="283" customFormat="1"/>
    <row r="13036" s="283" customFormat="1"/>
    <row r="13037" s="283" customFormat="1"/>
    <row r="13038" s="283" customFormat="1"/>
    <row r="13039" s="283" customFormat="1"/>
    <row r="13040" s="283" customFormat="1"/>
    <row r="13041" s="283" customFormat="1"/>
    <row r="13042" s="283" customFormat="1"/>
    <row r="13043" s="283" customFormat="1"/>
    <row r="13044" s="283" customFormat="1"/>
    <row r="13045" s="283" customFormat="1"/>
    <row r="13046" s="283" customFormat="1"/>
    <row r="13047" s="283" customFormat="1"/>
    <row r="13048" s="283" customFormat="1"/>
    <row r="13049" s="283" customFormat="1"/>
    <row r="13050" s="283" customFormat="1"/>
    <row r="13051" s="283" customFormat="1"/>
    <row r="13052" s="283" customFormat="1"/>
    <row r="13053" s="283" customFormat="1"/>
    <row r="13054" s="283" customFormat="1"/>
    <row r="13055" s="283" customFormat="1"/>
    <row r="13056" s="283" customFormat="1"/>
    <row r="13057" s="283" customFormat="1"/>
    <row r="13058" s="283" customFormat="1"/>
    <row r="13059" s="283" customFormat="1"/>
    <row r="13060" s="283" customFormat="1"/>
    <row r="13061" s="283" customFormat="1"/>
    <row r="13062" s="283" customFormat="1"/>
    <row r="13063" s="283" customFormat="1"/>
    <row r="13064" s="283" customFormat="1"/>
    <row r="13065" s="283" customFormat="1"/>
    <row r="13066" s="283" customFormat="1"/>
    <row r="13067" s="283" customFormat="1"/>
    <row r="13068" s="283" customFormat="1"/>
    <row r="13069" s="283" customFormat="1"/>
    <row r="13070" s="283" customFormat="1"/>
    <row r="13071" s="283" customFormat="1"/>
    <row r="13072" s="283" customFormat="1"/>
    <row r="13073" s="283" customFormat="1"/>
    <row r="13074" s="283" customFormat="1"/>
    <row r="13075" s="283" customFormat="1"/>
    <row r="13076" s="283" customFormat="1"/>
    <row r="13077" s="283" customFormat="1"/>
    <row r="13078" s="283" customFormat="1"/>
    <row r="13079" s="283" customFormat="1"/>
    <row r="13080" s="283" customFormat="1"/>
    <row r="13081" s="283" customFormat="1"/>
    <row r="13082" s="283" customFormat="1"/>
    <row r="13083" s="283" customFormat="1"/>
    <row r="13084" s="283" customFormat="1"/>
    <row r="13085" s="283" customFormat="1"/>
    <row r="13086" s="283" customFormat="1"/>
    <row r="13087" s="283" customFormat="1"/>
    <row r="13088" s="283" customFormat="1"/>
    <row r="13089" s="283" customFormat="1"/>
    <row r="13090" s="283" customFormat="1"/>
    <row r="13091" s="283" customFormat="1"/>
    <row r="13092" s="283" customFormat="1"/>
    <row r="13093" s="283" customFormat="1"/>
    <row r="13094" s="283" customFormat="1"/>
    <row r="13095" s="283" customFormat="1"/>
    <row r="13096" s="283" customFormat="1"/>
    <row r="13097" s="283" customFormat="1"/>
    <row r="13098" s="283" customFormat="1"/>
    <row r="13099" s="283" customFormat="1"/>
    <row r="13100" s="283" customFormat="1"/>
    <row r="13101" s="283" customFormat="1"/>
    <row r="13102" s="283" customFormat="1"/>
    <row r="13103" s="283" customFormat="1"/>
    <row r="13104" s="283" customFormat="1"/>
    <row r="13105" s="283" customFormat="1"/>
    <row r="13106" s="283" customFormat="1"/>
    <row r="13107" s="283" customFormat="1"/>
    <row r="13108" s="283" customFormat="1"/>
    <row r="13109" s="283" customFormat="1"/>
    <row r="13110" s="283" customFormat="1"/>
    <row r="13111" s="283" customFormat="1"/>
    <row r="13112" s="283" customFormat="1"/>
    <row r="13113" s="283" customFormat="1"/>
    <row r="13114" s="283" customFormat="1"/>
    <row r="13115" s="283" customFormat="1"/>
    <row r="13116" s="283" customFormat="1"/>
    <row r="13117" s="283" customFormat="1"/>
    <row r="13118" s="283" customFormat="1"/>
    <row r="13119" s="283" customFormat="1"/>
    <row r="13120" s="283" customFormat="1"/>
    <row r="13121" s="283" customFormat="1"/>
    <row r="13122" s="283" customFormat="1"/>
    <row r="13123" s="283" customFormat="1"/>
    <row r="13124" s="283" customFormat="1"/>
    <row r="13125" s="283" customFormat="1"/>
    <row r="13126" s="283" customFormat="1"/>
    <row r="13127" s="283" customFormat="1"/>
    <row r="13128" s="283" customFormat="1"/>
    <row r="13129" s="283" customFormat="1"/>
    <row r="13130" s="283" customFormat="1"/>
    <row r="13131" s="283" customFormat="1"/>
    <row r="13132" s="283" customFormat="1"/>
    <row r="13133" s="283" customFormat="1"/>
    <row r="13134" s="283" customFormat="1"/>
    <row r="13135" s="283" customFormat="1"/>
    <row r="13136" s="283" customFormat="1"/>
    <row r="13137" s="283" customFormat="1"/>
    <row r="13138" s="283" customFormat="1"/>
    <row r="13139" s="283" customFormat="1"/>
    <row r="13140" s="283" customFormat="1"/>
    <row r="13141" s="283" customFormat="1"/>
    <row r="13142" s="283" customFormat="1"/>
    <row r="13143" s="283" customFormat="1"/>
    <row r="13144" s="283" customFormat="1"/>
    <row r="13145" s="283" customFormat="1"/>
    <row r="13146" s="283" customFormat="1"/>
    <row r="13147" s="283" customFormat="1"/>
    <row r="13148" s="283" customFormat="1"/>
    <row r="13149" s="283" customFormat="1"/>
    <row r="13150" s="283" customFormat="1"/>
    <row r="13151" s="283" customFormat="1"/>
    <row r="13152" s="283" customFormat="1"/>
    <row r="13153" s="283" customFormat="1"/>
    <row r="13154" s="283" customFormat="1"/>
    <row r="13155" s="283" customFormat="1"/>
    <row r="13156" s="283" customFormat="1"/>
    <row r="13157" s="283" customFormat="1"/>
    <row r="13158" s="283" customFormat="1"/>
    <row r="13159" s="283" customFormat="1"/>
    <row r="13160" s="283" customFormat="1"/>
    <row r="13161" s="283" customFormat="1"/>
    <row r="13162" s="283" customFormat="1"/>
    <row r="13163" s="283" customFormat="1"/>
    <row r="13164" s="283" customFormat="1"/>
    <row r="13165" s="283" customFormat="1"/>
    <row r="13166" s="283" customFormat="1"/>
    <row r="13167" s="283" customFormat="1"/>
    <row r="13168" s="283" customFormat="1"/>
    <row r="13169" s="283" customFormat="1"/>
    <row r="13170" s="283" customFormat="1"/>
    <row r="13171" s="283" customFormat="1"/>
    <row r="13172" s="283" customFormat="1"/>
    <row r="13173" s="283" customFormat="1"/>
    <row r="13174" s="283" customFormat="1"/>
    <row r="13175" s="283" customFormat="1"/>
    <row r="13176" s="283" customFormat="1"/>
    <row r="13177" s="283" customFormat="1"/>
    <row r="13178" s="283" customFormat="1"/>
    <row r="13179" s="283" customFormat="1"/>
    <row r="13180" s="283" customFormat="1"/>
    <row r="13181" s="283" customFormat="1"/>
    <row r="13182" s="283" customFormat="1"/>
    <row r="13183" s="283" customFormat="1"/>
    <row r="13184" s="283" customFormat="1"/>
    <row r="13185" s="283" customFormat="1"/>
    <row r="13186" s="283" customFormat="1"/>
    <row r="13187" s="283" customFormat="1"/>
    <row r="13188" s="283" customFormat="1"/>
    <row r="13189" s="283" customFormat="1"/>
    <row r="13190" s="283" customFormat="1"/>
    <row r="13191" s="283" customFormat="1"/>
    <row r="13192" s="283" customFormat="1"/>
    <row r="13193" s="283" customFormat="1"/>
    <row r="13194" s="283" customFormat="1"/>
    <row r="13195" s="283" customFormat="1"/>
    <row r="13196" s="283" customFormat="1"/>
    <row r="13197" s="283" customFormat="1"/>
    <row r="13198" s="283" customFormat="1"/>
    <row r="13199" s="283" customFormat="1"/>
    <row r="13200" s="283" customFormat="1"/>
    <row r="13201" s="283" customFormat="1"/>
    <row r="13202" s="283" customFormat="1"/>
    <row r="13203" s="283" customFormat="1"/>
    <row r="13204" s="283" customFormat="1"/>
    <row r="13205" s="283" customFormat="1"/>
    <row r="13206" s="283" customFormat="1"/>
    <row r="13207" s="283" customFormat="1"/>
    <row r="13208" s="283" customFormat="1"/>
    <row r="13209" s="283" customFormat="1"/>
    <row r="13210" s="283" customFormat="1"/>
    <row r="13211" s="283" customFormat="1"/>
    <row r="13212" s="283" customFormat="1"/>
    <row r="13213" s="283" customFormat="1"/>
    <row r="13214" s="283" customFormat="1"/>
    <row r="13215" s="283" customFormat="1"/>
    <row r="13216" s="283" customFormat="1"/>
    <row r="13217" s="283" customFormat="1"/>
    <row r="13218" s="283" customFormat="1"/>
    <row r="13219" s="283" customFormat="1"/>
    <row r="13220" s="283" customFormat="1"/>
    <row r="13221" s="283" customFormat="1"/>
    <row r="13222" s="283" customFormat="1"/>
    <row r="13223" s="283" customFormat="1"/>
    <row r="13224" s="283" customFormat="1"/>
    <row r="13225" s="283" customFormat="1"/>
    <row r="13226" s="283" customFormat="1"/>
    <row r="13227" s="283" customFormat="1"/>
    <row r="13228" s="283" customFormat="1"/>
    <row r="13229" s="283" customFormat="1"/>
    <row r="13230" s="283" customFormat="1"/>
    <row r="13231" s="283" customFormat="1"/>
    <row r="13232" s="283" customFormat="1"/>
    <row r="13233" s="283" customFormat="1"/>
    <row r="13234" s="283" customFormat="1"/>
    <row r="13235" s="283" customFormat="1"/>
    <row r="13236" s="283" customFormat="1"/>
    <row r="13237" s="283" customFormat="1"/>
    <row r="13238" s="283" customFormat="1"/>
    <row r="13239" s="283" customFormat="1"/>
    <row r="13240" s="283" customFormat="1"/>
    <row r="13241" s="283" customFormat="1"/>
    <row r="13242" s="283" customFormat="1"/>
    <row r="13243" s="283" customFormat="1"/>
    <row r="13244" s="283" customFormat="1"/>
    <row r="13245" s="283" customFormat="1"/>
    <row r="13246" s="283" customFormat="1"/>
    <row r="13247" s="283" customFormat="1"/>
    <row r="13248" s="283" customFormat="1"/>
    <row r="13249" s="283" customFormat="1"/>
    <row r="13250" s="283" customFormat="1"/>
    <row r="13251" s="283" customFormat="1"/>
    <row r="13252" s="283" customFormat="1"/>
    <row r="13253" s="283" customFormat="1"/>
    <row r="13254" s="283" customFormat="1"/>
    <row r="13255" s="283" customFormat="1"/>
    <row r="13256" s="283" customFormat="1"/>
    <row r="13257" s="283" customFormat="1"/>
    <row r="13258" s="283" customFormat="1"/>
    <row r="13259" s="283" customFormat="1"/>
    <row r="13260" s="283" customFormat="1"/>
    <row r="13261" s="283" customFormat="1"/>
    <row r="13262" s="283" customFormat="1"/>
    <row r="13263" s="283" customFormat="1"/>
    <row r="13264" s="283" customFormat="1"/>
    <row r="13265" s="283" customFormat="1"/>
    <row r="13266" s="283" customFormat="1"/>
    <row r="13267" s="283" customFormat="1"/>
    <row r="13268" s="283" customFormat="1"/>
    <row r="13269" s="283" customFormat="1"/>
    <row r="13270" s="283" customFormat="1"/>
    <row r="13271" s="283" customFormat="1"/>
    <row r="13272" s="283" customFormat="1"/>
    <row r="13273" s="283" customFormat="1"/>
    <row r="13274" s="283" customFormat="1"/>
    <row r="13275" s="283" customFormat="1"/>
    <row r="13276" s="283" customFormat="1"/>
    <row r="13277" s="283" customFormat="1"/>
    <row r="13278" s="283" customFormat="1"/>
    <row r="13279" s="283" customFormat="1"/>
    <row r="13280" s="283" customFormat="1"/>
    <row r="13281" s="283" customFormat="1"/>
    <row r="13282" s="283" customFormat="1"/>
    <row r="13283" s="283" customFormat="1"/>
    <row r="13284" s="283" customFormat="1"/>
    <row r="13285" s="283" customFormat="1"/>
    <row r="13286" s="283" customFormat="1"/>
    <row r="13287" s="283" customFormat="1"/>
    <row r="13288" s="283" customFormat="1"/>
    <row r="13289" s="283" customFormat="1"/>
    <row r="13290" s="283" customFormat="1"/>
    <row r="13291" s="283" customFormat="1"/>
    <row r="13292" s="283" customFormat="1"/>
    <row r="13293" s="283" customFormat="1"/>
    <row r="13294" s="283" customFormat="1"/>
    <row r="13295" s="283" customFormat="1"/>
    <row r="13296" s="283" customFormat="1"/>
    <row r="13297" s="283" customFormat="1"/>
    <row r="13298" s="283" customFormat="1"/>
    <row r="13299" s="283" customFormat="1"/>
    <row r="13300" s="283" customFormat="1"/>
    <row r="13301" s="283" customFormat="1"/>
    <row r="13302" s="283" customFormat="1"/>
    <row r="13303" s="283" customFormat="1"/>
    <row r="13304" s="283" customFormat="1"/>
    <row r="13305" s="283" customFormat="1"/>
    <row r="13306" s="283" customFormat="1"/>
    <row r="13307" s="283" customFormat="1"/>
    <row r="13308" s="283" customFormat="1"/>
    <row r="13309" s="283" customFormat="1"/>
    <row r="13310" s="283" customFormat="1"/>
    <row r="13311" s="283" customFormat="1"/>
    <row r="13312" s="283" customFormat="1"/>
    <row r="13313" s="283" customFormat="1"/>
    <row r="13314" s="283" customFormat="1"/>
    <row r="13315" s="283" customFormat="1"/>
    <row r="13316" s="283" customFormat="1"/>
    <row r="13317" s="283" customFormat="1"/>
    <row r="13318" s="283" customFormat="1"/>
    <row r="13319" s="283" customFormat="1"/>
    <row r="13320" s="283" customFormat="1"/>
    <row r="13321" s="283" customFormat="1"/>
    <row r="13322" s="283" customFormat="1"/>
    <row r="13323" s="283" customFormat="1"/>
    <row r="13324" s="283" customFormat="1"/>
    <row r="13325" s="283" customFormat="1"/>
    <row r="13326" s="283" customFormat="1"/>
    <row r="13327" s="283" customFormat="1"/>
    <row r="13328" s="283" customFormat="1"/>
    <row r="13329" s="283" customFormat="1"/>
    <row r="13330" s="283" customFormat="1"/>
    <row r="13331" s="283" customFormat="1"/>
    <row r="13332" s="283" customFormat="1"/>
    <row r="13333" s="283" customFormat="1"/>
    <row r="13334" s="283" customFormat="1"/>
    <row r="13335" s="283" customFormat="1"/>
    <row r="13336" s="283" customFormat="1"/>
    <row r="13337" s="283" customFormat="1"/>
    <row r="13338" s="283" customFormat="1"/>
    <row r="13339" s="283" customFormat="1"/>
    <row r="13340" s="283" customFormat="1"/>
    <row r="13341" s="283" customFormat="1"/>
    <row r="13342" s="283" customFormat="1"/>
    <row r="13343" s="283" customFormat="1"/>
    <row r="13344" s="283" customFormat="1"/>
    <row r="13345" s="283" customFormat="1"/>
    <row r="13346" s="283" customFormat="1"/>
    <row r="13347" s="283" customFormat="1"/>
    <row r="13348" s="283" customFormat="1"/>
    <row r="13349" s="283" customFormat="1"/>
    <row r="13350" s="283" customFormat="1"/>
    <row r="13351" s="283" customFormat="1"/>
    <row r="13352" s="283" customFormat="1"/>
    <row r="13353" s="283" customFormat="1"/>
    <row r="13354" s="283" customFormat="1"/>
    <row r="13355" s="283" customFormat="1"/>
    <row r="13356" s="283" customFormat="1"/>
    <row r="13357" s="283" customFormat="1"/>
    <row r="13358" s="283" customFormat="1"/>
    <row r="13359" s="283" customFormat="1"/>
    <row r="13360" s="283" customFormat="1"/>
    <row r="13361" s="283" customFormat="1"/>
    <row r="13362" s="283" customFormat="1"/>
    <row r="13363" s="283" customFormat="1"/>
    <row r="13364" s="283" customFormat="1"/>
    <row r="13365" s="283" customFormat="1"/>
    <row r="13366" s="283" customFormat="1"/>
    <row r="13367" s="283" customFormat="1"/>
    <row r="13368" s="283" customFormat="1"/>
    <row r="13369" s="283" customFormat="1"/>
    <row r="13370" s="283" customFormat="1"/>
    <row r="13371" s="283" customFormat="1"/>
    <row r="13372" s="283" customFormat="1"/>
    <row r="13373" s="283" customFormat="1"/>
    <row r="13374" s="283" customFormat="1"/>
    <row r="13375" s="283" customFormat="1"/>
    <row r="13376" s="283" customFormat="1"/>
    <row r="13377" s="283" customFormat="1"/>
    <row r="13378" s="283" customFormat="1"/>
    <row r="13379" s="283" customFormat="1"/>
    <row r="13380" s="283" customFormat="1"/>
    <row r="13381" s="283" customFormat="1"/>
    <row r="13382" s="283" customFormat="1"/>
    <row r="13383" s="283" customFormat="1"/>
    <row r="13384" s="283" customFormat="1"/>
    <row r="13385" s="283" customFormat="1"/>
    <row r="13386" s="283" customFormat="1"/>
    <row r="13387" s="283" customFormat="1"/>
    <row r="13388" s="283" customFormat="1"/>
    <row r="13389" s="283" customFormat="1"/>
    <row r="13390" s="283" customFormat="1"/>
    <row r="13391" s="283" customFormat="1"/>
    <row r="13392" s="283" customFormat="1"/>
    <row r="13393" s="283" customFormat="1"/>
    <row r="13394" s="283" customFormat="1"/>
    <row r="13395" s="283" customFormat="1"/>
    <row r="13396" s="283" customFormat="1"/>
    <row r="13397" s="283" customFormat="1"/>
    <row r="13398" s="283" customFormat="1"/>
    <row r="13399" s="283" customFormat="1"/>
    <row r="13400" s="283" customFormat="1"/>
    <row r="13401" s="283" customFormat="1"/>
    <row r="13402" s="283" customFormat="1"/>
    <row r="13403" s="283" customFormat="1"/>
    <row r="13404" s="283" customFormat="1"/>
    <row r="13405" s="283" customFormat="1"/>
    <row r="13406" s="283" customFormat="1"/>
    <row r="13407" s="283" customFormat="1"/>
    <row r="13408" s="283" customFormat="1"/>
    <row r="13409" s="283" customFormat="1"/>
    <row r="13410" s="283" customFormat="1"/>
    <row r="13411" s="283" customFormat="1"/>
    <row r="13412" s="283" customFormat="1"/>
    <row r="13413" s="283" customFormat="1"/>
    <row r="13414" s="283" customFormat="1"/>
    <row r="13415" s="283" customFormat="1"/>
    <row r="13416" s="283" customFormat="1"/>
    <row r="13417" s="283" customFormat="1"/>
    <row r="13418" s="283" customFormat="1"/>
    <row r="13419" s="283" customFormat="1"/>
    <row r="13420" s="283" customFormat="1"/>
    <row r="13421" s="283" customFormat="1"/>
    <row r="13422" s="283" customFormat="1"/>
    <row r="13423" s="283" customFormat="1"/>
    <row r="13424" s="283" customFormat="1"/>
    <row r="13425" s="283" customFormat="1"/>
    <row r="13426" s="283" customFormat="1"/>
    <row r="13427" s="283" customFormat="1"/>
    <row r="13428" s="283" customFormat="1"/>
    <row r="13429" s="283" customFormat="1"/>
    <row r="13430" s="283" customFormat="1"/>
    <row r="13431" s="283" customFormat="1"/>
    <row r="13432" s="283" customFormat="1"/>
    <row r="13433" s="283" customFormat="1"/>
    <row r="13434" s="283" customFormat="1"/>
    <row r="13435" s="283" customFormat="1"/>
    <row r="13436" s="283" customFormat="1"/>
    <row r="13437" s="283" customFormat="1"/>
    <row r="13438" s="283" customFormat="1"/>
    <row r="13439" s="283" customFormat="1"/>
    <row r="13440" s="283" customFormat="1"/>
    <row r="13441" s="283" customFormat="1"/>
    <row r="13442" s="283" customFormat="1"/>
    <row r="13443" s="283" customFormat="1"/>
    <row r="13444" s="283" customFormat="1"/>
    <row r="13445" s="283" customFormat="1"/>
    <row r="13446" s="283" customFormat="1"/>
    <row r="13447" s="283" customFormat="1"/>
    <row r="13448" s="283" customFormat="1"/>
    <row r="13449" s="283" customFormat="1"/>
    <row r="13450" s="283" customFormat="1"/>
    <row r="13451" s="283" customFormat="1"/>
    <row r="13452" s="283" customFormat="1"/>
    <row r="13453" s="283" customFormat="1"/>
    <row r="13454" s="283" customFormat="1"/>
    <row r="13455" s="283" customFormat="1"/>
    <row r="13456" s="283" customFormat="1"/>
    <row r="13457" s="283" customFormat="1"/>
    <row r="13458" s="283" customFormat="1"/>
    <row r="13459" s="283" customFormat="1"/>
    <row r="13460" s="283" customFormat="1"/>
    <row r="13461" s="283" customFormat="1"/>
    <row r="13462" s="283" customFormat="1"/>
    <row r="13463" s="283" customFormat="1"/>
    <row r="13464" s="283" customFormat="1"/>
    <row r="13465" s="283" customFormat="1"/>
    <row r="13466" s="283" customFormat="1"/>
    <row r="13467" s="283" customFormat="1"/>
    <row r="13468" s="283" customFormat="1"/>
    <row r="13469" s="283" customFormat="1"/>
    <row r="13470" s="283" customFormat="1"/>
    <row r="13471" s="283" customFormat="1"/>
    <row r="13472" s="283" customFormat="1"/>
    <row r="13473" s="283" customFormat="1"/>
    <row r="13474" s="283" customFormat="1"/>
    <row r="13475" s="283" customFormat="1"/>
    <row r="13476" s="283" customFormat="1"/>
    <row r="13477" s="283" customFormat="1"/>
    <row r="13478" s="283" customFormat="1"/>
    <row r="13479" s="283" customFormat="1"/>
    <row r="13480" s="283" customFormat="1"/>
    <row r="13481" s="283" customFormat="1"/>
    <row r="13482" s="283" customFormat="1"/>
    <row r="13483" s="283" customFormat="1"/>
    <row r="13484" s="283" customFormat="1"/>
    <row r="13485" s="283" customFormat="1"/>
    <row r="13486" s="283" customFormat="1"/>
    <row r="13487" s="283" customFormat="1"/>
    <row r="13488" s="283" customFormat="1"/>
    <row r="13489" s="283" customFormat="1"/>
    <row r="13490" s="283" customFormat="1"/>
    <row r="13491" s="283" customFormat="1"/>
    <row r="13492" s="283" customFormat="1"/>
    <row r="13493" s="283" customFormat="1"/>
    <row r="13494" s="283" customFormat="1"/>
    <row r="13495" s="283" customFormat="1"/>
    <row r="13496" s="283" customFormat="1"/>
    <row r="13497" s="283" customFormat="1"/>
    <row r="13498" s="283" customFormat="1"/>
    <row r="13499" s="283" customFormat="1"/>
    <row r="13500" s="283" customFormat="1"/>
    <row r="13501" s="283" customFormat="1"/>
    <row r="13502" s="283" customFormat="1"/>
    <row r="13503" s="283" customFormat="1"/>
    <row r="13504" s="283" customFormat="1"/>
    <row r="13505" s="283" customFormat="1"/>
    <row r="13506" s="283" customFormat="1"/>
    <row r="13507" s="283" customFormat="1"/>
    <row r="13508" s="283" customFormat="1"/>
    <row r="13509" s="283" customFormat="1"/>
    <row r="13510" s="283" customFormat="1"/>
    <row r="13511" s="283" customFormat="1"/>
    <row r="13512" s="283" customFormat="1"/>
    <row r="13513" s="283" customFormat="1"/>
    <row r="13514" s="283" customFormat="1"/>
    <row r="13515" s="283" customFormat="1"/>
    <row r="13516" s="283" customFormat="1"/>
    <row r="13517" s="283" customFormat="1"/>
    <row r="13518" s="283" customFormat="1"/>
    <row r="13519" s="283" customFormat="1"/>
    <row r="13520" s="283" customFormat="1"/>
    <row r="13521" s="283" customFormat="1"/>
    <row r="13522" s="283" customFormat="1"/>
    <row r="13523" s="283" customFormat="1"/>
    <row r="13524" s="283" customFormat="1"/>
    <row r="13525" s="283" customFormat="1"/>
    <row r="13526" s="283" customFormat="1"/>
    <row r="13527" s="283" customFormat="1"/>
    <row r="13528" s="283" customFormat="1"/>
    <row r="13529" s="283" customFormat="1"/>
    <row r="13530" s="283" customFormat="1"/>
    <row r="13531" s="283" customFormat="1"/>
    <row r="13532" s="283" customFormat="1"/>
    <row r="13533" s="283" customFormat="1"/>
    <row r="13534" s="283" customFormat="1"/>
    <row r="13535" s="283" customFormat="1"/>
    <row r="13536" s="283" customFormat="1"/>
    <row r="13537" s="283" customFormat="1"/>
    <row r="13538" s="283" customFormat="1"/>
    <row r="13539" s="283" customFormat="1"/>
    <row r="13540" s="283" customFormat="1"/>
    <row r="13541" s="283" customFormat="1"/>
    <row r="13542" s="283" customFormat="1"/>
    <row r="13543" s="283" customFormat="1"/>
    <row r="13544" s="283" customFormat="1"/>
    <row r="13545" s="283" customFormat="1"/>
    <row r="13546" s="283" customFormat="1"/>
    <row r="13547" s="283" customFormat="1"/>
    <row r="13548" s="283" customFormat="1"/>
    <row r="13549" s="283" customFormat="1"/>
    <row r="13550" s="283" customFormat="1"/>
    <row r="13551" s="283" customFormat="1"/>
    <row r="13552" s="283" customFormat="1"/>
    <row r="13553" s="283" customFormat="1"/>
    <row r="13554" s="283" customFormat="1"/>
    <row r="13555" s="283" customFormat="1"/>
    <row r="13556" s="283" customFormat="1"/>
    <row r="13557" s="283" customFormat="1"/>
    <row r="13558" s="283" customFormat="1"/>
    <row r="13559" s="283" customFormat="1"/>
    <row r="13560" s="283" customFormat="1"/>
    <row r="13561" s="283" customFormat="1"/>
    <row r="13562" s="283" customFormat="1"/>
    <row r="13563" s="283" customFormat="1"/>
    <row r="13564" s="283" customFormat="1"/>
    <row r="13565" s="283" customFormat="1"/>
    <row r="13566" s="283" customFormat="1"/>
    <row r="13567" s="283" customFormat="1"/>
    <row r="13568" s="283" customFormat="1"/>
    <row r="13569" s="283" customFormat="1"/>
    <row r="13570" s="283" customFormat="1"/>
    <row r="13571" s="283" customFormat="1"/>
    <row r="13572" s="283" customFormat="1"/>
    <row r="13573" s="283" customFormat="1"/>
    <row r="13574" s="283" customFormat="1"/>
    <row r="13575" s="283" customFormat="1"/>
    <row r="13576" s="283" customFormat="1"/>
    <row r="13577" s="283" customFormat="1"/>
    <row r="13578" s="283" customFormat="1"/>
    <row r="13579" s="283" customFormat="1"/>
    <row r="13580" s="283" customFormat="1"/>
    <row r="13581" s="283" customFormat="1"/>
    <row r="13582" s="283" customFormat="1"/>
    <row r="13583" s="283" customFormat="1"/>
    <row r="13584" s="283" customFormat="1"/>
    <row r="13585" s="283" customFormat="1"/>
    <row r="13586" s="283" customFormat="1"/>
    <row r="13587" s="283" customFormat="1"/>
    <row r="13588" s="283" customFormat="1"/>
    <row r="13589" s="283" customFormat="1"/>
    <row r="13590" s="283" customFormat="1"/>
    <row r="13591" s="283" customFormat="1"/>
    <row r="13592" s="283" customFormat="1"/>
    <row r="13593" s="283" customFormat="1"/>
    <row r="13594" s="283" customFormat="1"/>
    <row r="13595" s="283" customFormat="1"/>
    <row r="13596" s="283" customFormat="1"/>
    <row r="13597" s="283" customFormat="1"/>
    <row r="13598" s="283" customFormat="1"/>
    <row r="13599" s="283" customFormat="1"/>
    <row r="13600" s="283" customFormat="1"/>
    <row r="13601" s="283" customFormat="1"/>
    <row r="13602" s="283" customFormat="1"/>
    <row r="13603" s="283" customFormat="1"/>
    <row r="13604" s="283" customFormat="1"/>
    <row r="13605" s="283" customFormat="1"/>
    <row r="13606" s="283" customFormat="1"/>
    <row r="13607" s="283" customFormat="1"/>
    <row r="13608" s="283" customFormat="1"/>
    <row r="13609" s="283" customFormat="1"/>
    <row r="13610" s="283" customFormat="1"/>
    <row r="13611" s="283" customFormat="1"/>
    <row r="13612" s="283" customFormat="1"/>
    <row r="13613" s="283" customFormat="1"/>
    <row r="13614" s="283" customFormat="1"/>
    <row r="13615" s="283" customFormat="1"/>
    <row r="13616" s="283" customFormat="1"/>
    <row r="13617" s="283" customFormat="1"/>
    <row r="13618" s="283" customFormat="1"/>
    <row r="13619" s="283" customFormat="1"/>
    <row r="13620" s="283" customFormat="1"/>
    <row r="13621" s="283" customFormat="1"/>
    <row r="13622" s="283" customFormat="1"/>
    <row r="13623" s="283" customFormat="1"/>
    <row r="13624" s="283" customFormat="1"/>
    <row r="13625" s="283" customFormat="1"/>
    <row r="13626" s="283" customFormat="1"/>
    <row r="13627" s="283" customFormat="1"/>
    <row r="13628" s="283" customFormat="1"/>
    <row r="13629" s="283" customFormat="1"/>
    <row r="13630" s="283" customFormat="1"/>
    <row r="13631" s="283" customFormat="1"/>
    <row r="13632" s="283" customFormat="1"/>
    <row r="13633" s="283" customFormat="1"/>
    <row r="13634" s="283" customFormat="1"/>
    <row r="13635" s="283" customFormat="1"/>
    <row r="13636" s="283" customFormat="1"/>
    <row r="13637" s="283" customFormat="1"/>
    <row r="13638" s="283" customFormat="1"/>
    <row r="13639" s="283" customFormat="1"/>
    <row r="13640" s="283" customFormat="1"/>
    <row r="13641" s="283" customFormat="1"/>
    <row r="13642" s="283" customFormat="1"/>
    <row r="13643" s="283" customFormat="1"/>
    <row r="13644" s="283" customFormat="1"/>
    <row r="13645" s="283" customFormat="1"/>
    <row r="13646" s="283" customFormat="1"/>
    <row r="13647" s="283" customFormat="1"/>
    <row r="13648" s="283" customFormat="1"/>
    <row r="13649" s="283" customFormat="1"/>
    <row r="13650" s="283" customFormat="1"/>
    <row r="13651" s="283" customFormat="1"/>
    <row r="13652" s="283" customFormat="1"/>
    <row r="13653" s="283" customFormat="1"/>
    <row r="13654" s="283" customFormat="1"/>
    <row r="13655" s="283" customFormat="1"/>
    <row r="13656" s="283" customFormat="1"/>
    <row r="13657" s="283" customFormat="1"/>
    <row r="13658" s="283" customFormat="1"/>
    <row r="13659" s="283" customFormat="1"/>
    <row r="13660" s="283" customFormat="1"/>
    <row r="13661" s="283" customFormat="1"/>
    <row r="13662" s="283" customFormat="1"/>
    <row r="13663" s="283" customFormat="1"/>
    <row r="13664" s="283" customFormat="1"/>
    <row r="13665" s="283" customFormat="1"/>
    <row r="13666" s="283" customFormat="1"/>
    <row r="13667" s="283" customFormat="1"/>
    <row r="13668" s="283" customFormat="1"/>
    <row r="13669" s="283" customFormat="1"/>
    <row r="13670" s="283" customFormat="1"/>
    <row r="13671" s="283" customFormat="1"/>
    <row r="13672" s="283" customFormat="1"/>
    <row r="13673" s="283" customFormat="1"/>
    <row r="13674" s="283" customFormat="1"/>
    <row r="13675" s="283" customFormat="1"/>
    <row r="13676" s="283" customFormat="1"/>
    <row r="13677" s="283" customFormat="1"/>
    <row r="13678" s="283" customFormat="1"/>
    <row r="13679" s="283" customFormat="1"/>
    <row r="13680" s="283" customFormat="1"/>
    <row r="13681" s="283" customFormat="1"/>
    <row r="13682" s="283" customFormat="1"/>
    <row r="13683" s="283" customFormat="1"/>
    <row r="13684" s="283" customFormat="1"/>
    <row r="13685" s="283" customFormat="1"/>
    <row r="13686" s="283" customFormat="1"/>
    <row r="13687" s="283" customFormat="1"/>
    <row r="13688" s="283" customFormat="1"/>
    <row r="13689" s="283" customFormat="1"/>
    <row r="13690" s="283" customFormat="1"/>
    <row r="13691" s="283" customFormat="1"/>
    <row r="13692" s="283" customFormat="1"/>
    <row r="13693" s="283" customFormat="1"/>
    <row r="13694" s="283" customFormat="1"/>
    <row r="13695" s="283" customFormat="1"/>
    <row r="13696" s="283" customFormat="1"/>
    <row r="13697" s="283" customFormat="1"/>
    <row r="13698" s="283" customFormat="1"/>
    <row r="13699" s="283" customFormat="1"/>
    <row r="13700" s="283" customFormat="1"/>
    <row r="13701" s="283" customFormat="1"/>
    <row r="13702" s="283" customFormat="1"/>
    <row r="13703" s="283" customFormat="1"/>
    <row r="13704" s="283" customFormat="1"/>
    <row r="13705" s="283" customFormat="1"/>
    <row r="13706" s="283" customFormat="1"/>
    <row r="13707" s="283" customFormat="1"/>
    <row r="13708" s="283" customFormat="1"/>
    <row r="13709" s="283" customFormat="1"/>
    <row r="13710" s="283" customFormat="1"/>
    <row r="13711" s="283" customFormat="1"/>
    <row r="13712" s="283" customFormat="1"/>
    <row r="13713" s="283" customFormat="1"/>
    <row r="13714" s="283" customFormat="1"/>
    <row r="13715" s="283" customFormat="1"/>
    <row r="13716" s="283" customFormat="1"/>
    <row r="13717" s="283" customFormat="1"/>
    <row r="13718" s="283" customFormat="1"/>
    <row r="13719" s="283" customFormat="1"/>
    <row r="13720" s="283" customFormat="1"/>
    <row r="13721" s="283" customFormat="1"/>
    <row r="13722" s="283" customFormat="1"/>
    <row r="13723" s="283" customFormat="1"/>
    <row r="13724" s="283" customFormat="1"/>
    <row r="13725" s="283" customFormat="1"/>
    <row r="13726" s="283" customFormat="1"/>
    <row r="13727" s="283" customFormat="1"/>
    <row r="13728" s="283" customFormat="1"/>
    <row r="13729" s="283" customFormat="1"/>
    <row r="13730" s="283" customFormat="1"/>
    <row r="13731" s="283" customFormat="1"/>
    <row r="13732" s="283" customFormat="1"/>
    <row r="13733" s="283" customFormat="1"/>
    <row r="13734" s="283" customFormat="1"/>
    <row r="13735" s="283" customFormat="1"/>
    <row r="13736" s="283" customFormat="1"/>
    <row r="13737" s="283" customFormat="1"/>
    <row r="13738" s="283" customFormat="1"/>
    <row r="13739" s="283" customFormat="1"/>
    <row r="13740" s="283" customFormat="1"/>
    <row r="13741" s="283" customFormat="1"/>
    <row r="13742" s="283" customFormat="1"/>
    <row r="13743" s="283" customFormat="1"/>
    <row r="13744" s="283" customFormat="1"/>
    <row r="13745" s="283" customFormat="1"/>
    <row r="13746" s="283" customFormat="1"/>
    <row r="13747" s="283" customFormat="1"/>
    <row r="13748" s="283" customFormat="1"/>
    <row r="13749" s="283" customFormat="1"/>
    <row r="13750" s="283" customFormat="1"/>
    <row r="13751" s="283" customFormat="1"/>
    <row r="13752" s="283" customFormat="1"/>
    <row r="13753" s="283" customFormat="1"/>
    <row r="13754" s="283" customFormat="1"/>
    <row r="13755" s="283" customFormat="1"/>
    <row r="13756" s="283" customFormat="1"/>
    <row r="13757" s="283" customFormat="1"/>
    <row r="13758" s="283" customFormat="1"/>
    <row r="13759" s="283" customFormat="1"/>
    <row r="13760" s="283" customFormat="1"/>
    <row r="13761" s="283" customFormat="1"/>
    <row r="13762" s="283" customFormat="1"/>
    <row r="13763" s="283" customFormat="1"/>
    <row r="13764" s="283" customFormat="1"/>
    <row r="13765" s="283" customFormat="1"/>
    <row r="13766" s="283" customFormat="1"/>
    <row r="13767" s="283" customFormat="1"/>
    <row r="13768" s="283" customFormat="1"/>
    <row r="13769" s="283" customFormat="1"/>
    <row r="13770" s="283" customFormat="1"/>
    <row r="13771" s="283" customFormat="1"/>
    <row r="13772" s="283" customFormat="1"/>
    <row r="13773" s="283" customFormat="1"/>
    <row r="13774" s="283" customFormat="1"/>
    <row r="13775" s="283" customFormat="1"/>
    <row r="13776" s="283" customFormat="1"/>
    <row r="13777" s="283" customFormat="1"/>
    <row r="13778" s="283" customFormat="1"/>
    <row r="13779" s="283" customFormat="1"/>
    <row r="13780" s="283" customFormat="1"/>
    <row r="13781" s="283" customFormat="1"/>
    <row r="13782" s="283" customFormat="1"/>
    <row r="13783" s="283" customFormat="1"/>
    <row r="13784" s="283" customFormat="1"/>
    <row r="13785" s="283" customFormat="1"/>
    <row r="13786" s="283" customFormat="1"/>
    <row r="13787" s="283" customFormat="1"/>
    <row r="13788" s="283" customFormat="1"/>
    <row r="13789" s="283" customFormat="1"/>
    <row r="13790" s="283" customFormat="1"/>
    <row r="13791" s="283" customFormat="1"/>
    <row r="13792" s="283" customFormat="1"/>
    <row r="13793" s="283" customFormat="1"/>
    <row r="13794" s="283" customFormat="1"/>
    <row r="13795" s="283" customFormat="1"/>
    <row r="13796" s="283" customFormat="1"/>
    <row r="13797" s="283" customFormat="1"/>
    <row r="13798" s="283" customFormat="1"/>
    <row r="13799" s="283" customFormat="1"/>
    <row r="13800" s="283" customFormat="1"/>
    <row r="13801" s="283" customFormat="1"/>
    <row r="13802" s="283" customFormat="1"/>
    <row r="13803" s="283" customFormat="1"/>
    <row r="13804" s="283" customFormat="1"/>
    <row r="13805" s="283" customFormat="1"/>
    <row r="13806" s="283" customFormat="1"/>
    <row r="13807" s="283" customFormat="1"/>
    <row r="13808" s="283" customFormat="1"/>
    <row r="13809" s="283" customFormat="1"/>
    <row r="13810" s="283" customFormat="1"/>
    <row r="13811" s="283" customFormat="1"/>
    <row r="13812" s="283" customFormat="1"/>
    <row r="13813" s="283" customFormat="1"/>
    <row r="13814" s="283" customFormat="1"/>
    <row r="13815" s="283" customFormat="1"/>
    <row r="13816" s="283" customFormat="1"/>
    <row r="13817" s="283" customFormat="1"/>
    <row r="13818" s="283" customFormat="1"/>
    <row r="13819" s="283" customFormat="1"/>
    <row r="13820" s="283" customFormat="1"/>
    <row r="13821" s="283" customFormat="1"/>
    <row r="13822" s="283" customFormat="1"/>
    <row r="13823" s="283" customFormat="1"/>
    <row r="13824" s="283" customFormat="1"/>
    <row r="13825" s="283" customFormat="1"/>
    <row r="13826" s="283" customFormat="1"/>
    <row r="13827" s="283" customFormat="1"/>
    <row r="13828" s="283" customFormat="1"/>
    <row r="13829" s="283" customFormat="1"/>
    <row r="13830" s="283" customFormat="1"/>
    <row r="13831" s="283" customFormat="1"/>
    <row r="13832" s="283" customFormat="1"/>
    <row r="13833" s="283" customFormat="1"/>
    <row r="13834" s="283" customFormat="1"/>
    <row r="13835" s="283" customFormat="1"/>
    <row r="13836" s="283" customFormat="1"/>
    <row r="13837" s="283" customFormat="1"/>
    <row r="13838" s="283" customFormat="1"/>
    <row r="13839" s="283" customFormat="1"/>
    <row r="13840" s="283" customFormat="1"/>
    <row r="13841" s="283" customFormat="1"/>
    <row r="13842" s="283" customFormat="1"/>
    <row r="13843" s="283" customFormat="1"/>
    <row r="13844" s="283" customFormat="1"/>
    <row r="13845" s="283" customFormat="1"/>
    <row r="13846" s="283" customFormat="1"/>
    <row r="13847" s="283" customFormat="1"/>
    <row r="13848" s="283" customFormat="1"/>
    <row r="13849" s="283" customFormat="1"/>
    <row r="13850" s="283" customFormat="1"/>
    <row r="13851" s="283" customFormat="1"/>
    <row r="13852" s="283" customFormat="1"/>
    <row r="13853" s="283" customFormat="1"/>
    <row r="13854" s="283" customFormat="1"/>
    <row r="13855" s="283" customFormat="1"/>
    <row r="13856" s="283" customFormat="1"/>
    <row r="13857" s="283" customFormat="1"/>
    <row r="13858" s="283" customFormat="1"/>
    <row r="13859" s="283" customFormat="1"/>
    <row r="13860" s="283" customFormat="1"/>
    <row r="13861" s="283" customFormat="1"/>
    <row r="13862" s="283" customFormat="1"/>
    <row r="13863" s="283" customFormat="1"/>
    <row r="13864" s="283" customFormat="1"/>
    <row r="13865" s="283" customFormat="1"/>
    <row r="13866" s="283" customFormat="1"/>
    <row r="13867" s="283" customFormat="1"/>
    <row r="13868" s="283" customFormat="1"/>
    <row r="13869" s="283" customFormat="1"/>
    <row r="13870" s="283" customFormat="1"/>
    <row r="13871" s="283" customFormat="1"/>
    <row r="13872" s="283" customFormat="1"/>
    <row r="13873" s="283" customFormat="1"/>
    <row r="13874" s="283" customFormat="1"/>
    <row r="13875" s="283" customFormat="1"/>
    <row r="13876" s="283" customFormat="1"/>
    <row r="13877" s="283" customFormat="1"/>
    <row r="13878" s="283" customFormat="1"/>
    <row r="13879" s="283" customFormat="1"/>
    <row r="13880" s="283" customFormat="1"/>
    <row r="13881" s="283" customFormat="1"/>
    <row r="13882" s="283" customFormat="1"/>
    <row r="13883" s="283" customFormat="1"/>
    <row r="13884" s="283" customFormat="1"/>
    <row r="13885" s="283" customFormat="1"/>
    <row r="13886" s="283" customFormat="1"/>
    <row r="13887" s="283" customFormat="1"/>
    <row r="13888" s="283" customFormat="1"/>
    <row r="13889" s="283" customFormat="1"/>
    <row r="13890" s="283" customFormat="1"/>
    <row r="13891" s="283" customFormat="1"/>
    <row r="13892" s="283" customFormat="1"/>
    <row r="13893" s="283" customFormat="1"/>
    <row r="13894" s="283" customFormat="1"/>
    <row r="13895" s="283" customFormat="1"/>
    <row r="13896" s="283" customFormat="1"/>
    <row r="13897" s="283" customFormat="1"/>
    <row r="13898" s="283" customFormat="1"/>
    <row r="13899" s="283" customFormat="1"/>
    <row r="13900" s="283" customFormat="1"/>
    <row r="13901" s="283" customFormat="1"/>
    <row r="13902" s="283" customFormat="1"/>
    <row r="13903" s="283" customFormat="1"/>
    <row r="13904" s="283" customFormat="1"/>
    <row r="13905" s="283" customFormat="1"/>
    <row r="13906" s="283" customFormat="1"/>
    <row r="13907" s="283" customFormat="1"/>
    <row r="13908" s="283" customFormat="1"/>
    <row r="13909" s="283" customFormat="1"/>
    <row r="13910" s="283" customFormat="1"/>
    <row r="13911" s="283" customFormat="1"/>
    <row r="13912" s="283" customFormat="1"/>
    <row r="13913" s="283" customFormat="1"/>
    <row r="13914" s="283" customFormat="1"/>
    <row r="13915" s="283" customFormat="1"/>
    <row r="13916" s="283" customFormat="1"/>
    <row r="13917" s="283" customFormat="1"/>
    <row r="13918" s="283" customFormat="1"/>
    <row r="13919" s="283" customFormat="1"/>
    <row r="13920" s="283" customFormat="1"/>
    <row r="13921" s="283" customFormat="1"/>
    <row r="13922" s="283" customFormat="1"/>
    <row r="13923" s="283" customFormat="1"/>
    <row r="13924" s="283" customFormat="1"/>
    <row r="13925" s="283" customFormat="1"/>
    <row r="13926" s="283" customFormat="1"/>
    <row r="13927" s="283" customFormat="1"/>
    <row r="13928" s="283" customFormat="1"/>
    <row r="13929" s="283" customFormat="1"/>
    <row r="13930" s="283" customFormat="1"/>
    <row r="13931" s="283" customFormat="1"/>
    <row r="13932" s="283" customFormat="1"/>
    <row r="13933" s="283" customFormat="1"/>
    <row r="13934" s="283" customFormat="1"/>
    <row r="13935" s="283" customFormat="1"/>
    <row r="13936" s="283" customFormat="1"/>
    <row r="13937" s="283" customFormat="1"/>
    <row r="13938" s="283" customFormat="1"/>
    <row r="13939" s="283" customFormat="1"/>
    <row r="13940" s="283" customFormat="1"/>
    <row r="13941" s="283" customFormat="1"/>
    <row r="13942" s="283" customFormat="1"/>
    <row r="13943" s="283" customFormat="1"/>
    <row r="13944" s="283" customFormat="1"/>
    <row r="13945" s="283" customFormat="1"/>
    <row r="13946" s="283" customFormat="1"/>
    <row r="13947" s="283" customFormat="1"/>
    <row r="13948" s="283" customFormat="1"/>
    <row r="13949" s="283" customFormat="1"/>
    <row r="13950" s="283" customFormat="1"/>
    <row r="13951" s="283" customFormat="1"/>
    <row r="13952" s="283" customFormat="1"/>
    <row r="13953" s="283" customFormat="1"/>
    <row r="13954" s="283" customFormat="1"/>
    <row r="13955" s="283" customFormat="1"/>
    <row r="13956" s="283" customFormat="1"/>
    <row r="13957" s="283" customFormat="1"/>
    <row r="13958" s="283" customFormat="1"/>
    <row r="13959" s="283" customFormat="1"/>
    <row r="13960" s="283" customFormat="1"/>
    <row r="13961" s="283" customFormat="1"/>
    <row r="13962" s="283" customFormat="1"/>
    <row r="13963" s="283" customFormat="1"/>
    <row r="13964" s="283" customFormat="1"/>
    <row r="13965" s="283" customFormat="1"/>
    <row r="13966" s="283" customFormat="1"/>
    <row r="13967" s="283" customFormat="1"/>
    <row r="13968" s="283" customFormat="1"/>
    <row r="13969" s="283" customFormat="1"/>
    <row r="13970" s="283" customFormat="1"/>
    <row r="13971" s="283" customFormat="1"/>
    <row r="13972" s="283" customFormat="1"/>
    <row r="13973" s="283" customFormat="1"/>
    <row r="13974" s="283" customFormat="1"/>
    <row r="13975" s="283" customFormat="1"/>
    <row r="13976" s="283" customFormat="1"/>
    <row r="13977" s="283" customFormat="1"/>
    <row r="13978" s="283" customFormat="1"/>
    <row r="13979" s="283" customFormat="1"/>
    <row r="13980" s="283" customFormat="1"/>
    <row r="13981" s="283" customFormat="1"/>
    <row r="13982" s="283" customFormat="1"/>
    <row r="13983" s="283" customFormat="1"/>
    <row r="13984" s="283" customFormat="1"/>
    <row r="13985" s="283" customFormat="1"/>
    <row r="13986" s="283" customFormat="1"/>
    <row r="13987" s="283" customFormat="1"/>
    <row r="13988" s="283" customFormat="1"/>
    <row r="13989" s="283" customFormat="1"/>
    <row r="13990" s="283" customFormat="1"/>
    <row r="13991" s="283" customFormat="1"/>
    <row r="13992" s="283" customFormat="1"/>
    <row r="13993" s="283" customFormat="1"/>
    <row r="13994" s="283" customFormat="1"/>
    <row r="13995" s="283" customFormat="1"/>
    <row r="13996" s="283" customFormat="1"/>
    <row r="13997" s="283" customFormat="1"/>
    <row r="13998" s="283" customFormat="1"/>
    <row r="13999" s="283" customFormat="1"/>
    <row r="14000" s="283" customFormat="1"/>
    <row r="14001" s="283" customFormat="1"/>
    <row r="14002" s="283" customFormat="1"/>
    <row r="14003" s="283" customFormat="1"/>
    <row r="14004" s="283" customFormat="1"/>
    <row r="14005" s="283" customFormat="1"/>
    <row r="14006" s="283" customFormat="1"/>
    <row r="14007" s="283" customFormat="1"/>
    <row r="14008" s="283" customFormat="1"/>
    <row r="14009" s="283" customFormat="1"/>
    <row r="14010" s="283" customFormat="1"/>
    <row r="14011" s="283" customFormat="1"/>
    <row r="14012" s="283" customFormat="1"/>
    <row r="14013" s="283" customFormat="1"/>
    <row r="14014" s="283" customFormat="1"/>
    <row r="14015" s="283" customFormat="1"/>
    <row r="14016" s="283" customFormat="1"/>
    <row r="14017" s="283" customFormat="1"/>
    <row r="14018" s="283" customFormat="1"/>
    <row r="14019" s="283" customFormat="1"/>
    <row r="14020" s="283" customFormat="1"/>
    <row r="14021" s="283" customFormat="1"/>
    <row r="14022" s="283" customFormat="1"/>
    <row r="14023" s="283" customFormat="1"/>
    <row r="14024" s="283" customFormat="1"/>
    <row r="14025" s="283" customFormat="1"/>
    <row r="14026" s="283" customFormat="1"/>
    <row r="14027" s="283" customFormat="1"/>
    <row r="14028" s="283" customFormat="1"/>
    <row r="14029" s="283" customFormat="1"/>
    <row r="14030" s="283" customFormat="1"/>
    <row r="14031" s="283" customFormat="1"/>
    <row r="14032" s="283" customFormat="1"/>
    <row r="14033" s="283" customFormat="1"/>
    <row r="14034" s="283" customFormat="1"/>
    <row r="14035" s="283" customFormat="1"/>
    <row r="14036" s="283" customFormat="1"/>
    <row r="14037" s="283" customFormat="1"/>
    <row r="14038" s="283" customFormat="1"/>
    <row r="14039" s="283" customFormat="1"/>
    <row r="14040" s="283" customFormat="1"/>
    <row r="14041" s="283" customFormat="1"/>
    <row r="14042" s="283" customFormat="1"/>
    <row r="14043" s="283" customFormat="1"/>
    <row r="14044" s="283" customFormat="1"/>
    <row r="14045" s="283" customFormat="1"/>
    <row r="14046" s="283" customFormat="1"/>
    <row r="14047" s="283" customFormat="1"/>
    <row r="14048" s="283" customFormat="1"/>
    <row r="14049" s="283" customFormat="1"/>
    <row r="14050" s="283" customFormat="1"/>
    <row r="14051" s="283" customFormat="1"/>
    <row r="14052" s="283" customFormat="1"/>
    <row r="14053" s="283" customFormat="1"/>
    <row r="14054" s="283" customFormat="1"/>
    <row r="14055" s="283" customFormat="1"/>
    <row r="14056" s="283" customFormat="1"/>
    <row r="14057" s="283" customFormat="1"/>
    <row r="14058" s="283" customFormat="1"/>
    <row r="14059" s="283" customFormat="1"/>
    <row r="14060" s="283" customFormat="1"/>
    <row r="14061" s="283" customFormat="1"/>
    <row r="14062" s="283" customFormat="1"/>
    <row r="14063" s="283" customFormat="1"/>
    <row r="14064" s="283" customFormat="1"/>
    <row r="14065" s="283" customFormat="1"/>
    <row r="14066" s="283" customFormat="1"/>
    <row r="14067" s="283" customFormat="1"/>
    <row r="14068" s="283" customFormat="1"/>
    <row r="14069" s="283" customFormat="1"/>
    <row r="14070" s="283" customFormat="1"/>
    <row r="14071" s="283" customFormat="1"/>
    <row r="14072" s="283" customFormat="1"/>
    <row r="14073" s="283" customFormat="1"/>
    <row r="14074" s="283" customFormat="1"/>
    <row r="14075" s="283" customFormat="1"/>
    <row r="14076" s="283" customFormat="1"/>
    <row r="14077" s="283" customFormat="1"/>
    <row r="14078" s="283" customFormat="1"/>
    <row r="14079" s="283" customFormat="1"/>
    <row r="14080" s="283" customFormat="1"/>
    <row r="14081" s="283" customFormat="1"/>
    <row r="14082" s="283" customFormat="1"/>
    <row r="14083" s="283" customFormat="1"/>
    <row r="14084" s="283" customFormat="1"/>
    <row r="14085" s="283" customFormat="1"/>
    <row r="14086" s="283" customFormat="1"/>
    <row r="14087" s="283" customFormat="1"/>
    <row r="14088" s="283" customFormat="1"/>
    <row r="14089" s="283" customFormat="1"/>
    <row r="14090" s="283" customFormat="1"/>
    <row r="14091" s="283" customFormat="1"/>
    <row r="14092" s="283" customFormat="1"/>
    <row r="14093" s="283" customFormat="1"/>
    <row r="14094" s="283" customFormat="1"/>
    <row r="14095" s="283" customFormat="1"/>
    <row r="14096" s="283" customFormat="1"/>
    <row r="14097" s="283" customFormat="1"/>
    <row r="14098" s="283" customFormat="1"/>
    <row r="14099" s="283" customFormat="1"/>
    <row r="14100" s="283" customFormat="1"/>
    <row r="14101" s="283" customFormat="1"/>
    <row r="14102" s="283" customFormat="1"/>
    <row r="14103" s="283" customFormat="1"/>
    <row r="14104" s="283" customFormat="1"/>
    <row r="14105" s="283" customFormat="1"/>
    <row r="14106" s="283" customFormat="1"/>
    <row r="14107" s="283" customFormat="1"/>
    <row r="14108" s="283" customFormat="1"/>
    <row r="14109" s="283" customFormat="1"/>
    <row r="14110" s="283" customFormat="1"/>
    <row r="14111" s="283" customFormat="1"/>
    <row r="14112" s="283" customFormat="1"/>
    <row r="14113" s="283" customFormat="1"/>
    <row r="14114" s="283" customFormat="1"/>
    <row r="14115" s="283" customFormat="1"/>
    <row r="14116" s="283" customFormat="1"/>
    <row r="14117" s="283" customFormat="1"/>
    <row r="14118" s="283" customFormat="1"/>
    <row r="14119" s="283" customFormat="1"/>
    <row r="14120" s="283" customFormat="1"/>
    <row r="14121" s="283" customFormat="1"/>
    <row r="14122" s="283" customFormat="1"/>
    <row r="14123" s="283" customFormat="1"/>
    <row r="14124" s="283" customFormat="1"/>
    <row r="14125" s="283" customFormat="1"/>
    <row r="14126" s="283" customFormat="1"/>
    <row r="14127" s="283" customFormat="1"/>
    <row r="14128" s="283" customFormat="1"/>
    <row r="14129" s="283" customFormat="1"/>
    <row r="14130" s="283" customFormat="1"/>
    <row r="14131" s="283" customFormat="1"/>
    <row r="14132" s="283" customFormat="1"/>
    <row r="14133" s="283" customFormat="1"/>
    <row r="14134" s="283" customFormat="1"/>
    <row r="14135" s="283" customFormat="1"/>
    <row r="14136" s="283" customFormat="1"/>
    <row r="14137" s="283" customFormat="1"/>
    <row r="14138" s="283" customFormat="1"/>
    <row r="14139" s="283" customFormat="1"/>
    <row r="14140" s="283" customFormat="1"/>
    <row r="14141" s="283" customFormat="1"/>
    <row r="14142" s="283" customFormat="1"/>
    <row r="14143" s="283" customFormat="1"/>
    <row r="14144" s="283" customFormat="1"/>
    <row r="14145" s="283" customFormat="1"/>
    <row r="14146" s="283" customFormat="1"/>
    <row r="14147" s="283" customFormat="1"/>
    <row r="14148" s="283" customFormat="1"/>
    <row r="14149" s="283" customFormat="1"/>
    <row r="14150" s="283" customFormat="1"/>
    <row r="14151" s="283" customFormat="1"/>
    <row r="14152" s="283" customFormat="1"/>
    <row r="14153" s="283" customFormat="1"/>
    <row r="14154" s="283" customFormat="1"/>
    <row r="14155" s="283" customFormat="1"/>
    <row r="14156" s="283" customFormat="1"/>
    <row r="14157" s="283" customFormat="1"/>
    <row r="14158" s="283" customFormat="1"/>
    <row r="14159" s="283" customFormat="1"/>
    <row r="14160" s="283" customFormat="1"/>
    <row r="14161" s="283" customFormat="1"/>
    <row r="14162" s="283" customFormat="1"/>
    <row r="14163" s="283" customFormat="1"/>
    <row r="14164" s="283" customFormat="1"/>
    <row r="14165" s="283" customFormat="1"/>
    <row r="14166" s="283" customFormat="1"/>
    <row r="14167" s="283" customFormat="1"/>
    <row r="14168" s="283" customFormat="1"/>
    <row r="14169" s="283" customFormat="1"/>
    <row r="14170" s="283" customFormat="1"/>
    <row r="14171" s="283" customFormat="1"/>
    <row r="14172" s="283" customFormat="1"/>
    <row r="14173" s="283" customFormat="1"/>
    <row r="14174" s="283" customFormat="1"/>
    <row r="14175" s="283" customFormat="1"/>
    <row r="14176" s="283" customFormat="1"/>
    <row r="14177" s="283" customFormat="1"/>
    <row r="14178" s="283" customFormat="1"/>
    <row r="14179" s="283" customFormat="1"/>
    <row r="14180" s="283" customFormat="1"/>
    <row r="14181" s="283" customFormat="1"/>
    <row r="14182" s="283" customFormat="1"/>
    <row r="14183" s="283" customFormat="1"/>
    <row r="14184" s="283" customFormat="1"/>
    <row r="14185" s="283" customFormat="1"/>
    <row r="14186" s="283" customFormat="1"/>
    <row r="14187" s="283" customFormat="1"/>
    <row r="14188" s="283" customFormat="1"/>
    <row r="14189" s="283" customFormat="1"/>
    <row r="14190" s="283" customFormat="1"/>
    <row r="14191" s="283" customFormat="1"/>
    <row r="14192" s="283" customFormat="1"/>
    <row r="14193" s="283" customFormat="1"/>
    <row r="14194" s="283" customFormat="1"/>
    <row r="14195" s="283" customFormat="1"/>
    <row r="14196" s="283" customFormat="1"/>
    <row r="14197" s="283" customFormat="1"/>
    <row r="14198" s="283" customFormat="1"/>
    <row r="14199" s="283" customFormat="1"/>
    <row r="14200" s="283" customFormat="1"/>
    <row r="14201" s="283" customFormat="1"/>
    <row r="14202" s="283" customFormat="1"/>
    <row r="14203" s="283" customFormat="1"/>
    <row r="14204" s="283" customFormat="1"/>
    <row r="14205" s="283" customFormat="1"/>
    <row r="14206" s="283" customFormat="1"/>
    <row r="14207" s="283" customFormat="1"/>
    <row r="14208" s="283" customFormat="1"/>
    <row r="14209" s="283" customFormat="1"/>
    <row r="14210" s="283" customFormat="1"/>
    <row r="14211" s="283" customFormat="1"/>
    <row r="14212" s="283" customFormat="1"/>
    <row r="14213" s="283" customFormat="1"/>
    <row r="14214" s="283" customFormat="1"/>
    <row r="14215" s="283" customFormat="1"/>
    <row r="14216" s="283" customFormat="1"/>
    <row r="14217" s="283" customFormat="1"/>
    <row r="14218" s="283" customFormat="1"/>
    <row r="14219" s="283" customFormat="1"/>
    <row r="14220" s="283" customFormat="1"/>
    <row r="14221" s="283" customFormat="1"/>
    <row r="14222" s="283" customFormat="1"/>
    <row r="14223" s="283" customFormat="1"/>
    <row r="14224" s="283" customFormat="1"/>
    <row r="14225" s="283" customFormat="1"/>
    <row r="14226" s="283" customFormat="1"/>
    <row r="14227" s="283" customFormat="1"/>
    <row r="14228" s="283" customFormat="1"/>
    <row r="14229" s="283" customFormat="1"/>
    <row r="14230" s="283" customFormat="1"/>
    <row r="14231" s="283" customFormat="1"/>
    <row r="14232" s="283" customFormat="1"/>
    <row r="14233" s="283" customFormat="1"/>
    <row r="14234" s="283" customFormat="1"/>
    <row r="14235" s="283" customFormat="1"/>
    <row r="14236" s="283" customFormat="1"/>
    <row r="14237" s="283" customFormat="1"/>
    <row r="14238" s="283" customFormat="1"/>
    <row r="14239" s="283" customFormat="1"/>
    <row r="14240" s="283" customFormat="1"/>
    <row r="14241" s="283" customFormat="1"/>
    <row r="14242" s="283" customFormat="1"/>
    <row r="14243" s="283" customFormat="1"/>
    <row r="14244" s="283" customFormat="1"/>
    <row r="14245" s="283" customFormat="1"/>
    <row r="14246" s="283" customFormat="1"/>
    <row r="14247" s="283" customFormat="1"/>
    <row r="14248" s="283" customFormat="1"/>
    <row r="14249" s="283" customFormat="1"/>
    <row r="14250" s="283" customFormat="1"/>
    <row r="14251" s="283" customFormat="1"/>
    <row r="14252" s="283" customFormat="1"/>
    <row r="14253" s="283" customFormat="1"/>
    <row r="14254" s="283" customFormat="1"/>
    <row r="14255" s="283" customFormat="1"/>
    <row r="14256" s="283" customFormat="1"/>
    <row r="14257" s="283" customFormat="1"/>
    <row r="14258" s="283" customFormat="1"/>
    <row r="14259" s="283" customFormat="1"/>
    <row r="14260" s="283" customFormat="1"/>
    <row r="14261" s="283" customFormat="1"/>
    <row r="14262" s="283" customFormat="1"/>
    <row r="14263" s="283" customFormat="1"/>
    <row r="14264" s="283" customFormat="1"/>
    <row r="14265" s="283" customFormat="1"/>
    <row r="14266" s="283" customFormat="1"/>
    <row r="14267" s="283" customFormat="1"/>
    <row r="14268" s="283" customFormat="1"/>
    <row r="14269" s="283" customFormat="1"/>
    <row r="14270" s="283" customFormat="1"/>
    <row r="14271" s="283" customFormat="1"/>
    <row r="14272" s="283" customFormat="1"/>
    <row r="14273" s="283" customFormat="1"/>
    <row r="14274" s="283" customFormat="1"/>
    <row r="14275" s="283" customFormat="1"/>
    <row r="14276" s="283" customFormat="1"/>
    <row r="14277" s="283" customFormat="1"/>
    <row r="14278" s="283" customFormat="1"/>
    <row r="14279" s="283" customFormat="1"/>
    <row r="14280" s="283" customFormat="1"/>
    <row r="14281" s="283" customFormat="1"/>
    <row r="14282" s="283" customFormat="1"/>
    <row r="14283" s="283" customFormat="1"/>
    <row r="14284" s="283" customFormat="1"/>
    <row r="14285" s="283" customFormat="1"/>
    <row r="14286" s="283" customFormat="1"/>
    <row r="14287" s="283" customFormat="1"/>
    <row r="14288" s="283" customFormat="1"/>
    <row r="14289" s="283" customFormat="1"/>
    <row r="14290" s="283" customFormat="1"/>
    <row r="14291" s="283" customFormat="1"/>
    <row r="14292" s="283" customFormat="1"/>
    <row r="14293" s="283" customFormat="1"/>
    <row r="14294" s="283" customFormat="1"/>
    <row r="14295" s="283" customFormat="1"/>
    <row r="14296" s="283" customFormat="1"/>
    <row r="14297" s="283" customFormat="1"/>
    <row r="14298" s="283" customFormat="1"/>
    <row r="14299" s="283" customFormat="1"/>
    <row r="14300" s="283" customFormat="1"/>
    <row r="14301" s="283" customFormat="1"/>
    <row r="14302" s="283" customFormat="1"/>
    <row r="14303" s="283" customFormat="1"/>
    <row r="14304" s="283" customFormat="1"/>
    <row r="14305" s="283" customFormat="1"/>
    <row r="14306" s="283" customFormat="1"/>
    <row r="14307" s="283" customFormat="1"/>
    <row r="14308" s="283" customFormat="1"/>
    <row r="14309" s="283" customFormat="1"/>
    <row r="14310" s="283" customFormat="1"/>
    <row r="14311" s="283" customFormat="1"/>
    <row r="14312" s="283" customFormat="1"/>
    <row r="14313" s="283" customFormat="1"/>
    <row r="14314" s="283" customFormat="1"/>
    <row r="14315" s="283" customFormat="1"/>
    <row r="14316" s="283" customFormat="1"/>
    <row r="14317" s="283" customFormat="1"/>
    <row r="14318" s="283" customFormat="1"/>
    <row r="14319" s="283" customFormat="1"/>
    <row r="14320" s="283" customFormat="1"/>
    <row r="14321" s="283" customFormat="1"/>
    <row r="14322" s="283" customFormat="1"/>
    <row r="14323" s="283" customFormat="1"/>
    <row r="14324" s="283" customFormat="1"/>
    <row r="14325" s="283" customFormat="1"/>
    <row r="14326" s="283" customFormat="1"/>
    <row r="14327" s="283" customFormat="1"/>
    <row r="14328" s="283" customFormat="1"/>
    <row r="14329" s="283" customFormat="1"/>
    <row r="14330" s="283" customFormat="1"/>
    <row r="14331" s="283" customFormat="1"/>
    <row r="14332" s="283" customFormat="1"/>
    <row r="14333" s="283" customFormat="1"/>
    <row r="14334" s="283" customFormat="1"/>
    <row r="14335" s="283" customFormat="1"/>
    <row r="14336" s="283" customFormat="1"/>
    <row r="14337" s="283" customFormat="1"/>
    <row r="14338" s="283" customFormat="1"/>
    <row r="14339" s="283" customFormat="1"/>
    <row r="14340" s="283" customFormat="1"/>
    <row r="14341" s="283" customFormat="1"/>
    <row r="14342" s="283" customFormat="1"/>
    <row r="14343" s="283" customFormat="1"/>
    <row r="14344" s="283" customFormat="1"/>
    <row r="14345" s="283" customFormat="1"/>
    <row r="14346" s="283" customFormat="1"/>
    <row r="14347" s="283" customFormat="1"/>
    <row r="14348" s="283" customFormat="1"/>
    <row r="14349" s="283" customFormat="1"/>
    <row r="14350" s="283" customFormat="1"/>
    <row r="14351" s="283" customFormat="1"/>
    <row r="14352" s="283" customFormat="1"/>
    <row r="14353" s="283" customFormat="1"/>
    <row r="14354" s="283" customFormat="1"/>
    <row r="14355" s="283" customFormat="1"/>
    <row r="14356" s="283" customFormat="1"/>
    <row r="14357" s="283" customFormat="1"/>
    <row r="14358" s="283" customFormat="1"/>
    <row r="14359" s="283" customFormat="1"/>
    <row r="14360" s="283" customFormat="1"/>
    <row r="14361" s="283" customFormat="1"/>
    <row r="14362" s="283" customFormat="1"/>
    <row r="14363" s="283" customFormat="1"/>
    <row r="14364" s="283" customFormat="1"/>
    <row r="14365" s="283" customFormat="1"/>
    <row r="14366" s="283" customFormat="1"/>
    <row r="14367" s="283" customFormat="1"/>
    <row r="14368" s="283" customFormat="1"/>
    <row r="14369" s="283" customFormat="1"/>
    <row r="14370" s="283" customFormat="1"/>
    <row r="14371" s="283" customFormat="1"/>
    <row r="14372" s="283" customFormat="1"/>
    <row r="14373" s="283" customFormat="1"/>
    <row r="14374" s="283" customFormat="1"/>
    <row r="14375" s="283" customFormat="1"/>
    <row r="14376" s="283" customFormat="1"/>
    <row r="14377" s="283" customFormat="1"/>
    <row r="14378" s="283" customFormat="1"/>
    <row r="14379" s="283" customFormat="1"/>
    <row r="14380" s="283" customFormat="1"/>
    <row r="14381" s="283" customFormat="1"/>
    <row r="14382" s="283" customFormat="1"/>
    <row r="14383" s="283" customFormat="1"/>
    <row r="14384" s="283" customFormat="1"/>
    <row r="14385" s="283" customFormat="1"/>
    <row r="14386" s="283" customFormat="1"/>
    <row r="14387" s="283" customFormat="1"/>
    <row r="14388" s="283" customFormat="1"/>
    <row r="14389" s="283" customFormat="1"/>
    <row r="14390" s="283" customFormat="1"/>
    <row r="14391" s="283" customFormat="1"/>
    <row r="14392" s="283" customFormat="1"/>
    <row r="14393" s="283" customFormat="1"/>
    <row r="14394" s="283" customFormat="1"/>
    <row r="14395" s="283" customFormat="1"/>
    <row r="14396" s="283" customFormat="1"/>
    <row r="14397" s="283" customFormat="1"/>
    <row r="14398" s="283" customFormat="1"/>
    <row r="14399" s="283" customFormat="1"/>
    <row r="14400" s="283" customFormat="1"/>
    <row r="14401" s="283" customFormat="1"/>
    <row r="14402" s="283" customFormat="1"/>
    <row r="14403" s="283" customFormat="1"/>
    <row r="14404" s="283" customFormat="1"/>
    <row r="14405" s="283" customFormat="1"/>
    <row r="14406" s="283" customFormat="1"/>
    <row r="14407" s="283" customFormat="1"/>
    <row r="14408" s="283" customFormat="1"/>
    <row r="14409" s="283" customFormat="1"/>
    <row r="14410" s="283" customFormat="1"/>
    <row r="14411" s="283" customFormat="1"/>
    <row r="14412" s="283" customFormat="1"/>
    <row r="14413" s="283" customFormat="1"/>
    <row r="14414" s="283" customFormat="1"/>
    <row r="14415" s="283" customFormat="1"/>
    <row r="14416" s="283" customFormat="1"/>
    <row r="14417" s="283" customFormat="1"/>
    <row r="14418" s="283" customFormat="1"/>
    <row r="14419" s="283" customFormat="1"/>
    <row r="14420" s="283" customFormat="1"/>
    <row r="14421" s="283" customFormat="1"/>
    <row r="14422" s="283" customFormat="1"/>
    <row r="14423" s="283" customFormat="1"/>
    <row r="14424" s="283" customFormat="1"/>
    <row r="14425" s="283" customFormat="1"/>
    <row r="14426" s="283" customFormat="1"/>
    <row r="14427" s="283" customFormat="1"/>
    <row r="14428" s="283" customFormat="1"/>
    <row r="14429" s="283" customFormat="1"/>
    <row r="14430" s="283" customFormat="1"/>
    <row r="14431" s="283" customFormat="1"/>
    <row r="14432" s="283" customFormat="1"/>
    <row r="14433" s="283" customFormat="1"/>
    <row r="14434" s="283" customFormat="1"/>
    <row r="14435" s="283" customFormat="1"/>
    <row r="14436" s="283" customFormat="1"/>
    <row r="14437" s="283" customFormat="1"/>
    <row r="14438" s="283" customFormat="1"/>
    <row r="14439" s="283" customFormat="1"/>
    <row r="14440" s="283" customFormat="1"/>
    <row r="14441" s="283" customFormat="1"/>
    <row r="14442" s="283" customFormat="1"/>
    <row r="14443" s="283" customFormat="1"/>
    <row r="14444" s="283" customFormat="1"/>
    <row r="14445" s="283" customFormat="1"/>
    <row r="14446" s="283" customFormat="1"/>
    <row r="14447" s="283" customFormat="1"/>
    <row r="14448" s="283" customFormat="1"/>
    <row r="14449" s="283" customFormat="1"/>
    <row r="14450" s="283" customFormat="1"/>
    <row r="14451" s="283" customFormat="1"/>
    <row r="14452" s="283" customFormat="1"/>
    <row r="14453" s="283" customFormat="1"/>
    <row r="14454" s="283" customFormat="1"/>
    <row r="14455" s="283" customFormat="1"/>
    <row r="14456" s="283" customFormat="1"/>
    <row r="14457" s="283" customFormat="1"/>
    <row r="14458" s="283" customFormat="1"/>
    <row r="14459" s="283" customFormat="1"/>
    <row r="14460" s="283" customFormat="1"/>
    <row r="14461" s="283" customFormat="1"/>
    <row r="14462" s="283" customFormat="1"/>
    <row r="14463" s="283" customFormat="1"/>
    <row r="14464" s="283" customFormat="1"/>
    <row r="14465" s="283" customFormat="1"/>
    <row r="14466" s="283" customFormat="1"/>
    <row r="14467" s="283" customFormat="1"/>
    <row r="14468" s="283" customFormat="1"/>
    <row r="14469" s="283" customFormat="1"/>
    <row r="14470" s="283" customFormat="1"/>
    <row r="14471" s="283" customFormat="1"/>
    <row r="14472" s="283" customFormat="1"/>
    <row r="14473" s="283" customFormat="1"/>
    <row r="14474" s="283" customFormat="1"/>
    <row r="14475" s="283" customFormat="1"/>
    <row r="14476" s="283" customFormat="1"/>
    <row r="14477" s="283" customFormat="1"/>
    <row r="14478" s="283" customFormat="1"/>
    <row r="14479" s="283" customFormat="1"/>
    <row r="14480" s="283" customFormat="1"/>
    <row r="14481" s="283" customFormat="1"/>
    <row r="14482" s="283" customFormat="1"/>
    <row r="14483" s="283" customFormat="1"/>
    <row r="14484" s="283" customFormat="1"/>
    <row r="14485" s="283" customFormat="1"/>
    <row r="14486" s="283" customFormat="1"/>
    <row r="14487" s="283" customFormat="1"/>
    <row r="14488" s="283" customFormat="1"/>
    <row r="14489" s="283" customFormat="1"/>
    <row r="14490" s="283" customFormat="1"/>
    <row r="14491" s="283" customFormat="1"/>
    <row r="14492" s="283" customFormat="1"/>
    <row r="14493" s="283" customFormat="1"/>
    <row r="14494" s="283" customFormat="1"/>
    <row r="14495" s="283" customFormat="1"/>
    <row r="14496" s="283" customFormat="1"/>
    <row r="14497" s="283" customFormat="1"/>
    <row r="14498" s="283" customFormat="1"/>
    <row r="14499" s="283" customFormat="1"/>
    <row r="14500" s="283" customFormat="1"/>
    <row r="14501" s="283" customFormat="1"/>
    <row r="14502" s="283" customFormat="1"/>
    <row r="14503" s="283" customFormat="1"/>
    <row r="14504" s="283" customFormat="1"/>
    <row r="14505" s="283" customFormat="1"/>
    <row r="14506" s="283" customFormat="1"/>
    <row r="14507" s="283" customFormat="1"/>
    <row r="14508" s="283" customFormat="1"/>
    <row r="14509" s="283" customFormat="1"/>
    <row r="14510" s="283" customFormat="1"/>
    <row r="14511" s="283" customFormat="1"/>
    <row r="14512" s="283" customFormat="1"/>
    <row r="14513" s="283" customFormat="1"/>
    <row r="14514" s="283" customFormat="1"/>
    <row r="14515" s="283" customFormat="1"/>
    <row r="14516" s="283" customFormat="1"/>
    <row r="14517" s="283" customFormat="1"/>
    <row r="14518" s="283" customFormat="1"/>
    <row r="14519" s="283" customFormat="1"/>
    <row r="14520" s="283" customFormat="1"/>
    <row r="14521" s="283" customFormat="1"/>
    <row r="14522" s="283" customFormat="1"/>
    <row r="14523" s="283" customFormat="1"/>
    <row r="14524" s="283" customFormat="1"/>
    <row r="14525" s="283" customFormat="1"/>
    <row r="14526" s="283" customFormat="1"/>
    <row r="14527" s="283" customFormat="1"/>
    <row r="14528" s="283" customFormat="1"/>
    <row r="14529" s="283" customFormat="1"/>
    <row r="14530" s="283" customFormat="1"/>
    <row r="14531" s="283" customFormat="1"/>
    <row r="14532" s="283" customFormat="1"/>
    <row r="14533" s="283" customFormat="1"/>
    <row r="14534" s="283" customFormat="1"/>
    <row r="14535" s="283" customFormat="1"/>
    <row r="14536" s="283" customFormat="1"/>
    <row r="14537" s="283" customFormat="1"/>
    <row r="14538" s="283" customFormat="1"/>
    <row r="14539" s="283" customFormat="1"/>
    <row r="14540" s="283" customFormat="1"/>
    <row r="14541" s="283" customFormat="1"/>
    <row r="14542" s="283" customFormat="1"/>
    <row r="14543" s="283" customFormat="1"/>
    <row r="14544" s="283" customFormat="1"/>
    <row r="14545" s="283" customFormat="1"/>
    <row r="14546" s="283" customFormat="1"/>
    <row r="14547" s="283" customFormat="1"/>
    <row r="14548" s="283" customFormat="1"/>
    <row r="14549" s="283" customFormat="1"/>
    <row r="14550" s="283" customFormat="1"/>
    <row r="14551" s="283" customFormat="1"/>
    <row r="14552" s="283" customFormat="1"/>
    <row r="14553" s="283" customFormat="1"/>
    <row r="14554" s="283" customFormat="1"/>
    <row r="14555" s="283" customFormat="1"/>
    <row r="14556" s="283" customFormat="1"/>
    <row r="14557" s="283" customFormat="1"/>
    <row r="14558" s="283" customFormat="1"/>
    <row r="14559" s="283" customFormat="1"/>
    <row r="14560" s="283" customFormat="1"/>
    <row r="14561" s="283" customFormat="1"/>
    <row r="14562" s="283" customFormat="1"/>
    <row r="14563" s="283" customFormat="1"/>
    <row r="14564" s="283" customFormat="1"/>
    <row r="14565" s="283" customFormat="1"/>
    <row r="14566" s="283" customFormat="1"/>
    <row r="14567" s="283" customFormat="1"/>
    <row r="14568" s="283" customFormat="1"/>
    <row r="14569" s="283" customFormat="1"/>
    <row r="14570" s="283" customFormat="1"/>
    <row r="14571" s="283" customFormat="1"/>
    <row r="14572" s="283" customFormat="1"/>
    <row r="14573" s="283" customFormat="1"/>
    <row r="14574" s="283" customFormat="1"/>
    <row r="14575" s="283" customFormat="1"/>
    <row r="14576" s="283" customFormat="1"/>
    <row r="14577" s="283" customFormat="1"/>
    <row r="14578" s="283" customFormat="1"/>
    <row r="14579" s="283" customFormat="1"/>
    <row r="14580" s="283" customFormat="1"/>
    <row r="14581" s="283" customFormat="1"/>
    <row r="14582" s="283" customFormat="1"/>
    <row r="14583" s="283" customFormat="1"/>
    <row r="14584" s="283" customFormat="1"/>
    <row r="14585" s="283" customFormat="1"/>
    <row r="14586" s="283" customFormat="1"/>
    <row r="14587" s="283" customFormat="1"/>
    <row r="14588" s="283" customFormat="1"/>
    <row r="14589" s="283" customFormat="1"/>
    <row r="14590" s="283" customFormat="1"/>
    <row r="14591" s="283" customFormat="1"/>
    <row r="14592" s="283" customFormat="1"/>
    <row r="14593" s="283" customFormat="1"/>
    <row r="14594" s="283" customFormat="1"/>
    <row r="14595" s="283" customFormat="1"/>
    <row r="14596" s="283" customFormat="1"/>
    <row r="14597" s="283" customFormat="1"/>
    <row r="14598" s="283" customFormat="1"/>
    <row r="14599" s="283" customFormat="1"/>
    <row r="14600" s="283" customFormat="1"/>
    <row r="14601" s="283" customFormat="1"/>
    <row r="14602" s="283" customFormat="1"/>
    <row r="14603" s="283" customFormat="1"/>
    <row r="14604" s="283" customFormat="1"/>
    <row r="14605" s="283" customFormat="1"/>
    <row r="14606" s="283" customFormat="1"/>
    <row r="14607" s="283" customFormat="1"/>
    <row r="14608" s="283" customFormat="1"/>
    <row r="14609" s="283" customFormat="1"/>
    <row r="14610" s="283" customFormat="1"/>
    <row r="14611" s="283" customFormat="1"/>
    <row r="14612" s="283" customFormat="1"/>
    <row r="14613" s="283" customFormat="1"/>
    <row r="14614" s="283" customFormat="1"/>
    <row r="14615" s="283" customFormat="1"/>
    <row r="14616" s="283" customFormat="1"/>
    <row r="14617" s="283" customFormat="1"/>
    <row r="14618" s="283" customFormat="1"/>
    <row r="14619" s="283" customFormat="1"/>
    <row r="14620" s="283" customFormat="1"/>
    <row r="14621" s="283" customFormat="1"/>
    <row r="14622" s="283" customFormat="1"/>
    <row r="14623" s="283" customFormat="1"/>
    <row r="14624" s="283" customFormat="1"/>
    <row r="14625" s="283" customFormat="1"/>
    <row r="14626" s="283" customFormat="1"/>
    <row r="14627" s="283" customFormat="1"/>
    <row r="14628" s="283" customFormat="1"/>
    <row r="14629" s="283" customFormat="1"/>
    <row r="14630" s="283" customFormat="1"/>
    <row r="14631" s="283" customFormat="1"/>
    <row r="14632" s="283" customFormat="1"/>
    <row r="14633" s="283" customFormat="1"/>
    <row r="14634" s="283" customFormat="1"/>
    <row r="14635" s="283" customFormat="1"/>
    <row r="14636" s="283" customFormat="1"/>
    <row r="14637" s="283" customFormat="1"/>
    <row r="14638" s="283" customFormat="1"/>
    <row r="14639" s="283" customFormat="1"/>
    <row r="14640" s="283" customFormat="1"/>
    <row r="14641" s="283" customFormat="1"/>
    <row r="14642" s="283" customFormat="1"/>
    <row r="14643" s="283" customFormat="1"/>
    <row r="14644" s="283" customFormat="1"/>
    <row r="14645" s="283" customFormat="1"/>
    <row r="14646" s="283" customFormat="1"/>
    <row r="14647" s="283" customFormat="1"/>
    <row r="14648" s="283" customFormat="1"/>
    <row r="14649" s="283" customFormat="1"/>
    <row r="14650" s="283" customFormat="1"/>
    <row r="14651" s="283" customFormat="1"/>
    <row r="14652" s="283" customFormat="1"/>
    <row r="14653" s="283" customFormat="1"/>
    <row r="14654" s="283" customFormat="1"/>
    <row r="14655" s="283" customFormat="1"/>
    <row r="14656" s="283" customFormat="1"/>
    <row r="14657" s="283" customFormat="1"/>
    <row r="14658" s="283" customFormat="1"/>
    <row r="14659" s="283" customFormat="1"/>
    <row r="14660" s="283" customFormat="1"/>
    <row r="14661" s="283" customFormat="1"/>
    <row r="14662" s="283" customFormat="1"/>
    <row r="14663" s="283" customFormat="1"/>
    <row r="14664" s="283" customFormat="1"/>
    <row r="14665" s="283" customFormat="1"/>
    <row r="14666" s="283" customFormat="1"/>
    <row r="14667" s="283" customFormat="1"/>
    <row r="14668" s="283" customFormat="1"/>
    <row r="14669" s="283" customFormat="1"/>
    <row r="14670" s="283" customFormat="1"/>
    <row r="14671" s="283" customFormat="1"/>
    <row r="14672" s="283" customFormat="1"/>
    <row r="14673" s="283" customFormat="1"/>
    <row r="14674" s="283" customFormat="1"/>
    <row r="14675" s="283" customFormat="1"/>
    <row r="14676" s="283" customFormat="1"/>
    <row r="14677" s="283" customFormat="1"/>
    <row r="14678" s="283" customFormat="1"/>
    <row r="14679" s="283" customFormat="1"/>
    <row r="14680" s="283" customFormat="1"/>
    <row r="14681" s="283" customFormat="1"/>
    <row r="14682" s="283" customFormat="1"/>
    <row r="14683" s="283" customFormat="1"/>
    <row r="14684" s="283" customFormat="1"/>
    <row r="14685" s="283" customFormat="1"/>
    <row r="14686" s="283" customFormat="1"/>
    <row r="14687" s="283" customFormat="1"/>
    <row r="14688" s="283" customFormat="1"/>
    <row r="14689" s="283" customFormat="1"/>
    <row r="14690" s="283" customFormat="1"/>
    <row r="14691" s="283" customFormat="1"/>
    <row r="14692" s="283" customFormat="1"/>
    <row r="14693" s="283" customFormat="1"/>
    <row r="14694" s="283" customFormat="1"/>
    <row r="14695" s="283" customFormat="1"/>
    <row r="14696" s="283" customFormat="1"/>
    <row r="14697" s="283" customFormat="1"/>
    <row r="14698" s="283" customFormat="1"/>
    <row r="14699" s="283" customFormat="1"/>
    <row r="14700" s="283" customFormat="1"/>
    <row r="14701" s="283" customFormat="1"/>
    <row r="14702" s="283" customFormat="1"/>
    <row r="14703" s="283" customFormat="1"/>
    <row r="14704" s="283" customFormat="1"/>
    <row r="14705" s="283" customFormat="1"/>
    <row r="14706" s="283" customFormat="1"/>
    <row r="14707" s="283" customFormat="1"/>
    <row r="14708" s="283" customFormat="1"/>
    <row r="14709" s="283" customFormat="1"/>
    <row r="14710" s="283" customFormat="1"/>
    <row r="14711" s="283" customFormat="1"/>
    <row r="14712" s="283" customFormat="1"/>
    <row r="14713" s="283" customFormat="1"/>
    <row r="14714" s="283" customFormat="1"/>
    <row r="14715" s="283" customFormat="1"/>
    <row r="14716" s="283" customFormat="1"/>
    <row r="14717" s="283" customFormat="1"/>
    <row r="14718" s="283" customFormat="1"/>
    <row r="14719" s="283" customFormat="1"/>
    <row r="14720" s="283" customFormat="1"/>
    <row r="14721" s="283" customFormat="1"/>
    <row r="14722" s="283" customFormat="1"/>
    <row r="14723" s="283" customFormat="1"/>
    <row r="14724" s="283" customFormat="1"/>
    <row r="14725" s="283" customFormat="1"/>
    <row r="14726" s="283" customFormat="1"/>
    <row r="14727" s="283" customFormat="1"/>
    <row r="14728" s="283" customFormat="1"/>
    <row r="14729" s="283" customFormat="1"/>
    <row r="14730" s="283" customFormat="1"/>
    <row r="14731" s="283" customFormat="1"/>
    <row r="14732" s="283" customFormat="1"/>
    <row r="14733" s="283" customFormat="1"/>
    <row r="14734" s="283" customFormat="1"/>
    <row r="14735" s="283" customFormat="1"/>
    <row r="14736" s="283" customFormat="1"/>
    <row r="14737" s="283" customFormat="1"/>
    <row r="14738" s="283" customFormat="1"/>
    <row r="14739" s="283" customFormat="1"/>
    <row r="14740" s="283" customFormat="1"/>
    <row r="14741" s="283" customFormat="1"/>
    <row r="14742" s="283" customFormat="1"/>
    <row r="14743" s="283" customFormat="1"/>
    <row r="14744" s="283" customFormat="1"/>
    <row r="14745" s="283" customFormat="1"/>
    <row r="14746" s="283" customFormat="1"/>
    <row r="14747" s="283" customFormat="1"/>
    <row r="14748" s="283" customFormat="1"/>
    <row r="14749" s="283" customFormat="1"/>
    <row r="14750" s="283" customFormat="1"/>
    <row r="14751" s="283" customFormat="1"/>
    <row r="14752" s="283" customFormat="1"/>
    <row r="14753" s="283" customFormat="1"/>
    <row r="14754" s="283" customFormat="1"/>
    <row r="14755" s="283" customFormat="1"/>
    <row r="14756" s="283" customFormat="1"/>
    <row r="14757" s="283" customFormat="1"/>
    <row r="14758" s="283" customFormat="1"/>
    <row r="14759" s="283" customFormat="1"/>
    <row r="14760" s="283" customFormat="1"/>
    <row r="14761" s="283" customFormat="1"/>
    <row r="14762" s="283" customFormat="1"/>
    <row r="14763" s="283" customFormat="1"/>
    <row r="14764" s="283" customFormat="1"/>
    <row r="14765" s="283" customFormat="1"/>
    <row r="14766" s="283" customFormat="1"/>
    <row r="14767" s="283" customFormat="1"/>
    <row r="14768" s="283" customFormat="1"/>
    <row r="14769" s="283" customFormat="1"/>
    <row r="14770" s="283" customFormat="1"/>
    <row r="14771" s="283" customFormat="1"/>
    <row r="14772" s="283" customFormat="1"/>
    <row r="14773" s="283" customFormat="1"/>
    <row r="14774" s="283" customFormat="1"/>
    <row r="14775" s="283" customFormat="1"/>
    <row r="14776" s="283" customFormat="1"/>
    <row r="14777" s="283" customFormat="1"/>
    <row r="14778" s="283" customFormat="1"/>
    <row r="14779" s="283" customFormat="1"/>
    <row r="14780" s="283" customFormat="1"/>
    <row r="14781" s="283" customFormat="1"/>
    <row r="14782" s="283" customFormat="1"/>
    <row r="14783" s="283" customFormat="1"/>
    <row r="14784" s="283" customFormat="1"/>
    <row r="14785" s="283" customFormat="1"/>
    <row r="14786" s="283" customFormat="1"/>
    <row r="14787" s="283" customFormat="1"/>
    <row r="14788" s="283" customFormat="1"/>
    <row r="14789" s="283" customFormat="1"/>
    <row r="14790" s="283" customFormat="1"/>
    <row r="14791" s="283" customFormat="1"/>
    <row r="14792" s="283" customFormat="1"/>
    <row r="14793" s="283" customFormat="1"/>
    <row r="14794" s="283" customFormat="1"/>
    <row r="14795" s="283" customFormat="1"/>
    <row r="14796" s="283" customFormat="1"/>
    <row r="14797" s="283" customFormat="1"/>
    <row r="14798" s="283" customFormat="1"/>
    <row r="14799" s="283" customFormat="1"/>
    <row r="14800" s="283" customFormat="1"/>
    <row r="14801" s="283" customFormat="1"/>
    <row r="14802" s="283" customFormat="1"/>
    <row r="14803" s="283" customFormat="1"/>
    <row r="14804" s="283" customFormat="1"/>
    <row r="14805" s="283" customFormat="1"/>
    <row r="14806" s="283" customFormat="1"/>
    <row r="14807" s="283" customFormat="1"/>
    <row r="14808" s="283" customFormat="1"/>
    <row r="14809" s="283" customFormat="1"/>
    <row r="14810" s="283" customFormat="1"/>
    <row r="14811" s="283" customFormat="1"/>
    <row r="14812" s="283" customFormat="1"/>
    <row r="14813" s="283" customFormat="1"/>
    <row r="14814" s="283" customFormat="1"/>
    <row r="14815" s="283" customFormat="1"/>
    <row r="14816" s="283" customFormat="1"/>
    <row r="14817" s="283" customFormat="1"/>
    <row r="14818" s="283" customFormat="1"/>
    <row r="14819" s="283" customFormat="1"/>
    <row r="14820" s="283" customFormat="1"/>
    <row r="14821" s="283" customFormat="1"/>
    <row r="14822" s="283" customFormat="1"/>
    <row r="14823" s="283" customFormat="1"/>
    <row r="14824" s="283" customFormat="1"/>
    <row r="14825" s="283" customFormat="1"/>
    <row r="14826" s="283" customFormat="1"/>
    <row r="14827" s="283" customFormat="1"/>
    <row r="14828" s="283" customFormat="1"/>
    <row r="14829" s="283" customFormat="1"/>
    <row r="14830" s="283" customFormat="1"/>
    <row r="14831" s="283" customFormat="1"/>
    <row r="14832" s="283" customFormat="1"/>
    <row r="14833" s="283" customFormat="1"/>
    <row r="14834" s="283" customFormat="1"/>
    <row r="14835" s="283" customFormat="1"/>
    <row r="14836" s="283" customFormat="1"/>
    <row r="14837" s="283" customFormat="1"/>
    <row r="14838" s="283" customFormat="1"/>
    <row r="14839" s="283" customFormat="1"/>
    <row r="14840" s="283" customFormat="1"/>
    <row r="14841" s="283" customFormat="1"/>
    <row r="14842" s="283" customFormat="1"/>
    <row r="14843" s="283" customFormat="1"/>
    <row r="14844" s="283" customFormat="1"/>
    <row r="14845" s="283" customFormat="1"/>
    <row r="14846" s="283" customFormat="1"/>
    <row r="14847" s="283" customFormat="1"/>
    <row r="14848" s="283" customFormat="1"/>
    <row r="14849" s="283" customFormat="1"/>
    <row r="14850" s="283" customFormat="1"/>
    <row r="14851" s="283" customFormat="1"/>
    <row r="14852" s="283" customFormat="1"/>
    <row r="14853" s="283" customFormat="1"/>
    <row r="14854" s="283" customFormat="1"/>
    <row r="14855" s="283" customFormat="1"/>
    <row r="14856" s="283" customFormat="1"/>
    <row r="14857" s="283" customFormat="1"/>
    <row r="14858" s="283" customFormat="1"/>
    <row r="14859" s="283" customFormat="1"/>
    <row r="14860" s="283" customFormat="1"/>
    <row r="14861" s="283" customFormat="1"/>
    <row r="14862" s="283" customFormat="1"/>
    <row r="14863" s="283" customFormat="1"/>
    <row r="14864" s="283" customFormat="1"/>
    <row r="14865" s="283" customFormat="1"/>
    <row r="14866" s="283" customFormat="1"/>
    <row r="14867" s="283" customFormat="1"/>
    <row r="14868" s="283" customFormat="1"/>
    <row r="14869" s="283" customFormat="1"/>
    <row r="14870" s="283" customFormat="1"/>
    <row r="14871" s="283" customFormat="1"/>
    <row r="14872" s="283" customFormat="1"/>
    <row r="14873" s="283" customFormat="1"/>
    <row r="14874" s="283" customFormat="1"/>
    <row r="14875" s="283" customFormat="1"/>
    <row r="14876" s="283" customFormat="1"/>
    <row r="14877" s="283" customFormat="1"/>
    <row r="14878" s="283" customFormat="1"/>
    <row r="14879" s="283" customFormat="1"/>
    <row r="14880" s="283" customFormat="1"/>
    <row r="14881" s="283" customFormat="1"/>
    <row r="14882" s="283" customFormat="1"/>
    <row r="14883" s="283" customFormat="1"/>
    <row r="14884" s="283" customFormat="1"/>
    <row r="14885" s="283" customFormat="1"/>
    <row r="14886" s="283" customFormat="1"/>
    <row r="14887" s="283" customFormat="1"/>
    <row r="14888" s="283" customFormat="1"/>
    <row r="14889" s="283" customFormat="1"/>
    <row r="14890" s="283" customFormat="1"/>
    <row r="14891" s="283" customFormat="1"/>
    <row r="14892" s="283" customFormat="1"/>
    <row r="14893" s="283" customFormat="1"/>
    <row r="14894" s="283" customFormat="1"/>
    <row r="14895" s="283" customFormat="1"/>
    <row r="14896" s="283" customFormat="1"/>
    <row r="14897" s="283" customFormat="1"/>
    <row r="14898" s="283" customFormat="1"/>
    <row r="14899" s="283" customFormat="1"/>
    <row r="14900" s="283" customFormat="1"/>
    <row r="14901" s="283" customFormat="1"/>
    <row r="14902" s="283" customFormat="1"/>
    <row r="14903" s="283" customFormat="1"/>
    <row r="14904" s="283" customFormat="1"/>
    <row r="14905" s="283" customFormat="1"/>
    <row r="14906" s="283" customFormat="1"/>
    <row r="14907" s="283" customFormat="1"/>
    <row r="14908" s="283" customFormat="1"/>
    <row r="14909" s="283" customFormat="1"/>
    <row r="14910" s="283" customFormat="1"/>
    <row r="14911" s="283" customFormat="1"/>
    <row r="14912" s="283" customFormat="1"/>
    <row r="14913" s="283" customFormat="1"/>
    <row r="14914" s="283" customFormat="1"/>
    <row r="14915" s="283" customFormat="1"/>
    <row r="14916" s="283" customFormat="1"/>
    <row r="14917" s="283" customFormat="1"/>
    <row r="14918" s="283" customFormat="1"/>
    <row r="14919" s="283" customFormat="1"/>
    <row r="14920" s="283" customFormat="1"/>
    <row r="14921" s="283" customFormat="1"/>
    <row r="14922" s="283" customFormat="1"/>
    <row r="14923" s="283" customFormat="1"/>
    <row r="14924" s="283" customFormat="1"/>
    <row r="14925" s="283" customFormat="1"/>
    <row r="14926" s="283" customFormat="1"/>
    <row r="14927" s="283" customFormat="1"/>
    <row r="14928" s="283" customFormat="1"/>
    <row r="14929" s="283" customFormat="1"/>
    <row r="14930" s="283" customFormat="1"/>
    <row r="14931" s="283" customFormat="1"/>
    <row r="14932" s="283" customFormat="1"/>
    <row r="14933" s="283" customFormat="1"/>
    <row r="14934" s="283" customFormat="1"/>
    <row r="14935" s="283" customFormat="1"/>
    <row r="14936" s="283" customFormat="1"/>
    <row r="14937" s="283" customFormat="1"/>
    <row r="14938" s="283" customFormat="1"/>
    <row r="14939" s="283" customFormat="1"/>
    <row r="14940" s="283" customFormat="1"/>
    <row r="14941" s="283" customFormat="1"/>
    <row r="14942" s="283" customFormat="1"/>
    <row r="14943" s="283" customFormat="1"/>
    <row r="14944" s="283" customFormat="1"/>
    <row r="14945" s="283" customFormat="1"/>
    <row r="14946" s="283" customFormat="1"/>
    <row r="14947" s="283" customFormat="1"/>
    <row r="14948" s="283" customFormat="1"/>
    <row r="14949" s="283" customFormat="1"/>
    <row r="14950" s="283" customFormat="1"/>
    <row r="14951" s="283" customFormat="1"/>
    <row r="14952" s="283" customFormat="1"/>
    <row r="14953" s="283" customFormat="1"/>
    <row r="14954" s="283" customFormat="1"/>
    <row r="14955" s="283" customFormat="1"/>
    <row r="14956" s="283" customFormat="1"/>
    <row r="14957" s="283" customFormat="1"/>
    <row r="14958" s="283" customFormat="1"/>
    <row r="14959" s="283" customFormat="1"/>
    <row r="14960" s="283" customFormat="1"/>
    <row r="14961" s="283" customFormat="1"/>
    <row r="14962" s="283" customFormat="1"/>
    <row r="14963" s="283" customFormat="1"/>
    <row r="14964" s="283" customFormat="1"/>
    <row r="14965" s="283" customFormat="1"/>
    <row r="14966" s="283" customFormat="1"/>
    <row r="14967" s="283" customFormat="1"/>
    <row r="14968" s="283" customFormat="1"/>
    <row r="14969" s="283" customFormat="1"/>
    <row r="14970" s="283" customFormat="1"/>
    <row r="14971" s="283" customFormat="1"/>
    <row r="14972" s="283" customFormat="1"/>
    <row r="14973" s="283" customFormat="1"/>
    <row r="14974" s="283" customFormat="1"/>
    <row r="14975" s="283" customFormat="1"/>
    <row r="14976" s="283" customFormat="1"/>
    <row r="14977" s="283" customFormat="1"/>
    <row r="14978" s="283" customFormat="1"/>
    <row r="14979" s="283" customFormat="1"/>
    <row r="14980" s="283" customFormat="1"/>
    <row r="14981" s="283" customFormat="1"/>
    <row r="14982" s="283" customFormat="1"/>
    <row r="14983" s="283" customFormat="1"/>
    <row r="14984" s="283" customFormat="1"/>
    <row r="14985" s="283" customFormat="1"/>
    <row r="14986" s="283" customFormat="1"/>
    <row r="14987" s="283" customFormat="1"/>
    <row r="14988" s="283" customFormat="1"/>
    <row r="14989" s="283" customFormat="1"/>
    <row r="14990" s="283" customFormat="1"/>
    <row r="14991" s="283" customFormat="1"/>
    <row r="14992" s="283" customFormat="1"/>
    <row r="14993" s="283" customFormat="1"/>
    <row r="14994" s="283" customFormat="1"/>
    <row r="14995" s="283" customFormat="1"/>
    <row r="14996" s="283" customFormat="1"/>
    <row r="14997" s="283" customFormat="1"/>
    <row r="14998" s="283" customFormat="1"/>
    <row r="14999" s="283" customFormat="1"/>
    <row r="15000" s="283" customFormat="1"/>
    <row r="15001" s="283" customFormat="1"/>
    <row r="15002" s="283" customFormat="1"/>
    <row r="15003" s="283" customFormat="1"/>
    <row r="15004" s="283" customFormat="1"/>
    <row r="15005" s="283" customFormat="1"/>
    <row r="15006" s="283" customFormat="1"/>
    <row r="15007" s="283" customFormat="1"/>
    <row r="15008" s="283" customFormat="1"/>
    <row r="15009" s="283" customFormat="1"/>
    <row r="15010" s="283" customFormat="1"/>
    <row r="15011" s="283" customFormat="1"/>
    <row r="15012" s="283" customFormat="1"/>
    <row r="15013" s="283" customFormat="1"/>
    <row r="15014" s="283" customFormat="1"/>
    <row r="15015" s="283" customFormat="1"/>
    <row r="15016" s="283" customFormat="1"/>
    <row r="15017" s="283" customFormat="1"/>
    <row r="15018" s="283" customFormat="1"/>
    <row r="15019" s="283" customFormat="1"/>
    <row r="15020" s="283" customFormat="1"/>
    <row r="15021" s="283" customFormat="1"/>
    <row r="15022" s="283" customFormat="1"/>
    <row r="15023" s="283" customFormat="1"/>
    <row r="15024" s="283" customFormat="1"/>
    <row r="15025" s="283" customFormat="1"/>
    <row r="15026" s="283" customFormat="1"/>
    <row r="15027" s="283" customFormat="1"/>
    <row r="15028" s="283" customFormat="1"/>
    <row r="15029" s="283" customFormat="1"/>
    <row r="15030" s="283" customFormat="1"/>
    <row r="15031" s="283" customFormat="1"/>
    <row r="15032" s="283" customFormat="1"/>
    <row r="15033" s="283" customFormat="1"/>
    <row r="15034" s="283" customFormat="1"/>
    <row r="15035" s="283" customFormat="1"/>
    <row r="15036" s="283" customFormat="1"/>
    <row r="15037" s="283" customFormat="1"/>
    <row r="15038" s="283" customFormat="1"/>
    <row r="15039" s="283" customFormat="1"/>
    <row r="15040" s="283" customFormat="1"/>
    <row r="15041" s="283" customFormat="1"/>
    <row r="15042" s="283" customFormat="1"/>
    <row r="15043" s="283" customFormat="1"/>
    <row r="15044" s="283" customFormat="1"/>
    <row r="15045" s="283" customFormat="1"/>
    <row r="15046" s="283" customFormat="1"/>
    <row r="15047" s="283" customFormat="1"/>
    <row r="15048" s="283" customFormat="1"/>
    <row r="15049" s="283" customFormat="1"/>
    <row r="15050" s="283" customFormat="1"/>
    <row r="15051" s="283" customFormat="1"/>
    <row r="15052" s="283" customFormat="1"/>
    <row r="15053" s="283" customFormat="1"/>
    <row r="15054" s="283" customFormat="1"/>
    <row r="15055" s="283" customFormat="1"/>
    <row r="15056" s="283" customFormat="1"/>
    <row r="15057" s="283" customFormat="1"/>
    <row r="15058" s="283" customFormat="1"/>
    <row r="15059" s="283" customFormat="1"/>
    <row r="15060" s="283" customFormat="1"/>
    <row r="15061" s="283" customFormat="1"/>
    <row r="15062" s="283" customFormat="1"/>
    <row r="15063" s="283" customFormat="1"/>
    <row r="15064" s="283" customFormat="1"/>
    <row r="15065" s="283" customFormat="1"/>
    <row r="15066" s="283" customFormat="1"/>
    <row r="15067" s="283" customFormat="1"/>
    <row r="15068" s="283" customFormat="1"/>
    <row r="15069" s="283" customFormat="1"/>
    <row r="15070" s="283" customFormat="1"/>
    <row r="15071" s="283" customFormat="1"/>
    <row r="15072" s="283" customFormat="1"/>
    <row r="15073" s="283" customFormat="1"/>
    <row r="15074" s="283" customFormat="1"/>
    <row r="15075" s="283" customFormat="1"/>
    <row r="15076" s="283" customFormat="1"/>
    <row r="15077" s="283" customFormat="1"/>
    <row r="15078" s="283" customFormat="1"/>
    <row r="15079" s="283" customFormat="1"/>
    <row r="15080" s="283" customFormat="1"/>
    <row r="15081" s="283" customFormat="1"/>
    <row r="15082" s="283" customFormat="1"/>
    <row r="15083" s="283" customFormat="1"/>
    <row r="15084" s="283" customFormat="1"/>
    <row r="15085" s="283" customFormat="1"/>
    <row r="15086" s="283" customFormat="1"/>
    <row r="15087" s="283" customFormat="1"/>
    <row r="15088" s="283" customFormat="1"/>
    <row r="15089" s="283" customFormat="1"/>
    <row r="15090" s="283" customFormat="1"/>
    <row r="15091" s="283" customFormat="1"/>
    <row r="15092" s="283" customFormat="1"/>
    <row r="15093" s="283" customFormat="1"/>
    <row r="15094" s="283" customFormat="1"/>
    <row r="15095" s="283" customFormat="1"/>
    <row r="15096" s="283" customFormat="1"/>
    <row r="15097" s="283" customFormat="1"/>
    <row r="15098" s="283" customFormat="1"/>
    <row r="15099" s="283" customFormat="1"/>
    <row r="15100" s="283" customFormat="1"/>
    <row r="15101" s="283" customFormat="1"/>
    <row r="15102" s="283" customFormat="1"/>
    <row r="15103" s="283" customFormat="1"/>
    <row r="15104" s="283" customFormat="1"/>
    <row r="15105" s="283" customFormat="1"/>
    <row r="15106" s="283" customFormat="1"/>
    <row r="15107" s="283" customFormat="1"/>
    <row r="15108" s="283" customFormat="1"/>
    <row r="15109" s="283" customFormat="1"/>
    <row r="15110" s="283" customFormat="1"/>
    <row r="15111" s="283" customFormat="1"/>
    <row r="15112" s="283" customFormat="1"/>
    <row r="15113" s="283" customFormat="1"/>
    <row r="15114" s="283" customFormat="1"/>
    <row r="15115" s="283" customFormat="1"/>
    <row r="15116" s="283" customFormat="1"/>
    <row r="15117" s="283" customFormat="1"/>
    <row r="15118" s="283" customFormat="1"/>
    <row r="15119" s="283" customFormat="1"/>
    <row r="15120" s="283" customFormat="1"/>
    <row r="15121" s="283" customFormat="1"/>
    <row r="15122" s="283" customFormat="1"/>
    <row r="15123" s="283" customFormat="1"/>
    <row r="15124" s="283" customFormat="1"/>
    <row r="15125" s="283" customFormat="1"/>
    <row r="15126" s="283" customFormat="1"/>
    <row r="15127" s="283" customFormat="1"/>
    <row r="15128" s="283" customFormat="1"/>
    <row r="15129" s="283" customFormat="1"/>
    <row r="15130" s="283" customFormat="1"/>
    <row r="15131" s="283" customFormat="1"/>
    <row r="15132" s="283" customFormat="1"/>
    <row r="15133" s="283" customFormat="1"/>
    <row r="15134" s="283" customFormat="1"/>
    <row r="15135" s="283" customFormat="1"/>
    <row r="15136" s="283" customFormat="1"/>
    <row r="15137" s="283" customFormat="1"/>
    <row r="15138" s="283" customFormat="1"/>
    <row r="15139" s="283" customFormat="1"/>
    <row r="15140" s="283" customFormat="1"/>
    <row r="15141" s="283" customFormat="1"/>
    <row r="15142" s="283" customFormat="1"/>
    <row r="15143" s="283" customFormat="1"/>
    <row r="15144" s="283" customFormat="1"/>
    <row r="15145" s="283" customFormat="1"/>
    <row r="15146" s="283" customFormat="1"/>
    <row r="15147" s="283" customFormat="1"/>
    <row r="15148" s="283" customFormat="1"/>
    <row r="15149" s="283" customFormat="1"/>
    <row r="15150" s="283" customFormat="1"/>
    <row r="15151" s="283" customFormat="1"/>
    <row r="15152" s="283" customFormat="1"/>
    <row r="15153" s="283" customFormat="1"/>
    <row r="15154" s="283" customFormat="1"/>
    <row r="15155" s="283" customFormat="1"/>
    <row r="15156" s="283" customFormat="1"/>
    <row r="15157" s="283" customFormat="1"/>
    <row r="15158" s="283" customFormat="1"/>
    <row r="15159" s="283" customFormat="1"/>
    <row r="15160" s="283" customFormat="1"/>
    <row r="15161" s="283" customFormat="1"/>
    <row r="15162" s="283" customFormat="1"/>
    <row r="15163" s="283" customFormat="1"/>
    <row r="15164" s="283" customFormat="1"/>
    <row r="15165" s="283" customFormat="1"/>
    <row r="15166" s="283" customFormat="1"/>
    <row r="15167" s="283" customFormat="1"/>
    <row r="15168" s="283" customFormat="1"/>
    <row r="15169" s="283" customFormat="1"/>
    <row r="15170" s="283" customFormat="1"/>
    <row r="15171" s="283" customFormat="1"/>
    <row r="15172" s="283" customFormat="1"/>
    <row r="15173" s="283" customFormat="1"/>
    <row r="15174" s="283" customFormat="1"/>
    <row r="15175" s="283" customFormat="1"/>
    <row r="15176" s="283" customFormat="1"/>
    <row r="15177" s="283" customFormat="1"/>
    <row r="15178" s="283" customFormat="1"/>
    <row r="15179" s="283" customFormat="1"/>
    <row r="15180" s="283" customFormat="1"/>
    <row r="15181" s="283" customFormat="1"/>
    <row r="15182" s="283" customFormat="1"/>
    <row r="15183" s="283" customFormat="1"/>
    <row r="15184" s="283" customFormat="1"/>
    <row r="15185" s="283" customFormat="1"/>
    <row r="15186" s="283" customFormat="1"/>
    <row r="15187" s="283" customFormat="1"/>
    <row r="15188" s="283" customFormat="1"/>
    <row r="15189" s="283" customFormat="1"/>
    <row r="15190" s="283" customFormat="1"/>
    <row r="15191" s="283" customFormat="1"/>
    <row r="15192" s="283" customFormat="1"/>
    <row r="15193" s="283" customFormat="1"/>
    <row r="15194" s="283" customFormat="1"/>
    <row r="15195" s="283" customFormat="1"/>
    <row r="15196" s="283" customFormat="1"/>
    <row r="15197" s="283" customFormat="1"/>
    <row r="15198" s="283" customFormat="1"/>
    <row r="15199" s="283" customFormat="1"/>
    <row r="15200" s="283" customFormat="1"/>
    <row r="15201" s="283" customFormat="1"/>
    <row r="15202" s="283" customFormat="1"/>
    <row r="15203" s="283" customFormat="1"/>
    <row r="15204" s="283" customFormat="1"/>
    <row r="15205" s="283" customFormat="1"/>
    <row r="15206" s="283" customFormat="1"/>
    <row r="15207" s="283" customFormat="1"/>
    <row r="15208" s="283" customFormat="1"/>
    <row r="15209" s="283" customFormat="1"/>
    <row r="15210" s="283" customFormat="1"/>
    <row r="15211" s="283" customFormat="1"/>
    <row r="15212" s="283" customFormat="1"/>
    <row r="15213" s="283" customFormat="1"/>
    <row r="15214" s="283" customFormat="1"/>
    <row r="15215" s="283" customFormat="1"/>
    <row r="15216" s="283" customFormat="1"/>
    <row r="15217" s="283" customFormat="1"/>
    <row r="15218" s="283" customFormat="1"/>
    <row r="15219" s="283" customFormat="1"/>
    <row r="15220" s="283" customFormat="1"/>
    <row r="15221" s="283" customFormat="1"/>
    <row r="15222" s="283" customFormat="1"/>
    <row r="15223" s="283" customFormat="1"/>
    <row r="15224" s="283" customFormat="1"/>
    <row r="15225" s="283" customFormat="1"/>
    <row r="15226" s="283" customFormat="1"/>
    <row r="15227" s="283" customFormat="1"/>
    <row r="15228" s="283" customFormat="1"/>
    <row r="15229" s="283" customFormat="1"/>
    <row r="15230" s="283" customFormat="1"/>
    <row r="15231" s="283" customFormat="1"/>
    <row r="15232" s="283" customFormat="1"/>
    <row r="15233" s="283" customFormat="1"/>
    <row r="15234" s="283" customFormat="1"/>
    <row r="15235" s="283" customFormat="1"/>
    <row r="15236" s="283" customFormat="1"/>
    <row r="15237" s="283" customFormat="1"/>
    <row r="15238" s="283" customFormat="1"/>
    <row r="15239" s="283" customFormat="1"/>
    <row r="15240" s="283" customFormat="1"/>
    <row r="15241" s="283" customFormat="1"/>
    <row r="15242" s="283" customFormat="1"/>
    <row r="15243" s="283" customFormat="1"/>
    <row r="15244" s="283" customFormat="1"/>
    <row r="15245" s="283" customFormat="1"/>
    <row r="15246" s="283" customFormat="1"/>
    <row r="15247" s="283" customFormat="1"/>
    <row r="15248" s="283" customFormat="1"/>
    <row r="15249" s="283" customFormat="1"/>
    <row r="15250" s="283" customFormat="1"/>
    <row r="15251" s="283" customFormat="1"/>
    <row r="15252" s="283" customFormat="1"/>
    <row r="15253" s="283" customFormat="1"/>
    <row r="15254" s="283" customFormat="1"/>
    <row r="15255" s="283" customFormat="1"/>
    <row r="15256" s="283" customFormat="1"/>
    <row r="15257" s="283" customFormat="1"/>
    <row r="15258" s="283" customFormat="1"/>
    <row r="15259" s="283" customFormat="1"/>
    <row r="15260" s="283" customFormat="1"/>
    <row r="15261" s="283" customFormat="1"/>
    <row r="15262" s="283" customFormat="1"/>
    <row r="15263" s="283" customFormat="1"/>
    <row r="15264" s="283" customFormat="1"/>
    <row r="15265" s="283" customFormat="1"/>
    <row r="15266" s="283" customFormat="1"/>
    <row r="15267" s="283" customFormat="1"/>
    <row r="15268" s="283" customFormat="1"/>
    <row r="15269" s="283" customFormat="1"/>
    <row r="15270" s="283" customFormat="1"/>
    <row r="15271" s="283" customFormat="1"/>
    <row r="15272" s="283" customFormat="1"/>
    <row r="15273" s="283" customFormat="1"/>
    <row r="15274" s="283" customFormat="1"/>
    <row r="15275" s="283" customFormat="1"/>
    <row r="15276" s="283" customFormat="1"/>
    <row r="15277" s="283" customFormat="1"/>
    <row r="15278" s="283" customFormat="1"/>
    <row r="15279" s="283" customFormat="1"/>
    <row r="15280" s="283" customFormat="1"/>
    <row r="15281" s="283" customFormat="1"/>
    <row r="15282" s="283" customFormat="1"/>
    <row r="15283" s="283" customFormat="1"/>
    <row r="15284" s="283" customFormat="1"/>
    <row r="15285" s="283" customFormat="1"/>
    <row r="15286" s="283" customFormat="1"/>
    <row r="15287" s="283" customFormat="1"/>
    <row r="15288" s="283" customFormat="1"/>
    <row r="15289" s="283" customFormat="1"/>
    <row r="15290" s="283" customFormat="1"/>
    <row r="15291" s="283" customFormat="1"/>
    <row r="15292" s="283" customFormat="1"/>
    <row r="15293" s="283" customFormat="1"/>
    <row r="15294" s="283" customFormat="1"/>
    <row r="15295" s="283" customFormat="1"/>
    <row r="15296" s="283" customFormat="1"/>
    <row r="15297" s="283" customFormat="1"/>
    <row r="15298" s="283" customFormat="1"/>
    <row r="15299" s="283" customFormat="1"/>
    <row r="15300" s="283" customFormat="1"/>
    <row r="15301" s="283" customFormat="1"/>
    <row r="15302" s="283" customFormat="1"/>
    <row r="15303" s="283" customFormat="1"/>
    <row r="15304" s="283" customFormat="1"/>
    <row r="15305" s="283" customFormat="1"/>
    <row r="15306" s="283" customFormat="1"/>
    <row r="15307" s="283" customFormat="1"/>
    <row r="15308" s="283" customFormat="1"/>
    <row r="15309" s="283" customFormat="1"/>
    <row r="15310" s="283" customFormat="1"/>
    <row r="15311" s="283" customFormat="1"/>
    <row r="15312" s="283" customFormat="1"/>
    <row r="15313" s="283" customFormat="1"/>
    <row r="15314" s="283" customFormat="1"/>
    <row r="15315" s="283" customFormat="1"/>
    <row r="15316" s="283" customFormat="1"/>
    <row r="15317" s="283" customFormat="1"/>
    <row r="15318" s="283" customFormat="1"/>
    <row r="15319" s="283" customFormat="1"/>
    <row r="15320" s="283" customFormat="1"/>
    <row r="15321" s="283" customFormat="1"/>
    <row r="15322" s="283" customFormat="1"/>
    <row r="15323" s="283" customFormat="1"/>
    <row r="15324" s="283" customFormat="1"/>
    <row r="15325" s="283" customFormat="1"/>
    <row r="15326" s="283" customFormat="1"/>
    <row r="15327" s="283" customFormat="1"/>
    <row r="15328" s="283" customFormat="1"/>
    <row r="15329" s="283" customFormat="1"/>
    <row r="15330" s="283" customFormat="1"/>
    <row r="15331" s="283" customFormat="1"/>
    <row r="15332" s="283" customFormat="1"/>
    <row r="15333" s="283" customFormat="1"/>
    <row r="15334" s="283" customFormat="1"/>
    <row r="15335" s="283" customFormat="1"/>
    <row r="15336" s="283" customFormat="1"/>
    <row r="15337" s="283" customFormat="1"/>
    <row r="15338" s="283" customFormat="1"/>
    <row r="15339" s="283" customFormat="1"/>
    <row r="15340" s="283" customFormat="1"/>
    <row r="15341" s="283" customFormat="1"/>
    <row r="15342" s="283" customFormat="1"/>
    <row r="15343" s="283" customFormat="1"/>
    <row r="15344" s="283" customFormat="1"/>
    <row r="15345" s="283" customFormat="1"/>
    <row r="15346" s="283" customFormat="1"/>
    <row r="15347" s="283" customFormat="1"/>
    <row r="15348" s="283" customFormat="1"/>
    <row r="15349" s="283" customFormat="1"/>
    <row r="15350" s="283" customFormat="1"/>
    <row r="15351" s="283" customFormat="1"/>
    <row r="15352" s="283" customFormat="1"/>
    <row r="15353" s="283" customFormat="1"/>
    <row r="15354" s="283" customFormat="1"/>
    <row r="15355" s="283" customFormat="1"/>
    <row r="15356" s="283" customFormat="1"/>
    <row r="15357" s="283" customFormat="1"/>
    <row r="15358" s="283" customFormat="1"/>
    <row r="15359" s="283" customFormat="1"/>
    <row r="15360" s="283" customFormat="1"/>
    <row r="15361" s="283" customFormat="1"/>
    <row r="15362" s="283" customFormat="1"/>
    <row r="15363" s="283" customFormat="1"/>
    <row r="15364" s="283" customFormat="1"/>
    <row r="15365" s="283" customFormat="1"/>
    <row r="15366" s="283" customFormat="1"/>
    <row r="15367" s="283" customFormat="1"/>
    <row r="15368" s="283" customFormat="1"/>
    <row r="15369" s="283" customFormat="1"/>
    <row r="15370" s="283" customFormat="1"/>
    <row r="15371" s="283" customFormat="1"/>
    <row r="15372" s="283" customFormat="1"/>
    <row r="15373" s="283" customFormat="1"/>
    <row r="15374" s="283" customFormat="1"/>
    <row r="15375" s="283" customFormat="1"/>
    <row r="15376" s="283" customFormat="1"/>
    <row r="15377" s="283" customFormat="1"/>
    <row r="15378" s="283" customFormat="1"/>
    <row r="15379" s="283" customFormat="1"/>
    <row r="15380" s="283" customFormat="1"/>
    <row r="15381" s="283" customFormat="1"/>
    <row r="15382" s="283" customFormat="1"/>
    <row r="15383" s="283" customFormat="1"/>
    <row r="15384" s="283" customFormat="1"/>
    <row r="15385" s="283" customFormat="1"/>
    <row r="15386" s="283" customFormat="1"/>
    <row r="15387" s="283" customFormat="1"/>
    <row r="15388" s="283" customFormat="1"/>
    <row r="15389" s="283" customFormat="1"/>
    <row r="15390" s="283" customFormat="1"/>
    <row r="15391" s="283" customFormat="1"/>
    <row r="15392" s="283" customFormat="1"/>
    <row r="15393" s="283" customFormat="1"/>
    <row r="15394" s="283" customFormat="1"/>
    <row r="15395" s="283" customFormat="1"/>
    <row r="15396" s="283" customFormat="1"/>
    <row r="15397" s="283" customFormat="1"/>
    <row r="15398" s="283" customFormat="1"/>
    <row r="15399" s="283" customFormat="1"/>
    <row r="15400" s="283" customFormat="1"/>
    <row r="15401" s="283" customFormat="1"/>
    <row r="15402" s="283" customFormat="1"/>
    <row r="15403" s="283" customFormat="1"/>
    <row r="15404" s="283" customFormat="1"/>
    <row r="15405" s="283" customFormat="1"/>
    <row r="15406" s="283" customFormat="1"/>
    <row r="15407" s="283" customFormat="1"/>
    <row r="15408" s="283" customFormat="1"/>
    <row r="15409" s="283" customFormat="1"/>
    <row r="15410" s="283" customFormat="1"/>
    <row r="15411" s="283" customFormat="1"/>
    <row r="15412" s="283" customFormat="1"/>
    <row r="15413" s="283" customFormat="1"/>
    <row r="15414" s="283" customFormat="1"/>
    <row r="15415" s="283" customFormat="1"/>
    <row r="15416" s="283" customFormat="1"/>
    <row r="15417" s="283" customFormat="1"/>
    <row r="15418" s="283" customFormat="1"/>
    <row r="15419" s="283" customFormat="1"/>
    <row r="15420" s="283" customFormat="1"/>
    <row r="15421" s="283" customFormat="1"/>
    <row r="15422" s="283" customFormat="1"/>
    <row r="15423" s="283" customFormat="1"/>
    <row r="15424" s="283" customFormat="1"/>
    <row r="15425" s="283" customFormat="1"/>
    <row r="15426" s="283" customFormat="1"/>
    <row r="15427" s="283" customFormat="1"/>
    <row r="15428" s="283" customFormat="1"/>
    <row r="15429" s="283" customFormat="1"/>
    <row r="15430" s="283" customFormat="1"/>
    <row r="15431" s="283" customFormat="1"/>
    <row r="15432" s="283" customFormat="1"/>
    <row r="15433" s="283" customFormat="1"/>
    <row r="15434" s="283" customFormat="1"/>
    <row r="15435" s="283" customFormat="1"/>
    <row r="15436" s="283" customFormat="1"/>
    <row r="15437" s="283" customFormat="1"/>
    <row r="15438" s="283" customFormat="1"/>
    <row r="15439" s="283" customFormat="1"/>
    <row r="15440" s="283" customFormat="1"/>
    <row r="15441" s="283" customFormat="1"/>
    <row r="15442" s="283" customFormat="1"/>
    <row r="15443" s="283" customFormat="1"/>
    <row r="15444" s="283" customFormat="1"/>
    <row r="15445" s="283" customFormat="1"/>
    <row r="15446" s="283" customFormat="1"/>
    <row r="15447" s="283" customFormat="1"/>
    <row r="15448" s="283" customFormat="1"/>
    <row r="15449" s="283" customFormat="1"/>
    <row r="15450" s="283" customFormat="1"/>
    <row r="15451" s="283" customFormat="1"/>
    <row r="15452" s="283" customFormat="1"/>
    <row r="15453" s="283" customFormat="1"/>
    <row r="15454" s="283" customFormat="1"/>
    <row r="15455" s="283" customFormat="1"/>
    <row r="15456" s="283" customFormat="1"/>
    <row r="15457" s="283" customFormat="1"/>
    <row r="15458" s="283" customFormat="1"/>
    <row r="15459" s="283" customFormat="1"/>
    <row r="15460" s="283" customFormat="1"/>
    <row r="15461" s="283" customFormat="1"/>
    <row r="15462" s="283" customFormat="1"/>
    <row r="15463" s="283" customFormat="1"/>
    <row r="15464" s="283" customFormat="1"/>
    <row r="15465" s="283" customFormat="1"/>
    <row r="15466" s="283" customFormat="1"/>
    <row r="15467" s="283" customFormat="1"/>
    <row r="15468" s="283" customFormat="1"/>
    <row r="15469" s="283" customFormat="1"/>
    <row r="15470" s="283" customFormat="1"/>
    <row r="15471" s="283" customFormat="1"/>
    <row r="15472" s="283" customFormat="1"/>
    <row r="15473" s="283" customFormat="1"/>
    <row r="15474" s="283" customFormat="1"/>
    <row r="15475" s="283" customFormat="1"/>
    <row r="15476" s="283" customFormat="1"/>
    <row r="15477" s="283" customFormat="1"/>
    <row r="15478" s="283" customFormat="1"/>
    <row r="15479" s="283" customFormat="1"/>
    <row r="15480" s="283" customFormat="1"/>
    <row r="15481" s="283" customFormat="1"/>
    <row r="15482" s="283" customFormat="1"/>
    <row r="15483" s="283" customFormat="1"/>
    <row r="15484" s="283" customFormat="1"/>
    <row r="15485" s="283" customFormat="1"/>
    <row r="15486" s="283" customFormat="1"/>
    <row r="15487" s="283" customFormat="1"/>
    <row r="15488" s="283" customFormat="1"/>
    <row r="15489" s="283" customFormat="1"/>
    <row r="15490" s="283" customFormat="1"/>
    <row r="15491" s="283" customFormat="1"/>
    <row r="15492" s="283" customFormat="1"/>
    <row r="15493" s="283" customFormat="1"/>
    <row r="15494" s="283" customFormat="1"/>
    <row r="15495" s="283" customFormat="1"/>
    <row r="15496" s="283" customFormat="1"/>
    <row r="15497" s="283" customFormat="1"/>
    <row r="15498" s="283" customFormat="1"/>
    <row r="15499" s="283" customFormat="1"/>
    <row r="15500" s="283" customFormat="1"/>
    <row r="15501" s="283" customFormat="1"/>
    <row r="15502" s="283" customFormat="1"/>
    <row r="15503" s="283" customFormat="1"/>
    <row r="15504" s="283" customFormat="1"/>
    <row r="15505" s="283" customFormat="1"/>
    <row r="15506" s="283" customFormat="1"/>
    <row r="15507" s="283" customFormat="1"/>
    <row r="15508" s="283" customFormat="1"/>
    <row r="15509" s="283" customFormat="1"/>
    <row r="15510" s="283" customFormat="1"/>
    <row r="15511" s="283" customFormat="1"/>
    <row r="15512" s="283" customFormat="1"/>
    <row r="15513" s="283" customFormat="1"/>
    <row r="15514" s="283" customFormat="1"/>
    <row r="15515" s="283" customFormat="1"/>
    <row r="15516" s="283" customFormat="1"/>
    <row r="15517" s="283" customFormat="1"/>
    <row r="15518" s="283" customFormat="1"/>
    <row r="15519" s="283" customFormat="1"/>
    <row r="15520" s="283" customFormat="1"/>
    <row r="15521" s="283" customFormat="1"/>
    <row r="15522" s="283" customFormat="1"/>
    <row r="15523" s="283" customFormat="1"/>
    <row r="15524" s="283" customFormat="1"/>
    <row r="15525" s="283" customFormat="1"/>
    <row r="15526" s="283" customFormat="1"/>
    <row r="15527" s="283" customFormat="1"/>
    <row r="15528" s="283" customFormat="1"/>
    <row r="15529" s="283" customFormat="1"/>
    <row r="15530" s="283" customFormat="1"/>
    <row r="15531" s="283" customFormat="1"/>
    <row r="15532" s="283" customFormat="1"/>
    <row r="15533" s="283" customFormat="1"/>
    <row r="15534" s="283" customFormat="1"/>
    <row r="15535" s="283" customFormat="1"/>
    <row r="15536" s="283" customFormat="1"/>
    <row r="15537" s="283" customFormat="1"/>
    <row r="15538" s="283" customFormat="1"/>
    <row r="15539" s="283" customFormat="1"/>
    <row r="15540" s="283" customFormat="1"/>
    <row r="15541" s="283" customFormat="1"/>
    <row r="15542" s="283" customFormat="1"/>
    <row r="15543" s="283" customFormat="1"/>
    <row r="15544" s="283" customFormat="1"/>
    <row r="15545" s="283" customFormat="1"/>
    <row r="15546" s="283" customFormat="1"/>
    <row r="15547" s="283" customFormat="1"/>
    <row r="15548" s="283" customFormat="1"/>
    <row r="15549" s="283" customFormat="1"/>
    <row r="15550" s="283" customFormat="1"/>
    <row r="15551" s="283" customFormat="1"/>
    <row r="15552" s="283" customFormat="1"/>
    <row r="15553" s="283" customFormat="1"/>
    <row r="15554" s="283" customFormat="1"/>
    <row r="15555" s="283" customFormat="1"/>
    <row r="15556" s="283" customFormat="1"/>
    <row r="15557" s="283" customFormat="1"/>
    <row r="15558" s="283" customFormat="1"/>
    <row r="15559" s="283" customFormat="1"/>
    <row r="15560" s="283" customFormat="1"/>
    <row r="15561" s="283" customFormat="1"/>
    <row r="15562" s="283" customFormat="1"/>
    <row r="15563" s="283" customFormat="1"/>
    <row r="15564" s="283" customFormat="1"/>
    <row r="15565" s="283" customFormat="1"/>
    <row r="15566" s="283" customFormat="1"/>
    <row r="15567" s="283" customFormat="1"/>
    <row r="15568" s="283" customFormat="1"/>
    <row r="15569" s="283" customFormat="1"/>
    <row r="15570" s="283" customFormat="1"/>
    <row r="15571" s="283" customFormat="1"/>
    <row r="15572" s="283" customFormat="1"/>
    <row r="15573" s="283" customFormat="1"/>
    <row r="15574" s="283" customFormat="1"/>
    <row r="15575" s="283" customFormat="1"/>
    <row r="15576" s="283" customFormat="1"/>
    <row r="15577" s="283" customFormat="1"/>
    <row r="15578" s="283" customFormat="1"/>
    <row r="15579" s="283" customFormat="1"/>
    <row r="15580" s="283" customFormat="1"/>
    <row r="15581" s="283" customFormat="1"/>
    <row r="15582" s="283" customFormat="1"/>
    <row r="15583" s="283" customFormat="1"/>
    <row r="15584" s="283" customFormat="1"/>
    <row r="15585" s="283" customFormat="1"/>
    <row r="15586" s="283" customFormat="1"/>
    <row r="15587" s="283" customFormat="1"/>
    <row r="15588" s="283" customFormat="1"/>
    <row r="15589" s="283" customFormat="1"/>
    <row r="15590" s="283" customFormat="1"/>
    <row r="15591" s="283" customFormat="1"/>
    <row r="15592" s="283" customFormat="1"/>
    <row r="15593" s="283" customFormat="1"/>
    <row r="15594" s="283" customFormat="1"/>
    <row r="15595" s="283" customFormat="1"/>
    <row r="15596" s="283" customFormat="1"/>
    <row r="15597" s="283" customFormat="1"/>
    <row r="15598" s="283" customFormat="1"/>
    <row r="15599" s="283" customFormat="1"/>
    <row r="15600" s="283" customFormat="1"/>
    <row r="15601" s="283" customFormat="1"/>
    <row r="15602" s="283" customFormat="1"/>
    <row r="15603" s="283" customFormat="1"/>
    <row r="15604" s="283" customFormat="1"/>
    <row r="15605" s="283" customFormat="1"/>
    <row r="15606" s="283" customFormat="1"/>
    <row r="15607" s="283" customFormat="1"/>
    <row r="15608" s="283" customFormat="1"/>
    <row r="15609" s="283" customFormat="1"/>
    <row r="15610" s="283" customFormat="1"/>
    <row r="15611" s="283" customFormat="1"/>
    <row r="15612" s="283" customFormat="1"/>
    <row r="15613" s="283" customFormat="1"/>
    <row r="15614" s="283" customFormat="1"/>
    <row r="15615" s="283" customFormat="1"/>
    <row r="15616" s="283" customFormat="1"/>
    <row r="15617" s="283" customFormat="1"/>
    <row r="15618" s="283" customFormat="1"/>
    <row r="15619" s="283" customFormat="1"/>
    <row r="15620" s="283" customFormat="1"/>
    <row r="15621" s="283" customFormat="1"/>
    <row r="15622" s="283" customFormat="1"/>
    <row r="15623" s="283" customFormat="1"/>
    <row r="15624" s="283" customFormat="1"/>
    <row r="15625" s="283" customFormat="1"/>
    <row r="15626" s="283" customFormat="1"/>
    <row r="15627" s="283" customFormat="1"/>
    <row r="15628" s="283" customFormat="1"/>
    <row r="15629" s="283" customFormat="1"/>
    <row r="15630" s="283" customFormat="1"/>
    <row r="15631" s="283" customFormat="1"/>
    <row r="15632" s="283" customFormat="1"/>
    <row r="15633" s="283" customFormat="1"/>
    <row r="15634" s="283" customFormat="1"/>
    <row r="15635" s="283" customFormat="1"/>
    <row r="15636" s="283" customFormat="1"/>
    <row r="15637" s="283" customFormat="1"/>
    <row r="15638" s="283" customFormat="1"/>
    <row r="15639" s="283" customFormat="1"/>
    <row r="15640" s="283" customFormat="1"/>
    <row r="15641" s="283" customFormat="1"/>
    <row r="15642" s="283" customFormat="1"/>
    <row r="15643" s="283" customFormat="1"/>
    <row r="15644" s="283" customFormat="1"/>
    <row r="15645" s="283" customFormat="1"/>
    <row r="15646" s="283" customFormat="1"/>
    <row r="15647" s="283" customFormat="1"/>
    <row r="15648" s="283" customFormat="1"/>
    <row r="15649" s="283" customFormat="1"/>
    <row r="15650" s="283" customFormat="1"/>
    <row r="15651" s="283" customFormat="1"/>
    <row r="15652" s="283" customFormat="1"/>
    <row r="15653" s="283" customFormat="1"/>
    <row r="15654" s="283" customFormat="1"/>
    <row r="15655" s="283" customFormat="1"/>
    <row r="15656" s="283" customFormat="1"/>
    <row r="15657" s="283" customFormat="1"/>
    <row r="15658" s="283" customFormat="1"/>
    <row r="15659" s="283" customFormat="1"/>
    <row r="15660" s="283" customFormat="1"/>
    <row r="15661" s="283" customFormat="1"/>
    <row r="15662" s="283" customFormat="1"/>
    <row r="15663" s="283" customFormat="1"/>
    <row r="15664" s="283" customFormat="1"/>
    <row r="15665" s="283" customFormat="1"/>
    <row r="15666" s="283" customFormat="1"/>
    <row r="15667" s="283" customFormat="1"/>
    <row r="15668" s="283" customFormat="1"/>
    <row r="15669" s="283" customFormat="1"/>
    <row r="15670" s="283" customFormat="1"/>
    <row r="15671" s="283" customFormat="1"/>
    <row r="15672" s="283" customFormat="1"/>
    <row r="15673" s="283" customFormat="1"/>
    <row r="15674" s="283" customFormat="1"/>
    <row r="15675" s="283" customFormat="1"/>
    <row r="15676" s="283" customFormat="1"/>
    <row r="15677" s="283" customFormat="1"/>
    <row r="15678" s="283" customFormat="1"/>
    <row r="15679" s="283" customFormat="1"/>
    <row r="15680" s="283" customFormat="1"/>
    <row r="15681" s="283" customFormat="1"/>
    <row r="15682" s="283" customFormat="1"/>
    <row r="15683" s="283" customFormat="1"/>
    <row r="15684" s="283" customFormat="1"/>
    <row r="15685" s="283" customFormat="1"/>
    <row r="15686" s="283" customFormat="1"/>
    <row r="15687" s="283" customFormat="1"/>
    <row r="15688" s="283" customFormat="1"/>
    <row r="15689" s="283" customFormat="1"/>
    <row r="15690" s="283" customFormat="1"/>
    <row r="15691" s="283" customFormat="1"/>
    <row r="15692" s="283" customFormat="1"/>
    <row r="15693" s="283" customFormat="1"/>
    <row r="15694" s="283" customFormat="1"/>
    <row r="15695" s="283" customFormat="1"/>
    <row r="15696" s="283" customFormat="1"/>
    <row r="15697" s="283" customFormat="1"/>
    <row r="15698" s="283" customFormat="1"/>
    <row r="15699" s="283" customFormat="1"/>
    <row r="15700" s="283" customFormat="1"/>
    <row r="15701" s="283" customFormat="1"/>
    <row r="15702" s="283" customFormat="1"/>
    <row r="15703" s="283" customFormat="1"/>
    <row r="15704" s="283" customFormat="1"/>
    <row r="15705" s="283" customFormat="1"/>
    <row r="15706" s="283" customFormat="1"/>
    <row r="15707" s="283" customFormat="1"/>
    <row r="15708" s="283" customFormat="1"/>
    <row r="15709" s="283" customFormat="1"/>
    <row r="15710" s="283" customFormat="1"/>
    <row r="15711" s="283" customFormat="1"/>
    <row r="15712" s="283" customFormat="1"/>
    <row r="15713" s="283" customFormat="1"/>
    <row r="15714" s="283" customFormat="1"/>
    <row r="15715" s="283" customFormat="1"/>
    <row r="15716" s="283" customFormat="1"/>
    <row r="15717" s="283" customFormat="1"/>
    <row r="15718" s="283" customFormat="1"/>
    <row r="15719" s="283" customFormat="1"/>
    <row r="15720" s="283" customFormat="1"/>
    <row r="15721" s="283" customFormat="1"/>
    <row r="15722" s="283" customFormat="1"/>
    <row r="15723" s="283" customFormat="1"/>
    <row r="15724" s="283" customFormat="1"/>
    <row r="15725" s="283" customFormat="1"/>
    <row r="15726" s="283" customFormat="1"/>
    <row r="15727" s="283" customFormat="1"/>
    <row r="15728" s="283" customFormat="1"/>
    <row r="15729" s="283" customFormat="1"/>
    <row r="15730" s="283" customFormat="1"/>
    <row r="15731" s="283" customFormat="1"/>
    <row r="15732" s="283" customFormat="1"/>
    <row r="15733" s="283" customFormat="1"/>
    <row r="15734" s="283" customFormat="1"/>
    <row r="15735" s="283" customFormat="1"/>
    <row r="15736" s="283" customFormat="1"/>
    <row r="15737" s="283" customFormat="1"/>
    <row r="15738" s="283" customFormat="1"/>
    <row r="15739" s="283" customFormat="1"/>
    <row r="15740" s="283" customFormat="1"/>
    <row r="15741" s="283" customFormat="1"/>
    <row r="15742" s="283" customFormat="1"/>
    <row r="15743" s="283" customFormat="1"/>
    <row r="15744" s="283" customFormat="1"/>
    <row r="15745" s="283" customFormat="1"/>
    <row r="15746" s="283" customFormat="1"/>
    <row r="15747" s="283" customFormat="1"/>
    <row r="15748" s="283" customFormat="1"/>
    <row r="15749" s="283" customFormat="1"/>
    <row r="15750" s="283" customFormat="1"/>
    <row r="15751" s="283" customFormat="1"/>
    <row r="15752" s="283" customFormat="1"/>
    <row r="15753" s="283" customFormat="1"/>
    <row r="15754" s="283" customFormat="1"/>
    <row r="15755" s="283" customFormat="1"/>
    <row r="15756" s="283" customFormat="1"/>
    <row r="15757" s="283" customFormat="1"/>
    <row r="15758" s="283" customFormat="1"/>
    <row r="15759" s="283" customFormat="1"/>
    <row r="15760" s="283" customFormat="1"/>
    <row r="15761" s="283" customFormat="1"/>
    <row r="15762" s="283" customFormat="1"/>
    <row r="15763" s="283" customFormat="1"/>
    <row r="15764" s="283" customFormat="1"/>
    <row r="15765" s="283" customFormat="1"/>
    <row r="15766" s="283" customFormat="1"/>
    <row r="15767" s="283" customFormat="1"/>
    <row r="15768" s="283" customFormat="1"/>
    <row r="15769" s="283" customFormat="1"/>
    <row r="15770" s="283" customFormat="1"/>
    <row r="15771" s="283" customFormat="1"/>
    <row r="15772" s="283" customFormat="1"/>
    <row r="15773" s="283" customFormat="1"/>
    <row r="15774" s="283" customFormat="1"/>
    <row r="15775" s="283" customFormat="1"/>
    <row r="15776" s="283" customFormat="1"/>
    <row r="15777" s="283" customFormat="1"/>
    <row r="15778" s="283" customFormat="1"/>
    <row r="15779" s="283" customFormat="1"/>
    <row r="15780" s="283" customFormat="1"/>
    <row r="15781" s="283" customFormat="1"/>
    <row r="15782" s="283" customFormat="1"/>
    <row r="15783" s="283" customFormat="1"/>
    <row r="15784" s="283" customFormat="1"/>
    <row r="15785" s="283" customFormat="1"/>
    <row r="15786" s="283" customFormat="1"/>
    <row r="15787" s="283" customFormat="1"/>
    <row r="15788" s="283" customFormat="1"/>
    <row r="15789" s="283" customFormat="1"/>
    <row r="15790" s="283" customFormat="1"/>
    <row r="15791" s="283" customFormat="1"/>
    <row r="15792" s="283" customFormat="1"/>
    <row r="15793" s="283" customFormat="1"/>
    <row r="15794" s="283" customFormat="1"/>
    <row r="15795" s="283" customFormat="1"/>
    <row r="15796" s="283" customFormat="1"/>
    <row r="15797" s="283" customFormat="1"/>
    <row r="15798" s="283" customFormat="1"/>
    <row r="15799" s="283" customFormat="1"/>
    <row r="15800" s="283" customFormat="1"/>
    <row r="15801" s="283" customFormat="1"/>
    <row r="15802" s="283" customFormat="1"/>
    <row r="15803" s="283" customFormat="1"/>
    <row r="15804" s="283" customFormat="1"/>
    <row r="15805" s="283" customFormat="1"/>
    <row r="15806" s="283" customFormat="1"/>
    <row r="15807" s="283" customFormat="1"/>
    <row r="15808" s="283" customFormat="1"/>
    <row r="15809" s="283" customFormat="1"/>
    <row r="15810" s="283" customFormat="1"/>
    <row r="15811" s="283" customFormat="1"/>
    <row r="15812" s="283" customFormat="1"/>
    <row r="15813" s="283" customFormat="1"/>
    <row r="15814" s="283" customFormat="1"/>
    <row r="15815" s="283" customFormat="1"/>
    <row r="15816" s="283" customFormat="1"/>
    <row r="15817" s="283" customFormat="1"/>
    <row r="15818" s="283" customFormat="1"/>
    <row r="15819" s="283" customFormat="1"/>
    <row r="15820" s="283" customFormat="1"/>
    <row r="15821" s="283" customFormat="1"/>
    <row r="15822" s="283" customFormat="1"/>
    <row r="15823" s="283" customFormat="1"/>
    <row r="15824" s="283" customFormat="1"/>
    <row r="15825" s="283" customFormat="1"/>
    <row r="15826" s="283" customFormat="1"/>
    <row r="15827" s="283" customFormat="1"/>
    <row r="15828" s="283" customFormat="1"/>
    <row r="15829" s="283" customFormat="1"/>
    <row r="15830" s="283" customFormat="1"/>
    <row r="15831" s="283" customFormat="1"/>
    <row r="15832" s="283" customFormat="1"/>
    <row r="15833" s="283" customFormat="1"/>
    <row r="15834" s="283" customFormat="1"/>
    <row r="15835" s="283" customFormat="1"/>
    <row r="15836" s="283" customFormat="1"/>
    <row r="15837" s="283" customFormat="1"/>
    <row r="15838" s="283" customFormat="1"/>
    <row r="15839" s="283" customFormat="1"/>
    <row r="15840" s="283" customFormat="1"/>
    <row r="15841" s="283" customFormat="1"/>
    <row r="15842" s="283" customFormat="1"/>
    <row r="15843" s="283" customFormat="1"/>
    <row r="15844" s="283" customFormat="1"/>
    <row r="15845" s="283" customFormat="1"/>
    <row r="15846" s="283" customFormat="1"/>
    <row r="15847" s="283" customFormat="1"/>
    <row r="15848" s="283" customFormat="1"/>
    <row r="15849" s="283" customFormat="1"/>
    <row r="15850" s="283" customFormat="1"/>
    <row r="15851" s="283" customFormat="1"/>
    <row r="15852" s="283" customFormat="1"/>
    <row r="15853" s="283" customFormat="1"/>
    <row r="15854" s="283" customFormat="1"/>
    <row r="15855" s="283" customFormat="1"/>
    <row r="15856" s="283" customFormat="1"/>
    <row r="15857" s="283" customFormat="1"/>
    <row r="15858" s="283" customFormat="1"/>
    <row r="15859" s="283" customFormat="1"/>
    <row r="15860" s="283" customFormat="1"/>
    <row r="15861" s="283" customFormat="1"/>
    <row r="15862" s="283" customFormat="1"/>
    <row r="15863" s="283" customFormat="1"/>
    <row r="15864" s="283" customFormat="1"/>
    <row r="15865" s="283" customFormat="1"/>
    <row r="15866" s="283" customFormat="1"/>
    <row r="15867" s="283" customFormat="1"/>
    <row r="15868" s="283" customFormat="1"/>
    <row r="15869" s="283" customFormat="1"/>
    <row r="15870" s="283" customFormat="1"/>
    <row r="15871" s="283" customFormat="1"/>
    <row r="15872" s="283" customFormat="1"/>
    <row r="15873" s="283" customFormat="1"/>
    <row r="15874" s="283" customFormat="1"/>
    <row r="15875" s="283" customFormat="1"/>
    <row r="15876" s="283" customFormat="1"/>
    <row r="15877" s="283" customFormat="1"/>
    <row r="15878" s="283" customFormat="1"/>
    <row r="15879" s="283" customFormat="1"/>
    <row r="15880" s="283" customFormat="1"/>
    <row r="15881" s="283" customFormat="1"/>
    <row r="15882" s="283" customFormat="1"/>
    <row r="15883" s="283" customFormat="1"/>
    <row r="15884" s="283" customFormat="1"/>
    <row r="15885" s="283" customFormat="1"/>
    <row r="15886" s="283" customFormat="1"/>
    <row r="15887" s="283" customFormat="1"/>
    <row r="15888" s="283" customFormat="1"/>
    <row r="15889" s="283" customFormat="1"/>
    <row r="15890" s="283" customFormat="1"/>
    <row r="15891" s="283" customFormat="1"/>
    <row r="15892" s="283" customFormat="1"/>
    <row r="15893" s="283" customFormat="1"/>
    <row r="15894" s="283" customFormat="1"/>
    <row r="15895" s="283" customFormat="1"/>
    <row r="15896" s="283" customFormat="1"/>
    <row r="15897" s="283" customFormat="1"/>
    <row r="15898" s="283" customFormat="1"/>
    <row r="15899" s="283" customFormat="1"/>
    <row r="15900" s="283" customFormat="1"/>
    <row r="15901" s="283" customFormat="1"/>
    <row r="15902" s="283" customFormat="1"/>
    <row r="15903" s="283" customFormat="1"/>
    <row r="15904" s="283" customFormat="1"/>
    <row r="15905" s="283" customFormat="1"/>
    <row r="15906" s="283" customFormat="1"/>
    <row r="15907" s="283" customFormat="1"/>
    <row r="15908" s="283" customFormat="1"/>
    <row r="15909" s="283" customFormat="1"/>
    <row r="15910" s="283" customFormat="1"/>
    <row r="15911" s="283" customFormat="1"/>
    <row r="15912" s="283" customFormat="1"/>
    <row r="15913" s="283" customFormat="1"/>
    <row r="15914" s="283" customFormat="1"/>
    <row r="15915" s="283" customFormat="1"/>
    <row r="15916" s="283" customFormat="1"/>
    <row r="15917" s="283" customFormat="1"/>
    <row r="15918" s="283" customFormat="1"/>
    <row r="15919" s="283" customFormat="1"/>
    <row r="15920" s="283" customFormat="1"/>
    <row r="15921" s="283" customFormat="1"/>
    <row r="15922" s="283" customFormat="1"/>
    <row r="15923" s="283" customFormat="1"/>
    <row r="15924" s="283" customFormat="1"/>
    <row r="15925" s="283" customFormat="1"/>
    <row r="15926" s="283" customFormat="1"/>
    <row r="15927" s="283" customFormat="1"/>
    <row r="15928" s="283" customFormat="1"/>
    <row r="15929" s="283" customFormat="1"/>
    <row r="15930" s="283" customFormat="1"/>
    <row r="15931" s="283" customFormat="1"/>
    <row r="15932" s="283" customFormat="1"/>
    <row r="15933" s="283" customFormat="1"/>
    <row r="15934" s="283" customFormat="1"/>
    <row r="15935" s="283" customFormat="1"/>
    <row r="15936" s="283" customFormat="1"/>
    <row r="15937" s="283" customFormat="1"/>
    <row r="15938" s="283" customFormat="1"/>
    <row r="15939" s="283" customFormat="1"/>
    <row r="15940" s="283" customFormat="1"/>
    <row r="15941" s="283" customFormat="1"/>
    <row r="15942" s="283" customFormat="1"/>
    <row r="15943" s="283" customFormat="1"/>
    <row r="15944" s="283" customFormat="1"/>
    <row r="15945" s="283" customFormat="1"/>
    <row r="15946" s="283" customFormat="1"/>
    <row r="15947" s="283" customFormat="1"/>
    <row r="15948" s="283" customFormat="1"/>
    <row r="15949" s="283" customFormat="1"/>
    <row r="15950" s="283" customFormat="1"/>
    <row r="15951" s="283" customFormat="1"/>
    <row r="15952" s="283" customFormat="1"/>
    <row r="15953" s="283" customFormat="1"/>
    <row r="15954" s="283" customFormat="1"/>
    <row r="15955" s="283" customFormat="1"/>
    <row r="15956" s="283" customFormat="1"/>
    <row r="15957" s="283" customFormat="1"/>
    <row r="15958" s="283" customFormat="1"/>
    <row r="15959" s="283" customFormat="1"/>
    <row r="15960" s="283" customFormat="1"/>
    <row r="15961" s="283" customFormat="1"/>
    <row r="15962" s="283" customFormat="1"/>
    <row r="15963" s="283" customFormat="1"/>
    <row r="15964" s="283" customFormat="1"/>
    <row r="15965" s="283" customFormat="1"/>
    <row r="15966" s="283" customFormat="1"/>
    <row r="15967" s="283" customFormat="1"/>
    <row r="15968" s="283" customFormat="1"/>
    <row r="15969" s="283" customFormat="1"/>
    <row r="15970" s="283" customFormat="1"/>
    <row r="15971" s="283" customFormat="1"/>
    <row r="15972" s="283" customFormat="1"/>
    <row r="15973" s="283" customFormat="1"/>
    <row r="15974" s="283" customFormat="1"/>
    <row r="15975" s="283" customFormat="1"/>
    <row r="15976" s="283" customFormat="1"/>
    <row r="15977" s="283" customFormat="1"/>
    <row r="15978" s="283" customFormat="1"/>
    <row r="15979" s="283" customFormat="1"/>
    <row r="15980" s="283" customFormat="1"/>
    <row r="15981" s="283" customFormat="1"/>
    <row r="15982" s="283" customFormat="1"/>
    <row r="15983" s="283" customFormat="1"/>
    <row r="15984" s="283" customFormat="1"/>
    <row r="15985" s="283" customFormat="1"/>
    <row r="15986" s="283" customFormat="1"/>
    <row r="15987" s="283" customFormat="1"/>
    <row r="15988" s="283" customFormat="1"/>
    <row r="15989" s="283" customFormat="1"/>
    <row r="15990" s="283" customFormat="1"/>
    <row r="15991" s="283" customFormat="1"/>
    <row r="15992" s="283" customFormat="1"/>
    <row r="15993" s="283" customFormat="1"/>
    <row r="15994" s="283" customFormat="1"/>
    <row r="15995" s="283" customFormat="1"/>
    <row r="15996" s="283" customFormat="1"/>
    <row r="15997" s="283" customFormat="1"/>
    <row r="15998" s="283" customFormat="1"/>
    <row r="15999" s="283" customFormat="1"/>
    <row r="16000" s="283" customFormat="1"/>
    <row r="16001" s="283" customFormat="1"/>
    <row r="16002" s="283" customFormat="1"/>
    <row r="16003" s="283" customFormat="1"/>
    <row r="16004" s="283" customFormat="1"/>
    <row r="16005" s="283" customFormat="1"/>
    <row r="16006" s="283" customFormat="1"/>
    <row r="16007" s="283" customFormat="1"/>
    <row r="16008" s="283" customFormat="1"/>
    <row r="16009" s="283" customFormat="1"/>
    <row r="16010" s="283" customFormat="1"/>
    <row r="16011" s="283" customFormat="1"/>
    <row r="16012" s="283" customFormat="1"/>
    <row r="16013" s="283" customFormat="1"/>
    <row r="16014" s="283" customFormat="1"/>
    <row r="16015" s="283" customFormat="1"/>
    <row r="16016" s="283" customFormat="1"/>
    <row r="16017" s="283" customFormat="1"/>
    <row r="16018" s="283" customFormat="1"/>
    <row r="16019" s="283" customFormat="1"/>
    <row r="16020" s="283" customFormat="1"/>
    <row r="16021" s="283" customFormat="1"/>
    <row r="16022" s="283" customFormat="1"/>
    <row r="16023" s="283" customFormat="1"/>
    <row r="16024" s="283" customFormat="1"/>
    <row r="16025" s="283" customFormat="1"/>
    <row r="16026" s="283" customFormat="1"/>
    <row r="16027" s="283" customFormat="1"/>
    <row r="16028" s="283" customFormat="1"/>
    <row r="16029" s="283" customFormat="1"/>
    <row r="16030" s="283" customFormat="1"/>
    <row r="16031" s="283" customFormat="1"/>
    <row r="16032" s="283" customFormat="1"/>
    <row r="16033" s="283" customFormat="1"/>
    <row r="16034" s="283" customFormat="1"/>
    <row r="16035" s="283" customFormat="1"/>
    <row r="16036" s="283" customFormat="1"/>
    <row r="16037" s="283" customFormat="1"/>
    <row r="16038" s="283" customFormat="1"/>
    <row r="16039" s="283" customFormat="1"/>
    <row r="16040" s="283" customFormat="1"/>
    <row r="16041" s="283" customFormat="1"/>
    <row r="16042" s="283" customFormat="1"/>
    <row r="16043" s="283" customFormat="1"/>
    <row r="16044" s="283" customFormat="1"/>
    <row r="16045" s="283" customFormat="1"/>
    <row r="16046" s="283" customFormat="1"/>
    <row r="16047" s="283" customFormat="1"/>
    <row r="16048" s="283" customFormat="1"/>
    <row r="16049" s="283" customFormat="1"/>
    <row r="16050" s="283" customFormat="1"/>
    <row r="16051" s="283" customFormat="1"/>
    <row r="16052" s="283" customFormat="1"/>
    <row r="16053" s="283" customFormat="1"/>
    <row r="16054" s="283" customFormat="1"/>
    <row r="16055" s="283" customFormat="1"/>
    <row r="16056" s="283" customFormat="1"/>
    <row r="16057" s="283" customFormat="1"/>
    <row r="16058" s="283" customFormat="1"/>
    <row r="16059" s="283" customFormat="1"/>
    <row r="16060" s="283" customFormat="1"/>
    <row r="16061" s="283" customFormat="1"/>
    <row r="16062" s="283" customFormat="1"/>
    <row r="16063" s="283" customFormat="1"/>
    <row r="16064" s="283" customFormat="1"/>
    <row r="16065" s="283" customFormat="1"/>
    <row r="16066" s="283" customFormat="1"/>
    <row r="16067" s="283" customFormat="1"/>
    <row r="16068" s="283" customFormat="1"/>
    <row r="16069" s="283" customFormat="1"/>
    <row r="16070" s="283" customFormat="1"/>
    <row r="16071" s="283" customFormat="1"/>
    <row r="16072" s="283" customFormat="1"/>
    <row r="16073" s="283" customFormat="1"/>
    <row r="16074" s="283" customFormat="1"/>
    <row r="16075" s="283" customFormat="1"/>
    <row r="16076" s="283" customFormat="1"/>
    <row r="16077" s="283" customFormat="1"/>
    <row r="16078" s="283" customFormat="1"/>
    <row r="16079" s="283" customFormat="1"/>
    <row r="16080" s="283" customFormat="1"/>
    <row r="16081" s="283" customFormat="1"/>
    <row r="16082" s="283" customFormat="1"/>
    <row r="16083" s="283" customFormat="1"/>
    <row r="16084" s="283" customFormat="1"/>
    <row r="16085" s="283" customFormat="1"/>
    <row r="16086" s="283" customFormat="1"/>
    <row r="16087" s="283" customFormat="1"/>
    <row r="16088" s="283" customFormat="1"/>
    <row r="16089" s="283" customFormat="1"/>
    <row r="16090" s="283" customFormat="1"/>
    <row r="16091" s="283" customFormat="1"/>
    <row r="16092" s="283" customFormat="1"/>
    <row r="16093" s="283" customFormat="1"/>
    <row r="16094" s="283" customFormat="1"/>
    <row r="16095" s="283" customFormat="1"/>
    <row r="16096" s="283" customFormat="1"/>
    <row r="16097" s="283" customFormat="1"/>
    <row r="16098" s="283" customFormat="1"/>
    <row r="16099" s="283" customFormat="1"/>
    <row r="16100" s="283" customFormat="1"/>
    <row r="16101" s="283" customFormat="1"/>
    <row r="16102" s="283" customFormat="1"/>
    <row r="16103" s="283" customFormat="1"/>
    <row r="16104" s="283" customFormat="1"/>
    <row r="16105" s="283" customFormat="1"/>
    <row r="16106" s="283" customFormat="1"/>
    <row r="16107" s="283" customFormat="1"/>
    <row r="16108" s="283" customFormat="1"/>
    <row r="16109" s="283" customFormat="1"/>
    <row r="16110" s="283" customFormat="1"/>
    <row r="16111" s="283" customFormat="1"/>
    <row r="16112" s="283" customFormat="1"/>
    <row r="16113" s="283" customFormat="1"/>
    <row r="16114" s="283" customFormat="1"/>
    <row r="16115" s="283" customFormat="1"/>
    <row r="16116" s="283" customFormat="1"/>
    <row r="16117" s="283" customFormat="1"/>
    <row r="16118" s="283" customFormat="1"/>
    <row r="16119" s="283" customFormat="1"/>
    <row r="16120" s="283" customFormat="1"/>
    <row r="16121" s="283" customFormat="1"/>
    <row r="16122" s="283" customFormat="1"/>
    <row r="16123" s="283" customFormat="1"/>
    <row r="16124" s="283" customFormat="1"/>
    <row r="16125" s="283" customFormat="1"/>
    <row r="16126" s="283" customFormat="1"/>
    <row r="16127" s="283" customFormat="1"/>
    <row r="16128" s="283" customFormat="1"/>
    <row r="16129" s="283" customFormat="1"/>
    <row r="16130" s="283" customFormat="1"/>
    <row r="16131" s="283" customFormat="1"/>
    <row r="16132" s="283" customFormat="1"/>
    <row r="16133" s="283" customFormat="1"/>
    <row r="16134" s="283" customFormat="1"/>
    <row r="16135" s="283" customFormat="1"/>
    <row r="16136" s="283" customFormat="1"/>
    <row r="16137" s="283" customFormat="1"/>
    <row r="16138" s="283" customFormat="1"/>
    <row r="16139" s="283" customFormat="1"/>
    <row r="16140" s="283" customFormat="1"/>
    <row r="16141" s="283" customFormat="1"/>
    <row r="16142" s="283" customFormat="1"/>
    <row r="16143" s="283" customFormat="1"/>
    <row r="16144" s="283" customFormat="1"/>
    <row r="16145" s="283" customFormat="1"/>
    <row r="16146" s="283" customFormat="1"/>
    <row r="16147" s="283" customFormat="1"/>
    <row r="16148" s="283" customFormat="1"/>
    <row r="16149" s="283" customFormat="1"/>
    <row r="16150" s="283" customFormat="1"/>
    <row r="16151" s="283" customFormat="1"/>
    <row r="16152" s="283" customFormat="1"/>
    <row r="16153" s="283" customFormat="1"/>
    <row r="16154" s="283" customFormat="1"/>
    <row r="16155" s="283" customFormat="1"/>
    <row r="16156" s="283" customFormat="1"/>
    <row r="16157" s="283" customFormat="1"/>
    <row r="16158" s="283" customFormat="1"/>
    <row r="16159" s="283" customFormat="1"/>
    <row r="16160" s="283" customFormat="1"/>
    <row r="16161" s="283" customFormat="1"/>
    <row r="16162" s="283" customFormat="1"/>
    <row r="16163" s="283" customFormat="1"/>
    <row r="16164" s="283" customFormat="1"/>
    <row r="16165" s="283" customFormat="1"/>
    <row r="16166" s="283" customFormat="1"/>
    <row r="16167" s="283" customFormat="1"/>
    <row r="16168" s="283" customFormat="1"/>
    <row r="16169" s="283" customFormat="1"/>
    <row r="16170" s="283" customFormat="1"/>
    <row r="16171" s="283" customFormat="1"/>
    <row r="16172" s="283" customFormat="1"/>
    <row r="16173" s="283" customFormat="1"/>
    <row r="16174" s="283" customFormat="1"/>
    <row r="16175" s="283" customFormat="1"/>
    <row r="16176" s="283" customFormat="1"/>
    <row r="16177" s="283" customFormat="1"/>
    <row r="16178" s="283" customFormat="1"/>
    <row r="16179" s="283" customFormat="1"/>
    <row r="16180" s="283" customFormat="1"/>
    <row r="16181" s="283" customFormat="1"/>
    <row r="16182" s="283" customFormat="1"/>
    <row r="16183" s="283" customFormat="1"/>
    <row r="16184" s="283" customFormat="1"/>
    <row r="16185" s="283" customFormat="1"/>
    <row r="16186" s="283" customFormat="1"/>
    <row r="16187" s="283" customFormat="1"/>
    <row r="16188" s="283" customFormat="1"/>
    <row r="16189" s="283" customFormat="1"/>
    <row r="16190" s="283" customFormat="1"/>
    <row r="16191" s="283" customFormat="1"/>
    <row r="16192" s="283" customFormat="1"/>
    <row r="16193" s="283" customFormat="1"/>
    <row r="16194" s="283" customFormat="1"/>
    <row r="16195" s="283" customFormat="1"/>
    <row r="16196" s="283" customFormat="1"/>
    <row r="16197" s="283" customFormat="1"/>
    <row r="16198" s="283" customFormat="1"/>
    <row r="16199" s="283" customFormat="1"/>
    <row r="16200" s="283" customFormat="1"/>
    <row r="16201" s="283" customFormat="1"/>
    <row r="16202" s="283" customFormat="1"/>
    <row r="16203" s="283" customFormat="1"/>
    <row r="16204" s="283" customFormat="1"/>
    <row r="16205" s="283" customFormat="1"/>
    <row r="16206" s="283" customFormat="1"/>
    <row r="16207" s="283" customFormat="1"/>
    <row r="16208" s="283" customFormat="1"/>
    <row r="16209" s="283" customFormat="1"/>
    <row r="16210" s="283" customFormat="1"/>
    <row r="16211" s="283" customFormat="1"/>
    <row r="16212" s="283" customFormat="1"/>
    <row r="16213" s="283" customFormat="1"/>
    <row r="16214" s="283" customFormat="1"/>
    <row r="16215" s="283" customFormat="1"/>
    <row r="16216" s="283" customFormat="1"/>
    <row r="16217" s="283" customFormat="1"/>
    <row r="16218" s="283" customFormat="1"/>
    <row r="16219" s="283" customFormat="1"/>
    <row r="16220" s="283" customFormat="1"/>
    <row r="16221" s="283" customFormat="1"/>
    <row r="16222" s="283" customFormat="1"/>
    <row r="16223" s="283" customFormat="1"/>
    <row r="16224" s="283" customFormat="1"/>
    <row r="16225" s="283" customFormat="1"/>
    <row r="16226" s="283" customFormat="1"/>
    <row r="16227" s="283" customFormat="1"/>
    <row r="16228" s="283" customFormat="1"/>
    <row r="16229" s="283" customFormat="1"/>
    <row r="16230" s="283" customFormat="1"/>
    <row r="16231" s="283" customFormat="1"/>
    <row r="16232" s="283" customFormat="1"/>
    <row r="16233" s="283" customFormat="1"/>
    <row r="16234" s="283" customFormat="1"/>
    <row r="16235" s="283" customFormat="1"/>
    <row r="16236" s="283" customFormat="1"/>
    <row r="16237" s="283" customFormat="1"/>
    <row r="16238" s="283" customFormat="1"/>
    <row r="16239" s="283" customFormat="1"/>
    <row r="16240" s="283" customFormat="1"/>
    <row r="16241" s="283" customFormat="1"/>
    <row r="16242" s="283" customFormat="1"/>
    <row r="16243" s="283" customFormat="1"/>
    <row r="16244" s="283" customFormat="1"/>
    <row r="16245" s="283" customFormat="1"/>
    <row r="16246" s="283" customFormat="1"/>
    <row r="16247" s="283" customFormat="1"/>
    <row r="16248" s="283" customFormat="1"/>
    <row r="16249" s="283" customFormat="1"/>
    <row r="16250" s="283" customFormat="1"/>
    <row r="16251" s="283" customFormat="1"/>
    <row r="16252" s="283" customFormat="1"/>
    <row r="16253" s="283" customFormat="1"/>
    <row r="16254" s="283" customFormat="1"/>
    <row r="16255" s="283" customFormat="1"/>
    <row r="16256" s="283" customFormat="1"/>
    <row r="16257" s="283" customFormat="1"/>
    <row r="16258" s="283" customFormat="1"/>
    <row r="16259" s="283" customFormat="1"/>
    <row r="16260" s="283" customFormat="1"/>
    <row r="16261" s="283" customFormat="1"/>
    <row r="16262" s="283" customFormat="1"/>
    <row r="16263" s="283" customFormat="1"/>
    <row r="16264" s="283" customFormat="1"/>
    <row r="16265" s="283" customFormat="1"/>
    <row r="16266" s="283" customFormat="1"/>
    <row r="16267" s="283" customFormat="1"/>
    <row r="16268" s="283" customFormat="1"/>
    <row r="16269" s="283" customFormat="1"/>
    <row r="16270" s="283" customFormat="1"/>
    <row r="16271" s="283" customFormat="1"/>
    <row r="16272" s="283" customFormat="1"/>
    <row r="16273" s="283" customFormat="1"/>
    <row r="16274" s="283" customFormat="1"/>
    <row r="16275" s="283" customFormat="1"/>
    <row r="16276" s="283" customFormat="1"/>
    <row r="16277" s="283" customFormat="1"/>
    <row r="16278" s="283" customFormat="1"/>
    <row r="16279" s="283" customFormat="1"/>
    <row r="16280" s="283" customFormat="1"/>
    <row r="16281" s="283" customFormat="1"/>
    <row r="16282" s="283" customFormat="1"/>
    <row r="16283" s="283" customFormat="1"/>
    <row r="16284" s="283" customFormat="1"/>
    <row r="16285" s="283" customFormat="1"/>
    <row r="16286" s="283" customFormat="1"/>
    <row r="16287" s="283" customFormat="1"/>
    <row r="16288" s="283" customFormat="1"/>
    <row r="16289" s="283" customFormat="1"/>
    <row r="16290" s="283" customFormat="1"/>
    <row r="16291" s="283" customFormat="1"/>
    <row r="16292" s="283" customFormat="1"/>
    <row r="16293" s="283" customFormat="1"/>
    <row r="16294" s="283" customFormat="1"/>
    <row r="16295" s="283" customFormat="1"/>
    <row r="16296" s="283" customFormat="1"/>
    <row r="16297" s="283" customFormat="1"/>
    <row r="16298" s="283" customFormat="1"/>
    <row r="16299" s="283" customFormat="1"/>
    <row r="16300" s="283" customFormat="1"/>
    <row r="16301" s="283" customFormat="1"/>
    <row r="16302" s="283" customFormat="1"/>
    <row r="16303" s="283" customFormat="1"/>
    <row r="16304" s="283" customFormat="1"/>
    <row r="16305" s="283" customFormat="1"/>
    <row r="16306" s="283" customFormat="1"/>
    <row r="16307" s="283" customFormat="1"/>
    <row r="16308" s="283" customFormat="1"/>
    <row r="16309" s="283" customFormat="1"/>
    <row r="16310" s="283" customFormat="1"/>
    <row r="16311" s="283" customFormat="1"/>
    <row r="16312" s="283" customFormat="1"/>
    <row r="16313" s="283" customFormat="1"/>
    <row r="16314" s="283" customFormat="1"/>
    <row r="16315" s="283" customFormat="1"/>
    <row r="16316" s="283" customFormat="1"/>
    <row r="16317" s="283" customFormat="1"/>
    <row r="16318" s="283" customFormat="1"/>
    <row r="16319" s="283" customFormat="1"/>
    <row r="16320" s="283" customFormat="1"/>
    <row r="16321" s="283" customFormat="1"/>
    <row r="16322" s="283" customFormat="1"/>
    <row r="16323" s="283" customFormat="1"/>
    <row r="16324" s="283" customFormat="1"/>
    <row r="16325" s="283" customFormat="1"/>
    <row r="16326" s="283" customFormat="1"/>
    <row r="16327" s="283" customFormat="1"/>
    <row r="16328" s="283" customFormat="1"/>
    <row r="16329" s="283" customFormat="1"/>
    <row r="16330" s="283" customFormat="1"/>
    <row r="16331" s="283" customFormat="1"/>
    <row r="16332" s="283" customFormat="1"/>
    <row r="16333" s="283" customFormat="1"/>
    <row r="16334" s="283" customFormat="1"/>
    <row r="16335" s="283" customFormat="1"/>
    <row r="16336" s="283" customFormat="1"/>
    <row r="16337" s="283" customFormat="1"/>
    <row r="16338" s="283" customFormat="1"/>
    <row r="16339" s="283" customFormat="1"/>
    <row r="16340" s="283" customFormat="1"/>
    <row r="16341" s="283" customFormat="1"/>
    <row r="16342" s="283" customFormat="1"/>
    <row r="16343" s="283" customFormat="1"/>
    <row r="16344" s="283" customFormat="1"/>
    <row r="16345" s="283" customFormat="1"/>
    <row r="16346" s="283" customFormat="1"/>
    <row r="16347" s="283" customFormat="1"/>
    <row r="16348" s="283" customFormat="1"/>
    <row r="16349" s="283" customFormat="1"/>
    <row r="16350" s="283" customFormat="1"/>
    <row r="16351" s="283" customFormat="1"/>
    <row r="16352" s="283" customFormat="1"/>
    <row r="16353" s="283" customFormat="1"/>
    <row r="16354" s="283" customFormat="1"/>
    <row r="16355" s="283" customFormat="1"/>
    <row r="16356" s="283" customFormat="1"/>
    <row r="16357" s="283" customFormat="1"/>
    <row r="16358" s="283" customFormat="1"/>
    <row r="16359" s="283" customFormat="1"/>
    <row r="16360" s="283" customFormat="1"/>
    <row r="16361" s="283" customFormat="1"/>
    <row r="16362" s="283" customFormat="1"/>
    <row r="16363" s="283" customFormat="1"/>
    <row r="16364" s="283" customFormat="1"/>
    <row r="16365" s="283" customFormat="1"/>
    <row r="16366" s="283" customFormat="1"/>
    <row r="16367" s="283" customFormat="1"/>
    <row r="16368" s="283" customFormat="1"/>
    <row r="16369" s="283" customFormat="1"/>
    <row r="16370" s="283" customFormat="1"/>
    <row r="16371" s="283" customFormat="1"/>
    <row r="16372" s="283" customFormat="1"/>
    <row r="16373" s="283" customFormat="1"/>
    <row r="16374" s="283" customFormat="1"/>
    <row r="16375" s="283" customFormat="1"/>
    <row r="16376" s="283" customFormat="1"/>
    <row r="16377" s="283" customFormat="1"/>
    <row r="16378" s="283" customFormat="1"/>
    <row r="16379" s="283" customFormat="1"/>
    <row r="16380" s="283" customFormat="1"/>
    <row r="16381" s="283" customFormat="1"/>
    <row r="16382" s="283" customFormat="1"/>
    <row r="16383" s="283" customFormat="1"/>
    <row r="16384" s="283" customFormat="1"/>
    <row r="16385" s="283" customFormat="1"/>
    <row r="16386" s="283" customFormat="1"/>
    <row r="16387" s="283" customFormat="1"/>
    <row r="16388" s="283" customFormat="1"/>
    <row r="16389" s="283" customFormat="1"/>
    <row r="16390" s="283" customFormat="1"/>
    <row r="16391" s="283" customFormat="1"/>
    <row r="16392" s="283" customFormat="1"/>
    <row r="16393" s="283" customFormat="1"/>
    <row r="16394" s="283" customFormat="1"/>
    <row r="16395" s="283" customFormat="1"/>
    <row r="16396" s="283" customFormat="1"/>
    <row r="16397" s="283" customFormat="1"/>
    <row r="16398" s="283" customFormat="1"/>
    <row r="16399" s="283" customFormat="1"/>
    <row r="16400" s="283" customFormat="1"/>
    <row r="16401" s="283" customFormat="1"/>
    <row r="16402" s="283" customFormat="1"/>
    <row r="16403" s="283" customFormat="1"/>
    <row r="16404" s="283" customFormat="1"/>
    <row r="16405" s="283" customFormat="1"/>
    <row r="16406" s="283" customFormat="1"/>
    <row r="16407" s="283" customFormat="1"/>
    <row r="16408" s="283" customFormat="1"/>
    <row r="16409" s="283" customFormat="1"/>
    <row r="16410" s="283" customFormat="1"/>
    <row r="16411" s="283" customFormat="1"/>
    <row r="16412" s="283" customFormat="1"/>
    <row r="16413" s="283" customFormat="1"/>
    <row r="16414" s="283" customFormat="1"/>
    <row r="16415" s="283" customFormat="1"/>
    <row r="16416" s="283" customFormat="1"/>
    <row r="16417" s="283" customFormat="1"/>
    <row r="16418" s="283" customFormat="1"/>
    <row r="16419" s="283" customFormat="1"/>
    <row r="16420" s="283" customFormat="1"/>
    <row r="16421" s="283" customFormat="1"/>
    <row r="16422" s="283" customFormat="1"/>
    <row r="16423" s="283" customFormat="1"/>
    <row r="16424" s="283" customFormat="1"/>
    <row r="16425" s="283" customFormat="1"/>
    <row r="16426" s="283" customFormat="1"/>
    <row r="16427" s="283" customFormat="1"/>
    <row r="16428" s="283" customFormat="1"/>
    <row r="16429" s="283" customFormat="1"/>
    <row r="16430" s="283" customFormat="1"/>
    <row r="16431" s="283" customFormat="1"/>
    <row r="16432" s="283" customFormat="1"/>
    <row r="16433" s="283" customFormat="1"/>
    <row r="16434" s="283" customFormat="1"/>
    <row r="16435" s="283" customFormat="1"/>
    <row r="16436" s="283" customFormat="1"/>
    <row r="16437" s="283" customFormat="1"/>
    <row r="16438" s="283" customFormat="1"/>
    <row r="16439" s="283" customFormat="1"/>
    <row r="16440" s="283" customFormat="1"/>
    <row r="16441" s="283" customFormat="1"/>
    <row r="16442" s="283" customFormat="1"/>
    <row r="16443" s="283" customFormat="1"/>
    <row r="16444" s="283" customFormat="1"/>
    <row r="16445" s="283" customFormat="1"/>
    <row r="16446" s="283" customFormat="1"/>
    <row r="16447" s="283" customFormat="1"/>
    <row r="16448" s="283" customFormat="1"/>
    <row r="16449" s="283" customFormat="1"/>
    <row r="16450" s="283" customFormat="1"/>
    <row r="16451" s="283" customFormat="1"/>
    <row r="16452" s="283" customFormat="1"/>
    <row r="16453" s="283" customFormat="1"/>
    <row r="16454" s="283" customFormat="1"/>
    <row r="16455" s="283" customFormat="1"/>
    <row r="16456" s="283" customFormat="1"/>
    <row r="16457" s="283" customFormat="1"/>
    <row r="16458" s="283" customFormat="1"/>
    <row r="16459" s="283" customFormat="1"/>
    <row r="16460" s="283" customFormat="1"/>
    <row r="16461" s="283" customFormat="1"/>
    <row r="16462" s="283" customFormat="1"/>
    <row r="16463" s="283" customFormat="1"/>
    <row r="16464" s="283" customFormat="1"/>
    <row r="16465" s="283" customFormat="1"/>
    <row r="16466" s="283" customFormat="1"/>
    <row r="16467" s="283" customFormat="1"/>
    <row r="16468" s="283" customFormat="1"/>
    <row r="16469" s="283" customFormat="1"/>
    <row r="16470" s="283" customFormat="1"/>
    <row r="16471" s="283" customFormat="1"/>
    <row r="16472" s="283" customFormat="1"/>
    <row r="16473" s="283" customFormat="1"/>
    <row r="16474" s="283" customFormat="1"/>
    <row r="16475" s="283" customFormat="1"/>
    <row r="16476" s="283" customFormat="1"/>
    <row r="16477" s="283" customFormat="1"/>
    <row r="16478" s="283" customFormat="1"/>
    <row r="16479" s="283" customFormat="1"/>
    <row r="16480" s="283" customFormat="1"/>
    <row r="16481" s="283" customFormat="1"/>
    <row r="16482" s="283" customFormat="1"/>
    <row r="16483" s="283" customFormat="1"/>
    <row r="16484" s="283" customFormat="1"/>
    <row r="16485" s="283" customFormat="1"/>
    <row r="16486" s="283" customFormat="1"/>
    <row r="16487" s="283" customFormat="1"/>
    <row r="16488" s="283" customFormat="1"/>
    <row r="16489" s="283" customFormat="1"/>
    <row r="16490" s="283" customFormat="1"/>
    <row r="16491" s="283" customFormat="1"/>
    <row r="16492" s="283" customFormat="1"/>
    <row r="16493" s="283" customFormat="1"/>
    <row r="16494" s="283" customFormat="1"/>
    <row r="16495" s="283" customFormat="1"/>
    <row r="16496" s="283" customFormat="1"/>
    <row r="16497" s="283" customFormat="1"/>
    <row r="16498" s="283" customFormat="1"/>
    <row r="16499" s="283" customFormat="1"/>
    <row r="16500" s="283" customFormat="1"/>
    <row r="16501" s="283" customFormat="1"/>
    <row r="16502" s="283" customFormat="1"/>
    <row r="16503" s="283" customFormat="1"/>
    <row r="16504" s="283" customFormat="1"/>
    <row r="16505" s="283" customFormat="1"/>
    <row r="16506" s="283" customFormat="1"/>
    <row r="16507" s="283" customFormat="1"/>
    <row r="16508" s="283" customFormat="1"/>
    <row r="16509" s="283" customFormat="1"/>
    <row r="16510" s="283" customFormat="1"/>
    <row r="16511" s="283" customFormat="1"/>
    <row r="16512" s="283" customFormat="1"/>
    <row r="16513" s="283" customFormat="1"/>
    <row r="16514" s="283" customFormat="1"/>
    <row r="16515" s="283" customFormat="1"/>
    <row r="16516" s="283" customFormat="1"/>
    <row r="16517" s="283" customFormat="1"/>
    <row r="16518" s="283" customFormat="1"/>
    <row r="16519" s="283" customFormat="1"/>
    <row r="16520" s="283" customFormat="1"/>
    <row r="16521" s="283" customFormat="1"/>
    <row r="16522" s="283" customFormat="1"/>
    <row r="16523" s="283" customFormat="1"/>
    <row r="16524" s="283" customFormat="1"/>
    <row r="16525" s="283" customFormat="1"/>
    <row r="16526" s="283" customFormat="1"/>
    <row r="16527" s="283" customFormat="1"/>
    <row r="16528" s="283" customFormat="1"/>
    <row r="16529" s="283" customFormat="1"/>
    <row r="16530" s="283" customFormat="1"/>
    <row r="16531" s="283" customFormat="1"/>
    <row r="16532" s="283" customFormat="1"/>
    <row r="16533" s="283" customFormat="1"/>
    <row r="16534" s="283" customFormat="1"/>
    <row r="16535" s="283" customFormat="1"/>
    <row r="16536" s="283" customFormat="1"/>
    <row r="16537" s="283" customFormat="1"/>
    <row r="16538" s="283" customFormat="1"/>
    <row r="16539" s="283" customFormat="1"/>
    <row r="16540" s="283" customFormat="1"/>
    <row r="16541" s="283" customFormat="1"/>
    <row r="16542" s="283" customFormat="1"/>
    <row r="16543" s="283" customFormat="1"/>
    <row r="16544" s="283" customFormat="1"/>
    <row r="16545" s="283" customFormat="1"/>
    <row r="16546" s="283" customFormat="1"/>
    <row r="16547" s="283" customFormat="1"/>
    <row r="16548" s="283" customFormat="1"/>
    <row r="16549" s="283" customFormat="1"/>
    <row r="16550" s="283" customFormat="1"/>
    <row r="16551" s="283" customFormat="1"/>
    <row r="16552" s="283" customFormat="1"/>
    <row r="16553" s="283" customFormat="1"/>
    <row r="16554" s="283" customFormat="1"/>
    <row r="16555" s="283" customFormat="1"/>
    <row r="16556" s="283" customFormat="1"/>
    <row r="16557" s="283" customFormat="1"/>
    <row r="16558" s="283" customFormat="1"/>
    <row r="16559" s="283" customFormat="1"/>
    <row r="16560" s="283" customFormat="1"/>
    <row r="16561" s="283" customFormat="1"/>
    <row r="16562" s="283" customFormat="1"/>
    <row r="16563" s="283" customFormat="1"/>
    <row r="16564" s="283" customFormat="1"/>
    <row r="16565" s="283" customFormat="1"/>
    <row r="16566" s="283" customFormat="1"/>
    <row r="16567" s="283" customFormat="1"/>
    <row r="16568" s="283" customFormat="1"/>
    <row r="16569" s="283" customFormat="1"/>
    <row r="16570" s="283" customFormat="1"/>
    <row r="16571" s="283" customFormat="1"/>
    <row r="16572" s="283" customFormat="1"/>
    <row r="16573" s="283" customFormat="1"/>
    <row r="16574" s="283" customFormat="1"/>
    <row r="16575" s="283" customFormat="1"/>
    <row r="16576" s="283" customFormat="1"/>
    <row r="16577" s="283" customFormat="1"/>
    <row r="16578" s="283" customFormat="1"/>
    <row r="16579" s="283" customFormat="1"/>
    <row r="16580" s="283" customFormat="1"/>
    <row r="16581" s="283" customFormat="1"/>
    <row r="16582" s="283" customFormat="1"/>
    <row r="16583" s="283" customFormat="1"/>
    <row r="16584" s="283" customFormat="1"/>
    <row r="16585" s="283" customFormat="1"/>
    <row r="16586" s="283" customFormat="1"/>
    <row r="16587" s="283" customFormat="1"/>
    <row r="16588" s="283" customFormat="1"/>
    <row r="16589" s="283" customFormat="1"/>
    <row r="16590" s="283" customFormat="1"/>
    <row r="16591" s="283" customFormat="1"/>
    <row r="16592" s="283" customFormat="1"/>
    <row r="16593" s="283" customFormat="1"/>
    <row r="16594" s="283" customFormat="1"/>
    <row r="16595" s="283" customFormat="1"/>
    <row r="16596" s="283" customFormat="1"/>
    <row r="16597" s="283" customFormat="1"/>
    <row r="16598" s="283" customFormat="1"/>
    <row r="16599" s="283" customFormat="1"/>
    <row r="16600" s="283" customFormat="1"/>
    <row r="16601" s="283" customFormat="1"/>
    <row r="16602" s="283" customFormat="1"/>
    <row r="16603" s="283" customFormat="1"/>
    <row r="16604" s="283" customFormat="1"/>
    <row r="16605" s="283" customFormat="1"/>
    <row r="16606" s="283" customFormat="1"/>
    <row r="16607" s="283" customFormat="1"/>
    <row r="16608" s="283" customFormat="1"/>
    <row r="16609" s="283" customFormat="1"/>
    <row r="16610" s="283" customFormat="1"/>
    <row r="16611" s="283" customFormat="1"/>
    <row r="16612" s="283" customFormat="1"/>
    <row r="16613" s="283" customFormat="1"/>
    <row r="16614" s="283" customFormat="1"/>
    <row r="16615" s="283" customFormat="1"/>
    <row r="16616" s="283" customFormat="1"/>
    <row r="16617" s="283" customFormat="1"/>
    <row r="16618" s="283" customFormat="1"/>
    <row r="16619" s="283" customFormat="1"/>
    <row r="16620" s="283" customFormat="1"/>
    <row r="16621" s="283" customFormat="1"/>
    <row r="16622" s="283" customFormat="1"/>
    <row r="16623" s="283" customFormat="1"/>
    <row r="16624" s="283" customFormat="1"/>
    <row r="16625" s="283" customFormat="1"/>
    <row r="16626" s="283" customFormat="1"/>
    <row r="16627" s="283" customFormat="1"/>
    <row r="16628" s="283" customFormat="1"/>
    <row r="16629" s="283" customFormat="1"/>
    <row r="16630" s="283" customFormat="1"/>
    <row r="16631" s="283" customFormat="1"/>
    <row r="16632" s="283" customFormat="1"/>
    <row r="16633" s="283" customFormat="1"/>
    <row r="16634" s="283" customFormat="1"/>
    <row r="16635" s="283" customFormat="1"/>
    <row r="16636" s="283" customFormat="1"/>
    <row r="16637" s="283" customFormat="1"/>
    <row r="16638" s="283" customFormat="1"/>
    <row r="16639" s="283" customFormat="1"/>
    <row r="16640" s="283" customFormat="1"/>
    <row r="16641" s="283" customFormat="1"/>
    <row r="16642" s="283" customFormat="1"/>
    <row r="16643" s="283" customFormat="1"/>
    <row r="16644" s="283" customFormat="1"/>
    <row r="16645" s="283" customFormat="1"/>
    <row r="16646" s="283" customFormat="1"/>
    <row r="16647" s="283" customFormat="1"/>
    <row r="16648" s="283" customFormat="1"/>
    <row r="16649" s="283" customFormat="1"/>
    <row r="16650" s="283" customFormat="1"/>
    <row r="16651" s="283" customFormat="1"/>
    <row r="16652" s="283" customFormat="1"/>
    <row r="16653" s="283" customFormat="1"/>
    <row r="16654" s="283" customFormat="1"/>
    <row r="16655" s="283" customFormat="1"/>
    <row r="16656" s="283" customFormat="1"/>
    <row r="16657" s="283" customFormat="1"/>
    <row r="16658" s="283" customFormat="1"/>
    <row r="16659" s="283" customFormat="1"/>
    <row r="16660" s="283" customFormat="1"/>
    <row r="16661" s="283" customFormat="1"/>
    <row r="16662" s="283" customFormat="1"/>
    <row r="16663" s="283" customFormat="1"/>
    <row r="16664" s="283" customFormat="1"/>
    <row r="16665" s="283" customFormat="1"/>
    <row r="16666" s="283" customFormat="1"/>
    <row r="16667" s="283" customFormat="1"/>
    <row r="16668" s="283" customFormat="1"/>
    <row r="16669" s="283" customFormat="1"/>
    <row r="16670" s="283" customFormat="1"/>
    <row r="16671" s="283" customFormat="1"/>
    <row r="16672" s="283" customFormat="1"/>
    <row r="16673" s="283" customFormat="1"/>
    <row r="16674" s="283" customFormat="1"/>
    <row r="16675" s="283" customFormat="1"/>
    <row r="16676" s="283" customFormat="1"/>
    <row r="16677" s="283" customFormat="1"/>
    <row r="16678" s="283" customFormat="1"/>
    <row r="16679" s="283" customFormat="1"/>
    <row r="16680" s="283" customFormat="1"/>
    <row r="16681" s="283" customFormat="1"/>
    <row r="16682" s="283" customFormat="1"/>
    <row r="16683" s="283" customFormat="1"/>
    <row r="16684" s="283" customFormat="1"/>
    <row r="16685" s="283" customFormat="1"/>
    <row r="16686" s="283" customFormat="1"/>
    <row r="16687" s="283" customFormat="1"/>
    <row r="16688" s="283" customFormat="1"/>
    <row r="16689" s="283" customFormat="1"/>
    <row r="16690" s="283" customFormat="1"/>
    <row r="16691" s="283" customFormat="1"/>
    <row r="16692" s="283" customFormat="1"/>
    <row r="16693" s="283" customFormat="1"/>
    <row r="16694" s="283" customFormat="1"/>
    <row r="16695" s="283" customFormat="1"/>
    <row r="16696" s="283" customFormat="1"/>
    <row r="16697" s="283" customFormat="1"/>
    <row r="16698" s="283" customFormat="1"/>
    <row r="16699" s="283" customFormat="1"/>
    <row r="16700" s="283" customFormat="1"/>
    <row r="16701" s="283" customFormat="1"/>
    <row r="16702" s="283" customFormat="1"/>
    <row r="16703" s="283" customFormat="1"/>
    <row r="16704" s="283" customFormat="1"/>
    <row r="16705" s="283" customFormat="1"/>
    <row r="16706" s="283" customFormat="1"/>
    <row r="16707" s="283" customFormat="1"/>
    <row r="16708" s="283" customFormat="1"/>
    <row r="16709" s="283" customFormat="1"/>
    <row r="16710" s="283" customFormat="1"/>
    <row r="16711" s="283" customFormat="1"/>
    <row r="16712" s="283" customFormat="1"/>
    <row r="16713" s="283" customFormat="1"/>
    <row r="16714" s="283" customFormat="1"/>
    <row r="16715" s="283" customFormat="1"/>
    <row r="16716" s="283" customFormat="1"/>
    <row r="16717" s="283" customFormat="1"/>
    <row r="16718" s="283" customFormat="1"/>
    <row r="16719" s="283" customFormat="1"/>
    <row r="16720" s="283" customFormat="1"/>
    <row r="16721" s="283" customFormat="1"/>
    <row r="16722" s="283" customFormat="1"/>
    <row r="16723" s="283" customFormat="1"/>
    <row r="16724" s="283" customFormat="1"/>
    <row r="16725" s="283" customFormat="1"/>
    <row r="16726" s="283" customFormat="1"/>
    <row r="16727" s="283" customFormat="1"/>
    <row r="16728" s="283" customFormat="1"/>
    <row r="16729" s="283" customFormat="1"/>
    <row r="16730" s="283" customFormat="1"/>
    <row r="16731" s="283" customFormat="1"/>
    <row r="16732" s="283" customFormat="1"/>
    <row r="16733" s="283" customFormat="1"/>
    <row r="16734" s="283" customFormat="1"/>
    <row r="16735" s="283" customFormat="1"/>
    <row r="16736" s="283" customFormat="1"/>
    <row r="16737" s="283" customFormat="1"/>
    <row r="16738" s="283" customFormat="1"/>
    <row r="16739" s="283" customFormat="1"/>
    <row r="16740" s="283" customFormat="1"/>
    <row r="16741" s="283" customFormat="1"/>
    <row r="16742" s="283" customFormat="1"/>
    <row r="16743" s="283" customFormat="1"/>
    <row r="16744" s="283" customFormat="1"/>
    <row r="16745" s="283" customFormat="1"/>
    <row r="16746" s="283" customFormat="1"/>
    <row r="16747" s="283" customFormat="1"/>
    <row r="16748" s="283" customFormat="1"/>
    <row r="16749" s="283" customFormat="1"/>
    <row r="16750" s="283" customFormat="1"/>
    <row r="16751" s="283" customFormat="1"/>
    <row r="16752" s="283" customFormat="1"/>
    <row r="16753" s="283" customFormat="1"/>
    <row r="16754" s="283" customFormat="1"/>
    <row r="16755" s="283" customFormat="1"/>
    <row r="16756" s="283" customFormat="1"/>
    <row r="16757" s="283" customFormat="1"/>
    <row r="16758" s="283" customFormat="1"/>
    <row r="16759" s="283" customFormat="1"/>
    <row r="16760" s="283" customFormat="1"/>
    <row r="16761" s="283" customFormat="1"/>
    <row r="16762" s="283" customFormat="1"/>
    <row r="16763" s="283" customFormat="1"/>
    <row r="16764" s="283" customFormat="1"/>
    <row r="16765" s="283" customFormat="1"/>
    <row r="16766" s="283" customFormat="1"/>
    <row r="16767" s="283" customFormat="1"/>
    <row r="16768" s="283" customFormat="1"/>
    <row r="16769" s="283" customFormat="1"/>
    <row r="16770" s="283" customFormat="1"/>
    <row r="16771" s="283" customFormat="1"/>
    <row r="16772" s="283" customFormat="1"/>
    <row r="16773" s="283" customFormat="1"/>
    <row r="16774" s="283" customFormat="1"/>
    <row r="16775" s="283" customFormat="1"/>
    <row r="16776" s="283" customFormat="1"/>
    <row r="16777" s="283" customFormat="1"/>
    <row r="16778" s="283" customFormat="1"/>
    <row r="16779" s="283" customFormat="1"/>
    <row r="16780" s="283" customFormat="1"/>
    <row r="16781" s="283" customFormat="1"/>
    <row r="16782" s="283" customFormat="1"/>
    <row r="16783" s="283" customFormat="1"/>
    <row r="16784" s="283" customFormat="1"/>
    <row r="16785" s="283" customFormat="1"/>
    <row r="16786" s="283" customFormat="1"/>
    <row r="16787" s="283" customFormat="1"/>
    <row r="16788" s="283" customFormat="1"/>
    <row r="16789" s="283" customFormat="1"/>
    <row r="16790" s="283" customFormat="1"/>
    <row r="16791" s="283" customFormat="1"/>
    <row r="16792" s="283" customFormat="1"/>
    <row r="16793" s="283" customFormat="1"/>
    <row r="16794" s="283" customFormat="1"/>
    <row r="16795" s="283" customFormat="1"/>
    <row r="16796" s="283" customFormat="1"/>
    <row r="16797" s="283" customFormat="1"/>
    <row r="16798" s="283" customFormat="1"/>
    <row r="16799" s="283" customFormat="1"/>
    <row r="16800" s="283" customFormat="1"/>
    <row r="16801" s="283" customFormat="1"/>
    <row r="16802" s="283" customFormat="1"/>
    <row r="16803" s="283" customFormat="1"/>
    <row r="16804" s="283" customFormat="1"/>
    <row r="16805" s="283" customFormat="1"/>
    <row r="16806" s="283" customFormat="1"/>
    <row r="16807" s="283" customFormat="1"/>
    <row r="16808" s="283" customFormat="1"/>
    <row r="16809" s="283" customFormat="1"/>
    <row r="16810" s="283" customFormat="1"/>
    <row r="16811" s="283" customFormat="1"/>
    <row r="16812" s="283" customFormat="1"/>
    <row r="16813" s="283" customFormat="1"/>
    <row r="16814" s="283" customFormat="1"/>
    <row r="16815" s="283" customFormat="1"/>
    <row r="16816" s="283" customFormat="1"/>
    <row r="16817" s="283" customFormat="1"/>
    <row r="16818" s="283" customFormat="1"/>
    <row r="16819" s="283" customFormat="1"/>
    <row r="16820" s="283" customFormat="1"/>
    <row r="16821" s="283" customFormat="1"/>
    <row r="16822" s="283" customFormat="1"/>
    <row r="16823" s="283" customFormat="1"/>
    <row r="16824" s="283" customFormat="1"/>
    <row r="16825" s="283" customFormat="1"/>
    <row r="16826" s="283" customFormat="1"/>
    <row r="16827" s="283" customFormat="1"/>
    <row r="16828" s="283" customFormat="1"/>
    <row r="16829" s="283" customFormat="1"/>
    <row r="16830" s="283" customFormat="1"/>
    <row r="16831" s="283" customFormat="1"/>
    <row r="16832" s="283" customFormat="1"/>
    <row r="16833" s="283" customFormat="1"/>
    <row r="16834" s="283" customFormat="1"/>
    <row r="16835" s="283" customFormat="1"/>
    <row r="16836" s="283" customFormat="1"/>
    <row r="16837" s="283" customFormat="1"/>
    <row r="16838" s="283" customFormat="1"/>
    <row r="16839" s="283" customFormat="1"/>
    <row r="16840" s="283" customFormat="1"/>
    <row r="16841" s="283" customFormat="1"/>
    <row r="16842" s="283" customFormat="1"/>
    <row r="16843" s="283" customFormat="1"/>
    <row r="16844" s="283" customFormat="1"/>
    <row r="16845" s="283" customFormat="1"/>
    <row r="16846" s="283" customFormat="1"/>
    <row r="16847" s="283" customFormat="1"/>
    <row r="16848" s="283" customFormat="1"/>
    <row r="16849" s="283" customFormat="1"/>
    <row r="16850" s="283" customFormat="1"/>
    <row r="16851" s="283" customFormat="1"/>
    <row r="16852" s="283" customFormat="1"/>
    <row r="16853" s="283" customFormat="1"/>
    <row r="16854" s="283" customFormat="1"/>
    <row r="16855" s="283" customFormat="1"/>
    <row r="16856" s="283" customFormat="1"/>
    <row r="16857" s="283" customFormat="1"/>
    <row r="16858" s="283" customFormat="1"/>
    <row r="16859" s="283" customFormat="1"/>
    <row r="16860" s="283" customFormat="1"/>
    <row r="16861" s="283" customFormat="1"/>
    <row r="16862" s="283" customFormat="1"/>
    <row r="16863" s="283" customFormat="1"/>
    <row r="16864" s="283" customFormat="1"/>
    <row r="16865" s="283" customFormat="1"/>
    <row r="16866" s="283" customFormat="1"/>
    <row r="16867" s="283" customFormat="1"/>
    <row r="16868" s="283" customFormat="1"/>
    <row r="16869" s="283" customFormat="1"/>
    <row r="16870" s="283" customFormat="1"/>
    <row r="16871" s="283" customFormat="1"/>
    <row r="16872" s="283" customFormat="1"/>
    <row r="16873" s="283" customFormat="1"/>
    <row r="16874" s="283" customFormat="1"/>
    <row r="16875" s="283" customFormat="1"/>
    <row r="16876" s="283" customFormat="1"/>
    <row r="16877" s="283" customFormat="1"/>
    <row r="16878" s="283" customFormat="1"/>
    <row r="16879" s="283" customFormat="1"/>
    <row r="16880" s="283" customFormat="1"/>
    <row r="16881" s="283" customFormat="1"/>
    <row r="16882" s="283" customFormat="1"/>
    <row r="16883" s="283" customFormat="1"/>
    <row r="16884" s="283" customFormat="1"/>
    <row r="16885" s="283" customFormat="1"/>
    <row r="16886" s="283" customFormat="1"/>
    <row r="16887" s="283" customFormat="1"/>
    <row r="16888" s="283" customFormat="1"/>
    <row r="16889" s="283" customFormat="1"/>
    <row r="16890" s="283" customFormat="1"/>
    <row r="16891" s="283" customFormat="1"/>
    <row r="16892" s="283" customFormat="1"/>
    <row r="16893" s="283" customFormat="1"/>
    <row r="16894" s="283" customFormat="1"/>
    <row r="16895" s="283" customFormat="1"/>
    <row r="16896" s="283" customFormat="1"/>
    <row r="16897" s="283" customFormat="1"/>
    <row r="16898" s="283" customFormat="1"/>
    <row r="16899" s="283" customFormat="1"/>
    <row r="16900" s="283" customFormat="1"/>
    <row r="16901" s="283" customFormat="1"/>
    <row r="16902" s="283" customFormat="1"/>
    <row r="16903" s="283" customFormat="1"/>
    <row r="16904" s="283" customFormat="1"/>
    <row r="16905" s="283" customFormat="1"/>
    <row r="16906" s="283" customFormat="1"/>
    <row r="16907" s="283" customFormat="1"/>
    <row r="16908" s="283" customFormat="1"/>
    <row r="16909" s="283" customFormat="1"/>
    <row r="16910" s="283" customFormat="1"/>
    <row r="16911" s="283" customFormat="1"/>
    <row r="16912" s="283" customFormat="1"/>
    <row r="16913" s="283" customFormat="1"/>
    <row r="16914" s="283" customFormat="1"/>
    <row r="16915" s="283" customFormat="1"/>
    <row r="16916" s="283" customFormat="1"/>
    <row r="16917" s="283" customFormat="1"/>
    <row r="16918" s="283" customFormat="1"/>
    <row r="16919" s="283" customFormat="1"/>
    <row r="16920" s="283" customFormat="1"/>
    <row r="16921" s="283" customFormat="1"/>
    <row r="16922" s="283" customFormat="1"/>
    <row r="16923" s="283" customFormat="1"/>
    <row r="16924" s="283" customFormat="1"/>
    <row r="16925" s="283" customFormat="1"/>
    <row r="16926" s="283" customFormat="1"/>
    <row r="16927" s="283" customFormat="1"/>
    <row r="16928" s="283" customFormat="1"/>
    <row r="16929" s="283" customFormat="1"/>
    <row r="16930" s="283" customFormat="1"/>
    <row r="16931" s="283" customFormat="1"/>
    <row r="16932" s="283" customFormat="1"/>
    <row r="16933" s="283" customFormat="1"/>
    <row r="16934" s="283" customFormat="1"/>
    <row r="16935" s="283" customFormat="1"/>
    <row r="16936" s="283" customFormat="1"/>
    <row r="16937" s="283" customFormat="1"/>
    <row r="16938" s="283" customFormat="1"/>
    <row r="16939" s="283" customFormat="1"/>
    <row r="16940" s="283" customFormat="1"/>
    <row r="16941" s="283" customFormat="1"/>
    <row r="16942" s="283" customFormat="1"/>
    <row r="16943" s="283" customFormat="1"/>
    <row r="16944" s="283" customFormat="1"/>
    <row r="16945" s="283" customFormat="1"/>
    <row r="16946" s="283" customFormat="1"/>
    <row r="16947" s="283" customFormat="1"/>
    <row r="16948" s="283" customFormat="1"/>
    <row r="16949" s="283" customFormat="1"/>
    <row r="16950" s="283" customFormat="1"/>
    <row r="16951" s="283" customFormat="1"/>
    <row r="16952" s="283" customFormat="1"/>
    <row r="16953" s="283" customFormat="1"/>
    <row r="16954" s="283" customFormat="1"/>
    <row r="16955" s="283" customFormat="1"/>
    <row r="16956" s="283" customFormat="1"/>
    <row r="16957" s="283" customFormat="1"/>
    <row r="16958" s="283" customFormat="1"/>
    <row r="16959" s="283" customFormat="1"/>
    <row r="16960" s="283" customFormat="1"/>
    <row r="16961" s="283" customFormat="1"/>
    <row r="16962" s="283" customFormat="1"/>
    <row r="16963" s="283" customFormat="1"/>
    <row r="16964" s="283" customFormat="1"/>
    <row r="16965" s="283" customFormat="1"/>
    <row r="16966" s="283" customFormat="1"/>
    <row r="16967" s="283" customFormat="1"/>
    <row r="16968" s="283" customFormat="1"/>
    <row r="16969" s="283" customFormat="1"/>
    <row r="16970" s="283" customFormat="1"/>
    <row r="16971" s="283" customFormat="1"/>
    <row r="16972" s="283" customFormat="1"/>
    <row r="16973" s="283" customFormat="1"/>
    <row r="16974" s="283" customFormat="1"/>
    <row r="16975" s="283" customFormat="1"/>
    <row r="16976" s="283" customFormat="1"/>
    <row r="16977" s="283" customFormat="1"/>
    <row r="16978" s="283" customFormat="1"/>
    <row r="16979" s="283" customFormat="1"/>
    <row r="16980" s="283" customFormat="1"/>
    <row r="16981" s="283" customFormat="1"/>
    <row r="16982" s="283" customFormat="1"/>
    <row r="16983" s="283" customFormat="1"/>
    <row r="16984" s="283" customFormat="1"/>
    <row r="16985" s="283" customFormat="1"/>
    <row r="16986" s="283" customFormat="1"/>
    <row r="16987" s="283" customFormat="1"/>
    <row r="16988" s="283" customFormat="1"/>
    <row r="16989" s="283" customFormat="1"/>
    <row r="16990" s="283" customFormat="1"/>
    <row r="16991" s="283" customFormat="1"/>
    <row r="16992" s="283" customFormat="1"/>
    <row r="16993" s="283" customFormat="1"/>
    <row r="16994" s="283" customFormat="1"/>
    <row r="16995" s="283" customFormat="1"/>
    <row r="16996" s="283" customFormat="1"/>
    <row r="16997" s="283" customFormat="1"/>
    <row r="16998" s="283" customFormat="1"/>
    <row r="16999" s="283" customFormat="1"/>
    <row r="17000" s="283" customFormat="1"/>
    <row r="17001" s="283" customFormat="1"/>
    <row r="17002" s="283" customFormat="1"/>
    <row r="17003" s="283" customFormat="1"/>
    <row r="17004" s="283" customFormat="1"/>
    <row r="17005" s="283" customFormat="1"/>
    <row r="17006" s="283" customFormat="1"/>
    <row r="17007" s="283" customFormat="1"/>
    <row r="17008" s="283" customFormat="1"/>
    <row r="17009" s="283" customFormat="1"/>
    <row r="17010" s="283" customFormat="1"/>
    <row r="17011" s="283" customFormat="1"/>
    <row r="17012" s="283" customFormat="1"/>
    <row r="17013" s="283" customFormat="1"/>
    <row r="17014" s="283" customFormat="1"/>
    <row r="17015" s="283" customFormat="1"/>
    <row r="17016" s="283" customFormat="1"/>
    <row r="17017" s="283" customFormat="1"/>
    <row r="17018" s="283" customFormat="1"/>
    <row r="17019" s="283" customFormat="1"/>
    <row r="17020" s="283" customFormat="1"/>
    <row r="17021" s="283" customFormat="1"/>
    <row r="17022" s="283" customFormat="1"/>
    <row r="17023" s="283" customFormat="1"/>
    <row r="17024" s="283" customFormat="1"/>
    <row r="17025" s="283" customFormat="1"/>
    <row r="17026" s="283" customFormat="1"/>
    <row r="17027" s="283" customFormat="1"/>
    <row r="17028" s="283" customFormat="1"/>
    <row r="17029" s="283" customFormat="1"/>
    <row r="17030" s="283" customFormat="1"/>
    <row r="17031" s="283" customFormat="1"/>
    <row r="17032" s="283" customFormat="1"/>
    <row r="17033" s="283" customFormat="1"/>
    <row r="17034" s="283" customFormat="1"/>
    <row r="17035" s="283" customFormat="1"/>
    <row r="17036" s="283" customFormat="1"/>
    <row r="17037" s="283" customFormat="1"/>
    <row r="17038" s="283" customFormat="1"/>
    <row r="17039" s="283" customFormat="1"/>
    <row r="17040" s="283" customFormat="1"/>
    <row r="17041" s="283" customFormat="1"/>
    <row r="17042" s="283" customFormat="1"/>
    <row r="17043" s="283" customFormat="1"/>
    <row r="17044" s="283" customFormat="1"/>
    <row r="17045" s="283" customFormat="1"/>
    <row r="17046" s="283" customFormat="1"/>
    <row r="17047" s="283" customFormat="1"/>
    <row r="17048" s="283" customFormat="1"/>
    <row r="17049" s="283" customFormat="1"/>
    <row r="17050" s="283" customFormat="1"/>
    <row r="17051" s="283" customFormat="1"/>
    <row r="17052" s="283" customFormat="1"/>
    <row r="17053" s="283" customFormat="1"/>
    <row r="17054" s="283" customFormat="1"/>
    <row r="17055" s="283" customFormat="1"/>
    <row r="17056" s="283" customFormat="1"/>
    <row r="17057" s="283" customFormat="1"/>
    <row r="17058" s="283" customFormat="1"/>
    <row r="17059" s="283" customFormat="1"/>
    <row r="17060" s="283" customFormat="1"/>
    <row r="17061" s="283" customFormat="1"/>
    <row r="17062" s="283" customFormat="1"/>
    <row r="17063" s="283" customFormat="1"/>
    <row r="17064" s="283" customFormat="1"/>
    <row r="17065" s="283" customFormat="1"/>
    <row r="17066" s="283" customFormat="1"/>
    <row r="17067" s="283" customFormat="1"/>
    <row r="17068" s="283" customFormat="1"/>
    <row r="17069" s="283" customFormat="1"/>
    <row r="17070" s="283" customFormat="1"/>
    <row r="17071" s="283" customFormat="1"/>
    <row r="17072" s="283" customFormat="1"/>
    <row r="17073" s="283" customFormat="1"/>
    <row r="17074" s="283" customFormat="1"/>
    <row r="17075" s="283" customFormat="1"/>
    <row r="17076" s="283" customFormat="1"/>
    <row r="17077" s="283" customFormat="1"/>
    <row r="17078" s="283" customFormat="1"/>
    <row r="17079" s="283" customFormat="1"/>
    <row r="17080" s="283" customFormat="1"/>
    <row r="17081" s="283" customFormat="1"/>
    <row r="17082" s="283" customFormat="1"/>
    <row r="17083" s="283" customFormat="1"/>
    <row r="17084" s="283" customFormat="1"/>
    <row r="17085" s="283" customFormat="1"/>
    <row r="17086" s="283" customFormat="1"/>
    <row r="17087" s="283" customFormat="1"/>
    <row r="17088" s="283" customFormat="1"/>
    <row r="17089" s="283" customFormat="1"/>
    <row r="17090" s="283" customFormat="1"/>
    <row r="17091" s="283" customFormat="1"/>
    <row r="17092" s="283" customFormat="1"/>
    <row r="17093" s="283" customFormat="1"/>
    <row r="17094" s="283" customFormat="1"/>
    <row r="17095" s="283" customFormat="1"/>
    <row r="17096" s="283" customFormat="1"/>
    <row r="17097" s="283" customFormat="1"/>
    <row r="17098" s="283" customFormat="1"/>
    <row r="17099" s="283" customFormat="1"/>
    <row r="17100" s="283" customFormat="1"/>
    <row r="17101" s="283" customFormat="1"/>
    <row r="17102" s="283" customFormat="1"/>
    <row r="17103" s="283" customFormat="1"/>
    <row r="17104" s="283" customFormat="1"/>
    <row r="17105" s="283" customFormat="1"/>
    <row r="17106" s="283" customFormat="1"/>
    <row r="17107" s="283" customFormat="1"/>
    <row r="17108" s="283" customFormat="1"/>
    <row r="17109" s="283" customFormat="1"/>
    <row r="17110" s="283" customFormat="1"/>
    <row r="17111" s="283" customFormat="1"/>
    <row r="17112" s="283" customFormat="1"/>
    <row r="17113" s="283" customFormat="1"/>
    <row r="17114" s="283" customFormat="1"/>
    <row r="17115" s="283" customFormat="1"/>
    <row r="17116" s="283" customFormat="1"/>
    <row r="17117" s="283" customFormat="1"/>
    <row r="17118" s="283" customFormat="1"/>
    <row r="17119" s="283" customFormat="1"/>
    <row r="17120" s="283" customFormat="1"/>
    <row r="17121" s="283" customFormat="1"/>
    <row r="17122" s="283" customFormat="1"/>
    <row r="17123" s="283" customFormat="1"/>
    <row r="17124" s="283" customFormat="1"/>
    <row r="17125" s="283" customFormat="1"/>
    <row r="17126" s="283" customFormat="1"/>
    <row r="17127" s="283" customFormat="1"/>
    <row r="17128" s="283" customFormat="1"/>
    <row r="17129" s="283" customFormat="1"/>
    <row r="17130" s="283" customFormat="1"/>
    <row r="17131" s="283" customFormat="1"/>
    <row r="17132" s="283" customFormat="1"/>
    <row r="17133" s="283" customFormat="1"/>
    <row r="17134" s="283" customFormat="1"/>
    <row r="17135" s="283" customFormat="1"/>
    <row r="17136" s="283" customFormat="1"/>
    <row r="17137" s="283" customFormat="1"/>
    <row r="17138" s="283" customFormat="1"/>
    <row r="17139" s="283" customFormat="1"/>
    <row r="17140" s="283" customFormat="1"/>
    <row r="17141" s="283" customFormat="1"/>
    <row r="17142" s="283" customFormat="1"/>
    <row r="17143" s="283" customFormat="1"/>
    <row r="17144" s="283" customFormat="1"/>
    <row r="17145" s="283" customFormat="1"/>
    <row r="17146" s="283" customFormat="1"/>
    <row r="17147" s="283" customFormat="1"/>
    <row r="17148" s="283" customFormat="1"/>
    <row r="17149" s="283" customFormat="1"/>
    <row r="17150" s="283" customFormat="1"/>
    <row r="17151" s="283" customFormat="1"/>
    <row r="17152" s="283" customFormat="1"/>
    <row r="17153" s="283" customFormat="1"/>
    <row r="17154" s="283" customFormat="1"/>
    <row r="17155" s="283" customFormat="1"/>
    <row r="17156" s="283" customFormat="1"/>
    <row r="17157" s="283" customFormat="1"/>
    <row r="17158" s="283" customFormat="1"/>
    <row r="17159" s="283" customFormat="1"/>
    <row r="17160" s="283" customFormat="1"/>
    <row r="17161" s="283" customFormat="1"/>
    <row r="17162" s="283" customFormat="1"/>
    <row r="17163" s="283" customFormat="1"/>
    <row r="17164" s="283" customFormat="1"/>
    <row r="17165" s="283" customFormat="1"/>
    <row r="17166" s="283" customFormat="1"/>
    <row r="17167" s="283" customFormat="1"/>
    <row r="17168" s="283" customFormat="1"/>
    <row r="17169" s="283" customFormat="1"/>
    <row r="17170" s="283" customFormat="1"/>
    <row r="17171" s="283" customFormat="1"/>
    <row r="17172" s="283" customFormat="1"/>
    <row r="17173" s="283" customFormat="1"/>
    <row r="17174" s="283" customFormat="1"/>
    <row r="17175" s="283" customFormat="1"/>
    <row r="17176" s="283" customFormat="1"/>
    <row r="17177" s="283" customFormat="1"/>
    <row r="17178" s="283" customFormat="1"/>
    <row r="17179" s="283" customFormat="1"/>
    <row r="17180" s="283" customFormat="1"/>
    <row r="17181" s="283" customFormat="1"/>
    <row r="17182" s="283" customFormat="1"/>
    <row r="17183" s="283" customFormat="1"/>
    <row r="17184" s="283" customFormat="1"/>
    <row r="17185" s="283" customFormat="1"/>
    <row r="17186" s="283" customFormat="1"/>
    <row r="17187" s="283" customFormat="1"/>
    <row r="17188" s="283" customFormat="1"/>
    <row r="17189" s="283" customFormat="1"/>
    <row r="17190" s="283" customFormat="1"/>
    <row r="17191" s="283" customFormat="1"/>
    <row r="17192" s="283" customFormat="1"/>
    <row r="17193" s="283" customFormat="1"/>
    <row r="17194" s="283" customFormat="1"/>
    <row r="17195" s="283" customFormat="1"/>
    <row r="17196" s="283" customFormat="1"/>
    <row r="17197" s="283" customFormat="1"/>
    <row r="17198" s="283" customFormat="1"/>
    <row r="17199" s="283" customFormat="1"/>
    <row r="17200" s="283" customFormat="1"/>
    <row r="17201" s="283" customFormat="1"/>
    <row r="17202" s="283" customFormat="1"/>
    <row r="17203" s="283" customFormat="1"/>
    <row r="17204" s="283" customFormat="1"/>
    <row r="17205" s="283" customFormat="1"/>
    <row r="17206" s="283" customFormat="1"/>
    <row r="17207" s="283" customFormat="1"/>
    <row r="17208" s="283" customFormat="1"/>
    <row r="17209" s="283" customFormat="1"/>
    <row r="17210" s="283" customFormat="1"/>
    <row r="17211" s="283" customFormat="1"/>
    <row r="17212" s="283" customFormat="1"/>
    <row r="17213" s="283" customFormat="1"/>
    <row r="17214" s="283" customFormat="1"/>
    <row r="17215" s="283" customFormat="1"/>
    <row r="17216" s="283" customFormat="1"/>
    <row r="17217" s="283" customFormat="1"/>
    <row r="17218" s="283" customFormat="1"/>
    <row r="17219" s="283" customFormat="1"/>
    <row r="17220" s="283" customFormat="1"/>
    <row r="17221" s="283" customFormat="1"/>
    <row r="17222" s="283" customFormat="1"/>
    <row r="17223" s="283" customFormat="1"/>
    <row r="17224" s="283" customFormat="1"/>
    <row r="17225" s="283" customFormat="1"/>
    <row r="17226" s="283" customFormat="1"/>
    <row r="17227" s="283" customFormat="1"/>
    <row r="17228" s="283" customFormat="1"/>
    <row r="17229" s="283" customFormat="1"/>
    <row r="17230" s="283" customFormat="1"/>
    <row r="17231" s="283" customFormat="1"/>
    <row r="17232" s="283" customFormat="1"/>
    <row r="17233" s="283" customFormat="1"/>
    <row r="17234" s="283" customFormat="1"/>
    <row r="17235" s="283" customFormat="1"/>
    <row r="17236" s="283" customFormat="1"/>
    <row r="17237" s="283" customFormat="1"/>
    <row r="17238" s="283" customFormat="1"/>
    <row r="17239" s="283" customFormat="1"/>
    <row r="17240" s="283" customFormat="1"/>
    <row r="17241" s="283" customFormat="1"/>
    <row r="17242" s="283" customFormat="1"/>
    <row r="17243" s="283" customFormat="1"/>
    <row r="17244" s="283" customFormat="1"/>
    <row r="17245" s="283" customFormat="1"/>
    <row r="17246" s="283" customFormat="1"/>
    <row r="17247" s="283" customFormat="1"/>
    <row r="17248" s="283" customFormat="1"/>
    <row r="17249" s="283" customFormat="1"/>
    <row r="17250" s="283" customFormat="1"/>
    <row r="17251" s="283" customFormat="1"/>
    <row r="17252" s="283" customFormat="1"/>
    <row r="17253" s="283" customFormat="1"/>
    <row r="17254" s="283" customFormat="1"/>
    <row r="17255" s="283" customFormat="1"/>
    <row r="17256" s="283" customFormat="1"/>
    <row r="17257" s="283" customFormat="1"/>
    <row r="17258" s="283" customFormat="1"/>
    <row r="17259" s="283" customFormat="1"/>
    <row r="17260" s="283" customFormat="1"/>
    <row r="17261" s="283" customFormat="1"/>
    <row r="17262" s="283" customFormat="1"/>
    <row r="17263" s="283" customFormat="1"/>
    <row r="17264" s="283" customFormat="1"/>
    <row r="17265" s="283" customFormat="1"/>
    <row r="17266" s="283" customFormat="1"/>
    <row r="17267" s="283" customFormat="1"/>
    <row r="17268" s="283" customFormat="1"/>
    <row r="17269" s="283" customFormat="1"/>
    <row r="17270" s="283" customFormat="1"/>
    <row r="17271" s="283" customFormat="1"/>
    <row r="17272" s="283" customFormat="1"/>
    <row r="17273" s="283" customFormat="1"/>
    <row r="17274" s="283" customFormat="1"/>
    <row r="17275" s="283" customFormat="1"/>
    <row r="17276" s="283" customFormat="1"/>
    <row r="17277" s="283" customFormat="1"/>
    <row r="17278" s="283" customFormat="1"/>
    <row r="17279" s="283" customFormat="1"/>
    <row r="17280" s="283" customFormat="1"/>
    <row r="17281" s="283" customFormat="1"/>
    <row r="17282" s="283" customFormat="1"/>
    <row r="17283" s="283" customFormat="1"/>
    <row r="17284" s="283" customFormat="1"/>
    <row r="17285" s="283" customFormat="1"/>
    <row r="17286" s="283" customFormat="1"/>
    <row r="17287" s="283" customFormat="1"/>
    <row r="17288" s="283" customFormat="1"/>
    <row r="17289" s="283" customFormat="1"/>
    <row r="17290" s="283" customFormat="1"/>
    <row r="17291" s="283" customFormat="1"/>
    <row r="17292" s="283" customFormat="1"/>
    <row r="17293" s="283" customFormat="1"/>
    <row r="17294" s="283" customFormat="1"/>
    <row r="17295" s="283" customFormat="1"/>
    <row r="17296" s="283" customFormat="1"/>
    <row r="17297" s="283" customFormat="1"/>
    <row r="17298" s="283" customFormat="1"/>
    <row r="17299" s="283" customFormat="1"/>
    <row r="17300" s="283" customFormat="1"/>
    <row r="17301" s="283" customFormat="1"/>
    <row r="17302" s="283" customFormat="1"/>
    <row r="17303" s="283" customFormat="1"/>
    <row r="17304" s="283" customFormat="1"/>
    <row r="17305" s="283" customFormat="1"/>
    <row r="17306" s="283" customFormat="1"/>
    <row r="17307" s="283" customFormat="1"/>
    <row r="17308" s="283" customFormat="1"/>
    <row r="17309" s="283" customFormat="1"/>
    <row r="17310" s="283" customFormat="1"/>
    <row r="17311" s="283" customFormat="1"/>
    <row r="17312" s="283" customFormat="1"/>
    <row r="17313" s="283" customFormat="1"/>
    <row r="17314" s="283" customFormat="1"/>
    <row r="17315" s="283" customFormat="1"/>
    <row r="17316" s="283" customFormat="1"/>
    <row r="17317" s="283" customFormat="1"/>
    <row r="17318" s="283" customFormat="1"/>
    <row r="17319" s="283" customFormat="1"/>
    <row r="17320" s="283" customFormat="1"/>
    <row r="17321" s="283" customFormat="1"/>
    <row r="17322" s="283" customFormat="1"/>
    <row r="17323" s="283" customFormat="1"/>
    <row r="17324" s="283" customFormat="1"/>
    <row r="17325" s="283" customFormat="1"/>
    <row r="17326" s="283" customFormat="1"/>
    <row r="17327" s="283" customFormat="1"/>
    <row r="17328" s="283" customFormat="1"/>
    <row r="17329" s="283" customFormat="1"/>
    <row r="17330" s="283" customFormat="1"/>
    <row r="17331" s="283" customFormat="1"/>
    <row r="17332" s="283" customFormat="1"/>
    <row r="17333" s="283" customFormat="1"/>
    <row r="17334" s="283" customFormat="1"/>
    <row r="17335" s="283" customFormat="1"/>
    <row r="17336" s="283" customFormat="1"/>
    <row r="17337" s="283" customFormat="1"/>
    <row r="17338" s="283" customFormat="1"/>
    <row r="17339" s="283" customFormat="1"/>
    <row r="17340" s="283" customFormat="1"/>
    <row r="17341" s="283" customFormat="1"/>
    <row r="17342" s="283" customFormat="1"/>
    <row r="17343" s="283" customFormat="1"/>
    <row r="17344" s="283" customFormat="1"/>
    <row r="17345" s="283" customFormat="1"/>
    <row r="17346" s="283" customFormat="1"/>
    <row r="17347" s="283" customFormat="1"/>
    <row r="17348" s="283" customFormat="1"/>
    <row r="17349" s="283" customFormat="1"/>
    <row r="17350" s="283" customFormat="1"/>
    <row r="17351" s="283" customFormat="1"/>
    <row r="17352" s="283" customFormat="1"/>
    <row r="17353" s="283" customFormat="1"/>
    <row r="17354" s="283" customFormat="1"/>
    <row r="17355" s="283" customFormat="1"/>
    <row r="17356" s="283" customFormat="1"/>
    <row r="17357" s="283" customFormat="1"/>
    <row r="17358" s="283" customFormat="1"/>
    <row r="17359" s="283" customFormat="1"/>
    <row r="17360" s="283" customFormat="1"/>
    <row r="17361" s="283" customFormat="1"/>
    <row r="17362" s="283" customFormat="1"/>
    <row r="17363" s="283" customFormat="1"/>
    <row r="17364" s="283" customFormat="1"/>
    <row r="17365" s="283" customFormat="1"/>
    <row r="17366" s="283" customFormat="1"/>
    <row r="17367" s="283" customFormat="1"/>
    <row r="17368" s="283" customFormat="1"/>
    <row r="17369" s="283" customFormat="1"/>
    <row r="17370" s="283" customFormat="1"/>
    <row r="17371" s="283" customFormat="1"/>
    <row r="17372" s="283" customFormat="1"/>
    <row r="17373" s="283" customFormat="1"/>
    <row r="17374" s="283" customFormat="1"/>
    <row r="17375" s="283" customFormat="1"/>
    <row r="17376" s="283" customFormat="1"/>
    <row r="17377" s="283" customFormat="1"/>
    <row r="17378" s="283" customFormat="1"/>
    <row r="17379" s="283" customFormat="1"/>
    <row r="17380" s="283" customFormat="1"/>
    <row r="17381" s="283" customFormat="1"/>
    <row r="17382" s="283" customFormat="1"/>
    <row r="17383" s="283" customFormat="1"/>
    <row r="17384" s="283" customFormat="1"/>
    <row r="17385" s="283" customFormat="1"/>
    <row r="17386" s="283" customFormat="1"/>
    <row r="17387" s="283" customFormat="1"/>
    <row r="17388" s="283" customFormat="1"/>
    <row r="17389" s="283" customFormat="1"/>
    <row r="17390" s="283" customFormat="1"/>
    <row r="17391" s="283" customFormat="1"/>
    <row r="17392" s="283" customFormat="1"/>
    <row r="17393" s="283" customFormat="1"/>
    <row r="17394" s="283" customFormat="1"/>
    <row r="17395" s="283" customFormat="1"/>
    <row r="17396" s="283" customFormat="1"/>
    <row r="17397" s="283" customFormat="1"/>
    <row r="17398" s="283" customFormat="1"/>
    <row r="17399" s="283" customFormat="1"/>
    <row r="17400" s="283" customFormat="1"/>
    <row r="17401" s="283" customFormat="1"/>
    <row r="17402" s="283" customFormat="1"/>
    <row r="17403" s="283" customFormat="1"/>
    <row r="17404" s="283" customFormat="1"/>
    <row r="17405" s="283" customFormat="1"/>
    <row r="17406" s="283" customFormat="1"/>
    <row r="17407" s="283" customFormat="1"/>
    <row r="17408" s="283" customFormat="1"/>
    <row r="17409" s="283" customFormat="1"/>
    <row r="17410" s="283" customFormat="1"/>
    <row r="17411" s="283" customFormat="1"/>
    <row r="17412" s="283" customFormat="1"/>
    <row r="17413" s="283" customFormat="1"/>
    <row r="17414" s="283" customFormat="1"/>
    <row r="17415" s="283" customFormat="1"/>
    <row r="17416" s="283" customFormat="1"/>
    <row r="17417" s="283" customFormat="1"/>
    <row r="17418" s="283" customFormat="1"/>
    <row r="17419" s="283" customFormat="1"/>
    <row r="17420" s="283" customFormat="1"/>
    <row r="17421" s="283" customFormat="1"/>
    <row r="17422" s="283" customFormat="1"/>
    <row r="17423" s="283" customFormat="1"/>
    <row r="17424" s="283" customFormat="1"/>
    <row r="17425" s="283" customFormat="1"/>
    <row r="17426" s="283" customFormat="1"/>
    <row r="17427" s="283" customFormat="1"/>
    <row r="17428" s="283" customFormat="1"/>
    <row r="17429" s="283" customFormat="1"/>
    <row r="17430" s="283" customFormat="1"/>
    <row r="17431" s="283" customFormat="1"/>
    <row r="17432" s="283" customFormat="1"/>
    <row r="17433" s="283" customFormat="1"/>
    <row r="17434" s="283" customFormat="1"/>
    <row r="17435" s="283" customFormat="1"/>
    <row r="17436" s="283" customFormat="1"/>
    <row r="17437" s="283" customFormat="1"/>
    <row r="17438" s="283" customFormat="1"/>
    <row r="17439" s="283" customFormat="1"/>
    <row r="17440" s="283" customFormat="1"/>
    <row r="17441" s="283" customFormat="1"/>
    <row r="17442" s="283" customFormat="1"/>
    <row r="17443" s="283" customFormat="1"/>
    <row r="17444" s="283" customFormat="1"/>
    <row r="17445" s="283" customFormat="1"/>
    <row r="17446" s="283" customFormat="1"/>
    <row r="17447" s="283" customFormat="1"/>
    <row r="17448" s="283" customFormat="1"/>
    <row r="17449" s="283" customFormat="1"/>
    <row r="17450" s="283" customFormat="1"/>
    <row r="17451" s="283" customFormat="1"/>
    <row r="17452" s="283" customFormat="1"/>
    <row r="17453" s="283" customFormat="1"/>
    <row r="17454" s="283" customFormat="1"/>
    <row r="17455" s="283" customFormat="1"/>
    <row r="17456" s="283" customFormat="1"/>
    <row r="17457" s="283" customFormat="1"/>
    <row r="17458" s="283" customFormat="1"/>
    <row r="17459" s="283" customFormat="1"/>
    <row r="17460" s="283" customFormat="1"/>
    <row r="17461" s="283" customFormat="1"/>
    <row r="17462" s="283" customFormat="1"/>
    <row r="17463" s="283" customFormat="1"/>
    <row r="17464" s="283" customFormat="1"/>
    <row r="17465" s="283" customFormat="1"/>
    <row r="17466" s="283" customFormat="1"/>
    <row r="17467" s="283" customFormat="1"/>
    <row r="17468" s="283" customFormat="1"/>
    <row r="17469" s="283" customFormat="1"/>
    <row r="17470" s="283" customFormat="1"/>
    <row r="17471" s="283" customFormat="1"/>
    <row r="17472" s="283" customFormat="1"/>
    <row r="17473" s="283" customFormat="1"/>
    <row r="17474" s="283" customFormat="1"/>
    <row r="17475" s="283" customFormat="1"/>
    <row r="17476" s="283" customFormat="1"/>
    <row r="17477" s="283" customFormat="1"/>
    <row r="17478" s="283" customFormat="1"/>
    <row r="17479" s="283" customFormat="1"/>
    <row r="17480" s="283" customFormat="1"/>
    <row r="17481" s="283" customFormat="1"/>
    <row r="17482" s="283" customFormat="1"/>
    <row r="17483" s="283" customFormat="1"/>
    <row r="17484" s="283" customFormat="1"/>
    <row r="17485" s="283" customFormat="1"/>
    <row r="17486" s="283" customFormat="1"/>
    <row r="17487" s="283" customFormat="1"/>
    <row r="17488" s="283" customFormat="1"/>
    <row r="17489" s="283" customFormat="1"/>
    <row r="17490" s="283" customFormat="1"/>
    <row r="17491" s="283" customFormat="1"/>
    <row r="17492" s="283" customFormat="1"/>
    <row r="17493" s="283" customFormat="1"/>
    <row r="17494" s="283" customFormat="1"/>
    <row r="17495" s="283" customFormat="1"/>
    <row r="17496" s="283" customFormat="1"/>
    <row r="17497" s="283" customFormat="1"/>
    <row r="17498" s="283" customFormat="1"/>
    <row r="17499" s="283" customFormat="1"/>
    <row r="17500" s="283" customFormat="1"/>
    <row r="17501" s="283" customFormat="1"/>
    <row r="17502" s="283" customFormat="1"/>
    <row r="17503" s="283" customFormat="1"/>
    <row r="17504" s="283" customFormat="1"/>
    <row r="17505" s="283" customFormat="1"/>
    <row r="17506" s="283" customFormat="1"/>
    <row r="17507" s="283" customFormat="1"/>
    <row r="17508" s="283" customFormat="1"/>
    <row r="17509" s="283" customFormat="1"/>
    <row r="17510" s="283" customFormat="1"/>
    <row r="17511" s="283" customFormat="1"/>
    <row r="17512" s="283" customFormat="1"/>
    <row r="17513" s="283" customFormat="1"/>
    <row r="17514" s="283" customFormat="1"/>
    <row r="17515" s="283" customFormat="1"/>
    <row r="17516" s="283" customFormat="1"/>
    <row r="17517" s="283" customFormat="1"/>
    <row r="17518" s="283" customFormat="1"/>
    <row r="17519" s="283" customFormat="1"/>
    <row r="17520" s="283" customFormat="1"/>
    <row r="17521" s="283" customFormat="1"/>
    <row r="17522" s="283" customFormat="1"/>
    <row r="17523" s="283" customFormat="1"/>
    <row r="17524" s="283" customFormat="1"/>
    <row r="17525" s="283" customFormat="1"/>
    <row r="17526" s="283" customFormat="1"/>
    <row r="17527" s="283" customFormat="1"/>
    <row r="17528" s="283" customFormat="1"/>
    <row r="17529" s="283" customFormat="1"/>
    <row r="17530" s="283" customFormat="1"/>
    <row r="17531" s="283" customFormat="1"/>
    <row r="17532" s="283" customFormat="1"/>
    <row r="17533" s="283" customFormat="1"/>
    <row r="17534" s="283" customFormat="1"/>
    <row r="17535" s="283" customFormat="1"/>
    <row r="17536" s="283" customFormat="1"/>
    <row r="17537" s="283" customFormat="1"/>
    <row r="17538" s="283" customFormat="1"/>
    <row r="17539" s="283" customFormat="1"/>
    <row r="17540" s="283" customFormat="1"/>
    <row r="17541" s="283" customFormat="1"/>
    <row r="17542" s="283" customFormat="1"/>
    <row r="17543" s="283" customFormat="1"/>
    <row r="17544" s="283" customFormat="1"/>
    <row r="17545" s="283" customFormat="1"/>
    <row r="17546" s="283" customFormat="1"/>
    <row r="17547" s="283" customFormat="1"/>
    <row r="17548" s="283" customFormat="1"/>
    <row r="17549" s="283" customFormat="1"/>
    <row r="17550" s="283" customFormat="1"/>
    <row r="17551" s="283" customFormat="1"/>
    <row r="17552" s="283" customFormat="1"/>
    <row r="17553" s="283" customFormat="1"/>
    <row r="17554" s="283" customFormat="1"/>
    <row r="17555" s="283" customFormat="1"/>
    <row r="17556" s="283" customFormat="1"/>
    <row r="17557" s="283" customFormat="1"/>
    <row r="17558" s="283" customFormat="1"/>
    <row r="17559" s="283" customFormat="1"/>
    <row r="17560" s="283" customFormat="1"/>
    <row r="17561" s="283" customFormat="1"/>
    <row r="17562" s="283" customFormat="1"/>
    <row r="17563" s="283" customFormat="1"/>
    <row r="17564" s="283" customFormat="1"/>
    <row r="17565" s="283" customFormat="1"/>
    <row r="17566" s="283" customFormat="1"/>
    <row r="17567" s="283" customFormat="1"/>
    <row r="17568" s="283" customFormat="1"/>
    <row r="17569" s="283" customFormat="1"/>
    <row r="17570" s="283" customFormat="1"/>
    <row r="17571" s="283" customFormat="1"/>
    <row r="17572" s="283" customFormat="1"/>
    <row r="17573" s="283" customFormat="1"/>
    <row r="17574" s="283" customFormat="1"/>
    <row r="17575" s="283" customFormat="1"/>
    <row r="17576" s="283" customFormat="1"/>
    <row r="17577" s="283" customFormat="1"/>
    <row r="17578" s="283" customFormat="1"/>
    <row r="17579" s="283" customFormat="1"/>
    <row r="17580" s="283" customFormat="1"/>
    <row r="17581" s="283" customFormat="1"/>
    <row r="17582" s="283" customFormat="1"/>
    <row r="17583" s="283" customFormat="1"/>
    <row r="17584" s="283" customFormat="1"/>
    <row r="17585" s="283" customFormat="1"/>
    <row r="17586" s="283" customFormat="1"/>
    <row r="17587" s="283" customFormat="1"/>
    <row r="17588" s="283" customFormat="1"/>
    <row r="17589" s="283" customFormat="1"/>
    <row r="17590" s="283" customFormat="1"/>
    <row r="17591" s="283" customFormat="1"/>
    <row r="17592" s="283" customFormat="1"/>
    <row r="17593" s="283" customFormat="1"/>
    <row r="17594" s="283" customFormat="1"/>
    <row r="17595" s="283" customFormat="1"/>
    <row r="17596" s="283" customFormat="1"/>
    <row r="17597" s="283" customFormat="1"/>
    <row r="17598" s="283" customFormat="1"/>
    <row r="17599" s="283" customFormat="1"/>
    <row r="17600" s="283" customFormat="1"/>
    <row r="17601" s="283" customFormat="1"/>
    <row r="17602" s="283" customFormat="1"/>
    <row r="17603" s="283" customFormat="1"/>
    <row r="17604" s="283" customFormat="1"/>
    <row r="17605" s="283" customFormat="1"/>
    <row r="17606" s="283" customFormat="1"/>
    <row r="17607" s="283" customFormat="1"/>
    <row r="17608" s="283" customFormat="1"/>
    <row r="17609" s="283" customFormat="1"/>
    <row r="17610" s="283" customFormat="1"/>
    <row r="17611" s="283" customFormat="1"/>
    <row r="17612" s="283" customFormat="1"/>
    <row r="17613" s="283" customFormat="1"/>
    <row r="17614" s="283" customFormat="1"/>
    <row r="17615" s="283" customFormat="1"/>
    <row r="17616" s="283" customFormat="1"/>
    <row r="17617" s="283" customFormat="1"/>
    <row r="17618" s="283" customFormat="1"/>
    <row r="17619" s="283" customFormat="1"/>
    <row r="17620" s="283" customFormat="1"/>
    <row r="17621" s="283" customFormat="1"/>
    <row r="17622" s="283" customFormat="1"/>
    <row r="17623" s="283" customFormat="1"/>
    <row r="17624" s="283" customFormat="1"/>
    <row r="17625" s="283" customFormat="1"/>
    <row r="17626" s="283" customFormat="1"/>
    <row r="17627" s="283" customFormat="1"/>
    <row r="17628" s="283" customFormat="1"/>
    <row r="17629" s="283" customFormat="1"/>
    <row r="17630" s="283" customFormat="1"/>
    <row r="17631" s="283" customFormat="1"/>
    <row r="17632" s="283" customFormat="1"/>
    <row r="17633" s="283" customFormat="1"/>
    <row r="17634" s="283" customFormat="1"/>
    <row r="17635" s="283" customFormat="1"/>
    <row r="17636" s="283" customFormat="1"/>
    <row r="17637" s="283" customFormat="1"/>
    <row r="17638" s="283" customFormat="1"/>
    <row r="17639" s="283" customFormat="1"/>
    <row r="17640" s="283" customFormat="1"/>
    <row r="17641" s="283" customFormat="1"/>
    <row r="17642" s="283" customFormat="1"/>
    <row r="17643" s="283" customFormat="1"/>
    <row r="17644" s="283" customFormat="1"/>
    <row r="17645" s="283" customFormat="1"/>
    <row r="17646" s="283" customFormat="1"/>
    <row r="17647" s="283" customFormat="1"/>
    <row r="17648" s="283" customFormat="1"/>
    <row r="17649" s="283" customFormat="1"/>
    <row r="17650" s="283" customFormat="1"/>
    <row r="17651" s="283" customFormat="1"/>
    <row r="17652" s="283" customFormat="1"/>
    <row r="17653" s="283" customFormat="1"/>
    <row r="17654" s="283" customFormat="1"/>
    <row r="17655" s="283" customFormat="1"/>
    <row r="17656" s="283" customFormat="1"/>
    <row r="17657" s="283" customFormat="1"/>
    <row r="17658" s="283" customFormat="1"/>
    <row r="17659" s="283" customFormat="1"/>
    <row r="17660" s="283" customFormat="1"/>
    <row r="17661" s="283" customFormat="1"/>
    <row r="17662" s="283" customFormat="1"/>
    <row r="17663" s="283" customFormat="1"/>
    <row r="17664" s="283" customFormat="1"/>
    <row r="17665" s="283" customFormat="1"/>
    <row r="17666" s="283" customFormat="1"/>
    <row r="17667" s="283" customFormat="1"/>
    <row r="17668" s="283" customFormat="1"/>
    <row r="17669" s="283" customFormat="1"/>
    <row r="17670" s="283" customFormat="1"/>
    <row r="17671" s="283" customFormat="1"/>
    <row r="17672" s="283" customFormat="1"/>
    <row r="17673" s="283" customFormat="1"/>
    <row r="17674" s="283" customFormat="1"/>
    <row r="17675" s="283" customFormat="1"/>
    <row r="17676" s="283" customFormat="1"/>
    <row r="17677" s="283" customFormat="1"/>
    <row r="17678" s="283" customFormat="1"/>
    <row r="17679" s="283" customFormat="1"/>
    <row r="17680" s="283" customFormat="1"/>
    <row r="17681" s="283" customFormat="1"/>
    <row r="17682" s="283" customFormat="1"/>
    <row r="17683" s="283" customFormat="1"/>
    <row r="17684" s="283" customFormat="1"/>
    <row r="17685" s="283" customFormat="1"/>
    <row r="17686" s="283" customFormat="1"/>
    <row r="17687" s="283" customFormat="1"/>
    <row r="17688" s="283" customFormat="1"/>
    <row r="17689" s="283" customFormat="1"/>
    <row r="17690" s="283" customFormat="1"/>
    <row r="17691" s="283" customFormat="1"/>
    <row r="17692" s="283" customFormat="1"/>
    <row r="17693" s="283" customFormat="1"/>
    <row r="17694" s="283" customFormat="1"/>
    <row r="17695" s="283" customFormat="1"/>
    <row r="17696" s="283" customFormat="1"/>
    <row r="17697" s="283" customFormat="1"/>
    <row r="17698" s="283" customFormat="1"/>
    <row r="17699" s="283" customFormat="1"/>
    <row r="17700" s="283" customFormat="1"/>
    <row r="17701" s="283" customFormat="1"/>
    <row r="17702" s="283" customFormat="1"/>
    <row r="17703" s="283" customFormat="1"/>
    <row r="17704" s="283" customFormat="1"/>
    <row r="17705" s="283" customFormat="1"/>
    <row r="17706" s="283" customFormat="1"/>
    <row r="17707" s="283" customFormat="1"/>
    <row r="17708" s="283" customFormat="1"/>
    <row r="17709" s="283" customFormat="1"/>
    <row r="17710" s="283" customFormat="1"/>
    <row r="17711" s="283" customFormat="1"/>
    <row r="17712" s="283" customFormat="1"/>
    <row r="17713" s="283" customFormat="1"/>
    <row r="17714" s="283" customFormat="1"/>
    <row r="17715" s="283" customFormat="1"/>
    <row r="17716" s="283" customFormat="1"/>
    <row r="17717" s="283" customFormat="1"/>
    <row r="17718" s="283" customFormat="1"/>
    <row r="17719" s="283" customFormat="1"/>
    <row r="17720" s="283" customFormat="1"/>
    <row r="17721" s="283" customFormat="1"/>
    <row r="17722" s="283" customFormat="1"/>
    <row r="17723" s="283" customFormat="1"/>
    <row r="17724" s="283" customFormat="1"/>
    <row r="17725" s="283" customFormat="1"/>
    <row r="17726" s="283" customFormat="1"/>
    <row r="17727" s="283" customFormat="1"/>
    <row r="17728" s="283" customFormat="1"/>
    <row r="17729" s="283" customFormat="1"/>
    <row r="17730" s="283" customFormat="1"/>
    <row r="17731" s="283" customFormat="1"/>
    <row r="17732" s="283" customFormat="1"/>
    <row r="17733" s="283" customFormat="1"/>
    <row r="17734" s="283" customFormat="1"/>
    <row r="17735" s="283" customFormat="1"/>
    <row r="17736" s="283" customFormat="1"/>
    <row r="17737" s="283" customFormat="1"/>
    <row r="17738" s="283" customFormat="1"/>
    <row r="17739" s="283" customFormat="1"/>
    <row r="17740" s="283" customFormat="1"/>
    <row r="17741" s="283" customFormat="1"/>
    <row r="17742" s="283" customFormat="1"/>
    <row r="17743" s="283" customFormat="1"/>
    <row r="17744" s="283" customFormat="1"/>
    <row r="17745" s="283" customFormat="1"/>
    <row r="17746" s="283" customFormat="1"/>
    <row r="17747" s="283" customFormat="1"/>
    <row r="17748" s="283" customFormat="1"/>
    <row r="17749" s="283" customFormat="1"/>
    <row r="17750" s="283" customFormat="1"/>
    <row r="17751" s="283" customFormat="1"/>
    <row r="17752" s="283" customFormat="1"/>
    <row r="17753" s="283" customFormat="1"/>
    <row r="17754" s="283" customFormat="1"/>
    <row r="17755" s="283" customFormat="1"/>
    <row r="17756" s="283" customFormat="1"/>
    <row r="17757" s="283" customFormat="1"/>
    <row r="17758" s="283" customFormat="1"/>
    <row r="17759" s="283" customFormat="1"/>
    <row r="17760" s="283" customFormat="1"/>
    <row r="17761" s="283" customFormat="1"/>
    <row r="17762" s="283" customFormat="1"/>
    <row r="17763" s="283" customFormat="1"/>
    <row r="17764" s="283" customFormat="1"/>
    <row r="17765" s="283" customFormat="1"/>
    <row r="17766" s="283" customFormat="1"/>
    <row r="17767" s="283" customFormat="1"/>
    <row r="17768" s="283" customFormat="1"/>
    <row r="17769" s="283" customFormat="1"/>
    <row r="17770" s="283" customFormat="1"/>
    <row r="17771" s="283" customFormat="1"/>
    <row r="17772" s="283" customFormat="1"/>
    <row r="17773" s="283" customFormat="1"/>
    <row r="17774" s="283" customFormat="1"/>
    <row r="17775" s="283" customFormat="1"/>
    <row r="17776" s="283" customFormat="1"/>
    <row r="17777" s="283" customFormat="1"/>
    <row r="17778" s="283" customFormat="1"/>
    <row r="17779" s="283" customFormat="1"/>
    <row r="17780" s="283" customFormat="1"/>
    <row r="17781" s="283" customFormat="1"/>
    <row r="17782" s="283" customFormat="1"/>
    <row r="17783" s="283" customFormat="1"/>
    <row r="17784" s="283" customFormat="1"/>
    <row r="17785" s="283" customFormat="1"/>
    <row r="17786" s="283" customFormat="1"/>
    <row r="17787" s="283" customFormat="1"/>
    <row r="17788" s="283" customFormat="1"/>
    <row r="17789" s="283" customFormat="1"/>
    <row r="17790" s="283" customFormat="1"/>
    <row r="17791" s="283" customFormat="1"/>
    <row r="17792" s="283" customFormat="1"/>
    <row r="17793" s="283" customFormat="1"/>
    <row r="17794" s="283" customFormat="1"/>
    <row r="17795" s="283" customFormat="1"/>
    <row r="17796" s="283" customFormat="1"/>
    <row r="17797" s="283" customFormat="1"/>
    <row r="17798" s="283" customFormat="1"/>
    <row r="17799" s="283" customFormat="1"/>
    <row r="17800" s="283" customFormat="1"/>
    <row r="17801" s="283" customFormat="1"/>
    <row r="17802" s="283" customFormat="1"/>
    <row r="17803" s="283" customFormat="1"/>
    <row r="17804" s="283" customFormat="1"/>
    <row r="17805" s="283" customFormat="1"/>
    <row r="17806" s="283" customFormat="1"/>
    <row r="17807" s="283" customFormat="1"/>
    <row r="17808" s="283" customFormat="1"/>
    <row r="17809" s="283" customFormat="1"/>
    <row r="17810" s="283" customFormat="1"/>
    <row r="17811" s="283" customFormat="1"/>
    <row r="17812" s="283" customFormat="1"/>
    <row r="17813" s="283" customFormat="1"/>
    <row r="17814" s="283" customFormat="1"/>
    <row r="17815" s="283" customFormat="1"/>
    <row r="17816" s="283" customFormat="1"/>
    <row r="17817" s="283" customFormat="1"/>
    <row r="17818" s="283" customFormat="1"/>
    <row r="17819" s="283" customFormat="1"/>
    <row r="17820" s="283" customFormat="1"/>
    <row r="17821" s="283" customFormat="1"/>
    <row r="17822" s="283" customFormat="1"/>
    <row r="17823" s="283" customFormat="1"/>
    <row r="17824" s="283" customFormat="1"/>
    <row r="17825" s="283" customFormat="1"/>
    <row r="17826" s="283" customFormat="1"/>
    <row r="17827" s="283" customFormat="1"/>
    <row r="17828" s="283" customFormat="1"/>
    <row r="17829" s="283" customFormat="1"/>
    <row r="17830" s="283" customFormat="1"/>
    <row r="17831" s="283" customFormat="1"/>
    <row r="17832" s="283" customFormat="1"/>
    <row r="17833" s="283" customFormat="1"/>
    <row r="17834" s="283" customFormat="1"/>
    <row r="17835" s="283" customFormat="1"/>
    <row r="17836" s="283" customFormat="1"/>
    <row r="17837" s="283" customFormat="1"/>
    <row r="17838" s="283" customFormat="1"/>
    <row r="17839" s="283" customFormat="1"/>
    <row r="17840" s="283" customFormat="1"/>
    <row r="17841" s="283" customFormat="1"/>
    <row r="17842" s="283" customFormat="1"/>
    <row r="17843" s="283" customFormat="1"/>
    <row r="17844" s="283" customFormat="1"/>
    <row r="17845" s="283" customFormat="1"/>
    <row r="17846" s="283" customFormat="1"/>
    <row r="17847" s="283" customFormat="1"/>
    <row r="17848" s="283" customFormat="1"/>
    <row r="17849" s="283" customFormat="1"/>
    <row r="17850" s="283" customFormat="1"/>
    <row r="17851" s="283" customFormat="1"/>
    <row r="17852" s="283" customFormat="1"/>
    <row r="17853" s="283" customFormat="1"/>
    <row r="17854" s="283" customFormat="1"/>
    <row r="17855" s="283" customFormat="1"/>
    <row r="17856" s="283" customFormat="1"/>
    <row r="17857" s="283" customFormat="1"/>
    <row r="17858" s="283" customFormat="1"/>
    <row r="17859" s="283" customFormat="1"/>
    <row r="17860" s="283" customFormat="1"/>
    <row r="17861" s="283" customFormat="1"/>
    <row r="17862" s="283" customFormat="1"/>
    <row r="17863" s="283" customFormat="1"/>
    <row r="17864" s="283" customFormat="1"/>
    <row r="17865" s="283" customFormat="1"/>
    <row r="17866" s="283" customFormat="1"/>
    <row r="17867" s="283" customFormat="1"/>
    <row r="17868" s="283" customFormat="1"/>
    <row r="17869" s="283" customFormat="1"/>
    <row r="17870" s="283" customFormat="1"/>
    <row r="17871" s="283" customFormat="1"/>
    <row r="17872" s="283" customFormat="1"/>
    <row r="17873" s="283" customFormat="1"/>
    <row r="17874" s="283" customFormat="1"/>
    <row r="17875" s="283" customFormat="1"/>
    <row r="17876" s="283" customFormat="1"/>
    <row r="17877" s="283" customFormat="1"/>
    <row r="17878" s="283" customFormat="1"/>
    <row r="17879" s="283" customFormat="1"/>
    <row r="17880" s="283" customFormat="1"/>
    <row r="17881" s="283" customFormat="1"/>
    <row r="17882" s="283" customFormat="1"/>
    <row r="17883" s="283" customFormat="1"/>
    <row r="17884" s="283" customFormat="1"/>
    <row r="17885" s="283" customFormat="1"/>
    <row r="17886" s="283" customFormat="1"/>
    <row r="17887" s="283" customFormat="1"/>
    <row r="17888" s="283" customFormat="1"/>
    <row r="17889" s="283" customFormat="1"/>
    <row r="17890" s="283" customFormat="1"/>
    <row r="17891" s="283" customFormat="1"/>
    <row r="17892" s="283" customFormat="1"/>
    <row r="17893" s="283" customFormat="1"/>
    <row r="17894" s="283" customFormat="1"/>
    <row r="17895" s="283" customFormat="1"/>
    <row r="17896" s="283" customFormat="1"/>
    <row r="17897" s="283" customFormat="1"/>
    <row r="17898" s="283" customFormat="1"/>
    <row r="17899" s="283" customFormat="1"/>
    <row r="17900" s="283" customFormat="1"/>
    <row r="17901" s="283" customFormat="1"/>
    <row r="17902" s="283" customFormat="1"/>
    <row r="17903" s="283" customFormat="1"/>
    <row r="17904" s="283" customFormat="1"/>
    <row r="17905" s="283" customFormat="1"/>
    <row r="17906" s="283" customFormat="1"/>
    <row r="17907" s="283" customFormat="1"/>
    <row r="17908" s="283" customFormat="1"/>
    <row r="17909" s="283" customFormat="1"/>
    <row r="17910" s="283" customFormat="1"/>
    <row r="17911" s="283" customFormat="1"/>
    <row r="17912" s="283" customFormat="1"/>
    <row r="17913" s="283" customFormat="1"/>
    <row r="17914" s="283" customFormat="1"/>
    <row r="17915" s="283" customFormat="1"/>
    <row r="17916" s="283" customFormat="1"/>
    <row r="17917" s="283" customFormat="1"/>
    <row r="17918" s="283" customFormat="1"/>
    <row r="17919" s="283" customFormat="1"/>
    <row r="17920" s="283" customFormat="1"/>
    <row r="17921" s="283" customFormat="1"/>
    <row r="17922" s="283" customFormat="1"/>
    <row r="17923" s="283" customFormat="1"/>
    <row r="17924" s="283" customFormat="1"/>
    <row r="17925" s="283" customFormat="1"/>
    <row r="17926" s="283" customFormat="1"/>
    <row r="17927" s="283" customFormat="1"/>
    <row r="17928" s="283" customFormat="1"/>
    <row r="17929" s="283" customFormat="1"/>
    <row r="17930" s="283" customFormat="1"/>
    <row r="17931" s="283" customFormat="1"/>
    <row r="17932" s="283" customFormat="1"/>
    <row r="17933" s="283" customFormat="1"/>
    <row r="17934" s="283" customFormat="1"/>
    <row r="17935" s="283" customFormat="1"/>
    <row r="17936" s="283" customFormat="1"/>
    <row r="17937" s="283" customFormat="1"/>
    <row r="17938" s="283" customFormat="1"/>
    <row r="17939" s="283" customFormat="1"/>
    <row r="17940" s="283" customFormat="1"/>
    <row r="17941" s="283" customFormat="1"/>
    <row r="17942" s="283" customFormat="1"/>
    <row r="17943" s="283" customFormat="1"/>
    <row r="17944" s="283" customFormat="1"/>
    <row r="17945" s="283" customFormat="1"/>
    <row r="17946" s="283" customFormat="1"/>
    <row r="17947" s="283" customFormat="1"/>
    <row r="17948" s="283" customFormat="1"/>
    <row r="17949" s="283" customFormat="1"/>
    <row r="17950" s="283" customFormat="1"/>
    <row r="17951" s="283" customFormat="1"/>
    <row r="17952" s="283" customFormat="1"/>
    <row r="17953" s="283" customFormat="1"/>
    <row r="17954" s="283" customFormat="1"/>
    <row r="17955" s="283" customFormat="1"/>
    <row r="17956" s="283" customFormat="1"/>
    <row r="17957" s="283" customFormat="1"/>
    <row r="17958" s="283" customFormat="1"/>
    <row r="17959" s="283" customFormat="1"/>
    <row r="17960" s="283" customFormat="1"/>
    <row r="17961" s="283" customFormat="1"/>
    <row r="17962" s="283" customFormat="1"/>
    <row r="17963" s="283" customFormat="1"/>
    <row r="17964" s="283" customFormat="1"/>
    <row r="17965" s="283" customFormat="1"/>
    <row r="17966" s="283" customFormat="1"/>
    <row r="17967" s="283" customFormat="1"/>
    <row r="17968" s="283" customFormat="1"/>
    <row r="17969" s="283" customFormat="1"/>
    <row r="17970" s="283" customFormat="1"/>
    <row r="17971" s="283" customFormat="1"/>
    <row r="17972" s="283" customFormat="1"/>
    <row r="17973" s="283" customFormat="1"/>
    <row r="17974" s="283" customFormat="1"/>
    <row r="17975" s="283" customFormat="1"/>
    <row r="17976" s="283" customFormat="1"/>
    <row r="17977" s="283" customFormat="1"/>
    <row r="17978" s="283" customFormat="1"/>
    <row r="17979" s="283" customFormat="1"/>
    <row r="17980" s="283" customFormat="1"/>
    <row r="17981" s="283" customFormat="1"/>
    <row r="17982" s="283" customFormat="1"/>
    <row r="17983" s="283" customFormat="1"/>
    <row r="17984" s="283" customFormat="1"/>
    <row r="17985" s="283" customFormat="1"/>
    <row r="17986" s="283" customFormat="1"/>
    <row r="17987" s="283" customFormat="1"/>
    <row r="17988" s="283" customFormat="1"/>
    <row r="17989" s="283" customFormat="1"/>
    <row r="17990" s="283" customFormat="1"/>
    <row r="17991" s="283" customFormat="1"/>
    <row r="17992" s="283" customFormat="1"/>
    <row r="17993" s="283" customFormat="1"/>
    <row r="17994" s="283" customFormat="1"/>
    <row r="17995" s="283" customFormat="1"/>
    <row r="17996" s="283" customFormat="1"/>
    <row r="17997" s="283" customFormat="1"/>
    <row r="17998" s="283" customFormat="1"/>
    <row r="17999" s="283" customFormat="1"/>
    <row r="18000" s="283" customFormat="1"/>
    <row r="18001" s="283" customFormat="1"/>
    <row r="18002" s="283" customFormat="1"/>
    <row r="18003" s="283" customFormat="1"/>
    <row r="18004" s="283" customFormat="1"/>
    <row r="18005" s="283" customFormat="1"/>
    <row r="18006" s="283" customFormat="1"/>
    <row r="18007" s="283" customFormat="1"/>
    <row r="18008" s="283" customFormat="1"/>
    <row r="18009" s="283" customFormat="1"/>
    <row r="18010" s="283" customFormat="1"/>
    <row r="18011" s="283" customFormat="1"/>
    <row r="18012" s="283" customFormat="1"/>
    <row r="18013" s="283" customFormat="1"/>
    <row r="18014" s="283" customFormat="1"/>
    <row r="18015" s="283" customFormat="1"/>
    <row r="18016" s="283" customFormat="1"/>
    <row r="18017" s="283" customFormat="1"/>
    <row r="18018" s="283" customFormat="1"/>
    <row r="18019" s="283" customFormat="1"/>
    <row r="18020" s="283" customFormat="1"/>
    <row r="18021" s="283" customFormat="1"/>
    <row r="18022" s="283" customFormat="1"/>
    <row r="18023" s="283" customFormat="1"/>
    <row r="18024" s="283" customFormat="1"/>
    <row r="18025" s="283" customFormat="1"/>
    <row r="18026" s="283" customFormat="1"/>
    <row r="18027" s="283" customFormat="1"/>
    <row r="18028" s="283" customFormat="1"/>
    <row r="18029" s="283" customFormat="1"/>
    <row r="18030" s="283" customFormat="1"/>
    <row r="18031" s="283" customFormat="1"/>
    <row r="18032" s="283" customFormat="1"/>
    <row r="18033" s="283" customFormat="1"/>
    <row r="18034" s="283" customFormat="1"/>
    <row r="18035" s="283" customFormat="1"/>
    <row r="18036" s="283" customFormat="1"/>
    <row r="18037" s="283" customFormat="1"/>
    <row r="18038" s="283" customFormat="1"/>
    <row r="18039" s="283" customFormat="1"/>
    <row r="18040" s="283" customFormat="1"/>
    <row r="18041" s="283" customFormat="1"/>
    <row r="18042" s="283" customFormat="1"/>
    <row r="18043" s="283" customFormat="1"/>
    <row r="18044" s="283" customFormat="1"/>
    <row r="18045" s="283" customFormat="1"/>
    <row r="18046" s="283" customFormat="1"/>
    <row r="18047" s="283" customFormat="1"/>
    <row r="18048" s="283" customFormat="1"/>
    <row r="18049" s="283" customFormat="1"/>
    <row r="18050" s="283" customFormat="1"/>
    <row r="18051" s="283" customFormat="1"/>
    <row r="18052" s="283" customFormat="1"/>
    <row r="18053" s="283" customFormat="1"/>
    <row r="18054" s="283" customFormat="1"/>
    <row r="18055" s="283" customFormat="1"/>
    <row r="18056" s="283" customFormat="1"/>
    <row r="18057" s="283" customFormat="1"/>
    <row r="18058" s="283" customFormat="1"/>
    <row r="18059" s="283" customFormat="1"/>
    <row r="18060" s="283" customFormat="1"/>
    <row r="18061" s="283" customFormat="1"/>
    <row r="18062" s="283" customFormat="1"/>
    <row r="18063" s="283" customFormat="1"/>
    <row r="18064" s="283" customFormat="1"/>
    <row r="18065" s="283" customFormat="1"/>
    <row r="18066" s="283" customFormat="1"/>
    <row r="18067" s="283" customFormat="1"/>
    <row r="18068" s="283" customFormat="1"/>
    <row r="18069" s="283" customFormat="1"/>
    <row r="18070" s="283" customFormat="1"/>
    <row r="18071" s="283" customFormat="1"/>
    <row r="18072" s="283" customFormat="1"/>
    <row r="18073" s="283" customFormat="1"/>
    <row r="18074" s="283" customFormat="1"/>
    <row r="18075" s="283" customFormat="1"/>
    <row r="18076" s="283" customFormat="1"/>
    <row r="18077" s="283" customFormat="1"/>
    <row r="18078" s="283" customFormat="1"/>
    <row r="18079" s="283" customFormat="1"/>
    <row r="18080" s="283" customFormat="1"/>
    <row r="18081" s="283" customFormat="1"/>
    <row r="18082" s="283" customFormat="1"/>
    <row r="18083" s="283" customFormat="1"/>
    <row r="18084" s="283" customFormat="1"/>
    <row r="18085" s="283" customFormat="1"/>
    <row r="18086" s="283" customFormat="1"/>
    <row r="18087" s="283" customFormat="1"/>
    <row r="18088" s="283" customFormat="1"/>
    <row r="18089" s="283" customFormat="1"/>
    <row r="18090" s="283" customFormat="1"/>
    <row r="18091" s="283" customFormat="1"/>
    <row r="18092" s="283" customFormat="1"/>
    <row r="18093" s="283" customFormat="1"/>
    <row r="18094" s="283" customFormat="1"/>
    <row r="18095" s="283" customFormat="1"/>
    <row r="18096" s="283" customFormat="1"/>
    <row r="18097" s="283" customFormat="1"/>
    <row r="18098" s="283" customFormat="1"/>
    <row r="18099" s="283" customFormat="1"/>
    <row r="18100" s="283" customFormat="1"/>
    <row r="18101" s="283" customFormat="1"/>
    <row r="18102" s="283" customFormat="1"/>
    <row r="18103" s="283" customFormat="1"/>
    <row r="18104" s="283" customFormat="1"/>
    <row r="18105" s="283" customFormat="1"/>
    <row r="18106" s="283" customFormat="1"/>
    <row r="18107" s="283" customFormat="1"/>
    <row r="18108" s="283" customFormat="1"/>
    <row r="18109" s="283" customFormat="1"/>
    <row r="18110" s="283" customFormat="1"/>
    <row r="18111" s="283" customFormat="1"/>
    <row r="18112" s="283" customFormat="1"/>
    <row r="18113" s="283" customFormat="1"/>
    <row r="18114" s="283" customFormat="1"/>
    <row r="18115" s="283" customFormat="1"/>
    <row r="18116" s="283" customFormat="1"/>
    <row r="18117" s="283" customFormat="1"/>
    <row r="18118" s="283" customFormat="1"/>
    <row r="18119" s="283" customFormat="1"/>
    <row r="18120" s="283" customFormat="1"/>
    <row r="18121" s="283" customFormat="1"/>
    <row r="18122" s="283" customFormat="1"/>
    <row r="18123" s="283" customFormat="1"/>
    <row r="18124" s="283" customFormat="1"/>
    <row r="18125" s="283" customFormat="1"/>
    <row r="18126" s="283" customFormat="1"/>
    <row r="18127" s="283" customFormat="1"/>
    <row r="18128" s="283" customFormat="1"/>
    <row r="18129" s="283" customFormat="1"/>
    <row r="18130" s="283" customFormat="1"/>
    <row r="18131" s="283" customFormat="1"/>
    <row r="18132" s="283" customFormat="1"/>
    <row r="18133" s="283" customFormat="1"/>
    <row r="18134" s="283" customFormat="1"/>
    <row r="18135" s="283" customFormat="1"/>
    <row r="18136" s="283" customFormat="1"/>
    <row r="18137" s="283" customFormat="1"/>
    <row r="18138" s="283" customFormat="1"/>
    <row r="18139" s="283" customFormat="1"/>
    <row r="18140" s="283" customFormat="1"/>
    <row r="18141" s="283" customFormat="1"/>
    <row r="18142" s="283" customFormat="1"/>
    <row r="18143" s="283" customFormat="1"/>
    <row r="18144" s="283" customFormat="1"/>
    <row r="18145" s="283" customFormat="1"/>
    <row r="18146" s="283" customFormat="1"/>
    <row r="18147" s="283" customFormat="1"/>
    <row r="18148" s="283" customFormat="1"/>
    <row r="18149" s="283" customFormat="1"/>
    <row r="18150" s="283" customFormat="1"/>
    <row r="18151" s="283" customFormat="1"/>
    <row r="18152" s="283" customFormat="1"/>
    <row r="18153" s="283" customFormat="1"/>
    <row r="18154" s="283" customFormat="1"/>
    <row r="18155" s="283" customFormat="1"/>
    <row r="18156" s="283" customFormat="1"/>
    <row r="18157" s="283" customFormat="1"/>
    <row r="18158" s="283" customFormat="1"/>
    <row r="18159" s="283" customFormat="1"/>
    <row r="18160" s="283" customFormat="1"/>
    <row r="18161" s="283" customFormat="1"/>
    <row r="18162" s="283" customFormat="1"/>
    <row r="18163" s="283" customFormat="1"/>
    <row r="18164" s="283" customFormat="1"/>
    <row r="18165" s="283" customFormat="1"/>
    <row r="18166" s="283" customFormat="1"/>
    <row r="18167" s="283" customFormat="1"/>
    <row r="18168" s="283" customFormat="1"/>
    <row r="18169" s="283" customFormat="1"/>
    <row r="18170" s="283" customFormat="1"/>
    <row r="18171" s="283" customFormat="1"/>
    <row r="18172" s="283" customFormat="1"/>
    <row r="18173" s="283" customFormat="1"/>
    <row r="18174" s="283" customFormat="1"/>
    <row r="18175" s="283" customFormat="1"/>
    <row r="18176" s="283" customFormat="1"/>
    <row r="18177" s="283" customFormat="1"/>
    <row r="18178" s="283" customFormat="1"/>
    <row r="18179" s="283" customFormat="1"/>
    <row r="18180" s="283" customFormat="1"/>
    <row r="18181" s="283" customFormat="1"/>
    <row r="18182" s="283" customFormat="1"/>
    <row r="18183" s="283" customFormat="1"/>
    <row r="18184" s="283" customFormat="1"/>
    <row r="18185" s="283" customFormat="1"/>
    <row r="18186" s="283" customFormat="1"/>
    <row r="18187" s="283" customFormat="1"/>
    <row r="18188" s="283" customFormat="1"/>
    <row r="18189" s="283" customFormat="1"/>
    <row r="18190" s="283" customFormat="1"/>
    <row r="18191" s="283" customFormat="1"/>
    <row r="18192" s="283" customFormat="1"/>
    <row r="18193" s="283" customFormat="1"/>
    <row r="18194" s="283" customFormat="1"/>
    <row r="18195" s="283" customFormat="1"/>
    <row r="18196" s="283" customFormat="1"/>
    <row r="18197" s="283" customFormat="1"/>
    <row r="18198" s="283" customFormat="1"/>
    <row r="18199" s="283" customFormat="1"/>
    <row r="18200" s="283" customFormat="1"/>
    <row r="18201" s="283" customFormat="1"/>
    <row r="18202" s="283" customFormat="1"/>
    <row r="18203" s="283" customFormat="1"/>
    <row r="18204" s="283" customFormat="1"/>
    <row r="18205" s="283" customFormat="1"/>
    <row r="18206" s="283" customFormat="1"/>
    <row r="18207" s="283" customFormat="1"/>
    <row r="18208" s="283" customFormat="1"/>
    <row r="18209" s="283" customFormat="1"/>
    <row r="18210" s="283" customFormat="1"/>
    <row r="18211" s="283" customFormat="1"/>
    <row r="18212" s="283" customFormat="1"/>
    <row r="18213" s="283" customFormat="1"/>
    <row r="18214" s="283" customFormat="1"/>
    <row r="18215" s="283" customFormat="1"/>
    <row r="18216" s="283" customFormat="1"/>
    <row r="18217" s="283" customFormat="1"/>
    <row r="18218" s="283" customFormat="1"/>
    <row r="18219" s="283" customFormat="1"/>
    <row r="18220" s="283" customFormat="1"/>
    <row r="18221" s="283" customFormat="1"/>
    <row r="18222" s="283" customFormat="1"/>
    <row r="18223" s="283" customFormat="1"/>
    <row r="18224" s="283" customFormat="1"/>
    <row r="18225" s="283" customFormat="1"/>
    <row r="18226" s="283" customFormat="1"/>
    <row r="18227" s="283" customFormat="1"/>
    <row r="18228" s="283" customFormat="1"/>
    <row r="18229" s="283" customFormat="1"/>
    <row r="18230" s="283" customFormat="1"/>
    <row r="18231" s="283" customFormat="1"/>
    <row r="18232" s="283" customFormat="1"/>
    <row r="18233" s="283" customFormat="1"/>
    <row r="18234" s="283" customFormat="1"/>
    <row r="18235" s="283" customFormat="1"/>
    <row r="18236" s="283" customFormat="1"/>
    <row r="18237" s="283" customFormat="1"/>
    <row r="18238" s="283" customFormat="1"/>
    <row r="18239" s="283" customFormat="1"/>
    <row r="18240" s="283" customFormat="1"/>
    <row r="18241" s="283" customFormat="1"/>
    <row r="18242" s="283" customFormat="1"/>
    <row r="18243" s="283" customFormat="1"/>
    <row r="18244" s="283" customFormat="1"/>
    <row r="18245" s="283" customFormat="1"/>
    <row r="18246" s="283" customFormat="1"/>
    <row r="18247" s="283" customFormat="1"/>
    <row r="18248" s="283" customFormat="1"/>
    <row r="18249" s="283" customFormat="1"/>
    <row r="18250" s="283" customFormat="1"/>
    <row r="18251" s="283" customFormat="1"/>
    <row r="18252" s="283" customFormat="1"/>
    <row r="18253" s="283" customFormat="1"/>
    <row r="18254" s="283" customFormat="1"/>
    <row r="18255" s="283" customFormat="1"/>
    <row r="18256" s="283" customFormat="1"/>
    <row r="18257" s="283" customFormat="1"/>
    <row r="18258" s="283" customFormat="1"/>
    <row r="18259" s="283" customFormat="1"/>
    <row r="18260" s="283" customFormat="1"/>
    <row r="18261" s="283" customFormat="1"/>
    <row r="18262" s="283" customFormat="1"/>
    <row r="18263" s="283" customFormat="1"/>
    <row r="18264" s="283" customFormat="1"/>
    <row r="18265" s="283" customFormat="1"/>
    <row r="18266" s="283" customFormat="1"/>
    <row r="18267" s="283" customFormat="1"/>
    <row r="18268" s="283" customFormat="1"/>
    <row r="18269" s="283" customFormat="1"/>
    <row r="18270" s="283" customFormat="1"/>
    <row r="18271" s="283" customFormat="1"/>
    <row r="18272" s="283" customFormat="1"/>
    <row r="18273" s="283" customFormat="1"/>
    <row r="18274" s="283" customFormat="1"/>
    <row r="18275" s="283" customFormat="1"/>
    <row r="18276" s="283" customFormat="1"/>
    <row r="18277" s="283" customFormat="1"/>
    <row r="18278" s="283" customFormat="1"/>
    <row r="18279" s="283" customFormat="1"/>
    <row r="18280" s="283" customFormat="1"/>
    <row r="18281" s="283" customFormat="1"/>
    <row r="18282" s="283" customFormat="1"/>
    <row r="18283" s="283" customFormat="1"/>
    <row r="18284" s="283" customFormat="1"/>
    <row r="18285" s="283" customFormat="1"/>
    <row r="18286" s="283" customFormat="1"/>
    <row r="18287" s="283" customFormat="1"/>
    <row r="18288" s="283" customFormat="1"/>
    <row r="18289" s="283" customFormat="1"/>
    <row r="18290" s="283" customFormat="1"/>
    <row r="18291" s="283" customFormat="1"/>
    <row r="18292" s="283" customFormat="1"/>
    <row r="18293" s="283" customFormat="1"/>
    <row r="18294" s="283" customFormat="1"/>
    <row r="18295" s="283" customFormat="1"/>
    <row r="18296" s="283" customFormat="1"/>
    <row r="18297" s="283" customFormat="1"/>
    <row r="18298" s="283" customFormat="1"/>
    <row r="18299" s="283" customFormat="1"/>
    <row r="18300" s="283" customFormat="1"/>
    <row r="18301" s="283" customFormat="1"/>
    <row r="18302" s="283" customFormat="1"/>
    <row r="18303" s="283" customFormat="1"/>
    <row r="18304" s="283" customFormat="1"/>
    <row r="18305" s="283" customFormat="1"/>
    <row r="18306" s="283" customFormat="1"/>
    <row r="18307" s="283" customFormat="1"/>
    <row r="18308" s="283" customFormat="1"/>
    <row r="18309" s="283" customFormat="1"/>
    <row r="18310" s="283" customFormat="1"/>
    <row r="18311" s="283" customFormat="1"/>
    <row r="18312" s="283" customFormat="1"/>
    <row r="18313" s="283" customFormat="1"/>
    <row r="18314" s="283" customFormat="1"/>
    <row r="18315" s="283" customFormat="1"/>
    <row r="18316" s="283" customFormat="1"/>
    <row r="18317" s="283" customFormat="1"/>
    <row r="18318" s="283" customFormat="1"/>
    <row r="18319" s="283" customFormat="1"/>
    <row r="18320" s="283" customFormat="1"/>
    <row r="18321" s="283" customFormat="1"/>
    <row r="18322" s="283" customFormat="1"/>
    <row r="18323" s="283" customFormat="1"/>
    <row r="18324" s="283" customFormat="1"/>
    <row r="18325" s="283" customFormat="1"/>
    <row r="18326" s="283" customFormat="1"/>
    <row r="18327" s="283" customFormat="1"/>
    <row r="18328" s="283" customFormat="1"/>
    <row r="18329" s="283" customFormat="1"/>
    <row r="18330" s="283" customFormat="1"/>
    <row r="18331" s="283" customFormat="1"/>
    <row r="18332" s="283" customFormat="1"/>
    <row r="18333" s="283" customFormat="1"/>
    <row r="18334" s="283" customFormat="1"/>
    <row r="18335" s="283" customFormat="1"/>
    <row r="18336" s="283" customFormat="1"/>
    <row r="18337" s="283" customFormat="1"/>
    <row r="18338" s="283" customFormat="1"/>
    <row r="18339" s="283" customFormat="1"/>
    <row r="18340" s="283" customFormat="1"/>
    <row r="18341" s="283" customFormat="1"/>
    <row r="18342" s="283" customFormat="1"/>
    <row r="18343" s="283" customFormat="1"/>
    <row r="18344" s="283" customFormat="1"/>
    <row r="18345" s="283" customFormat="1"/>
    <row r="18346" s="283" customFormat="1"/>
    <row r="18347" s="283" customFormat="1"/>
    <row r="18348" s="283" customFormat="1"/>
    <row r="18349" s="283" customFormat="1"/>
    <row r="18350" s="283" customFormat="1"/>
    <row r="18351" s="283" customFormat="1"/>
    <row r="18352" s="283" customFormat="1"/>
    <row r="18353" s="283" customFormat="1"/>
    <row r="18354" s="283" customFormat="1"/>
    <row r="18355" s="283" customFormat="1"/>
    <row r="18356" s="283" customFormat="1"/>
    <row r="18357" s="283" customFormat="1"/>
    <row r="18358" s="283" customFormat="1"/>
    <row r="18359" s="283" customFormat="1"/>
    <row r="18360" s="283" customFormat="1"/>
    <row r="18361" s="283" customFormat="1"/>
    <row r="18362" s="283" customFormat="1"/>
    <row r="18363" s="283" customFormat="1"/>
    <row r="18364" s="283" customFormat="1"/>
    <row r="18365" s="283" customFormat="1"/>
    <row r="18366" s="283" customFormat="1"/>
    <row r="18367" s="283" customFormat="1"/>
    <row r="18368" s="283" customFormat="1"/>
    <row r="18369" s="283" customFormat="1"/>
    <row r="18370" s="283" customFormat="1"/>
    <row r="18371" s="283" customFormat="1"/>
    <row r="18372" s="283" customFormat="1"/>
    <row r="18373" s="283" customFormat="1"/>
    <row r="18374" s="283" customFormat="1"/>
    <row r="18375" s="283" customFormat="1"/>
    <row r="18376" s="283" customFormat="1"/>
    <row r="18377" s="283" customFormat="1"/>
    <row r="18378" s="283" customFormat="1"/>
    <row r="18379" s="283" customFormat="1"/>
    <row r="18380" s="283" customFormat="1"/>
    <row r="18381" s="283" customFormat="1"/>
    <row r="18382" s="283" customFormat="1"/>
    <row r="18383" s="283" customFormat="1"/>
    <row r="18384" s="283" customFormat="1"/>
    <row r="18385" s="283" customFormat="1"/>
    <row r="18386" s="283" customFormat="1"/>
    <row r="18387" s="283" customFormat="1"/>
    <row r="18388" s="283" customFormat="1"/>
    <row r="18389" s="283" customFormat="1"/>
    <row r="18390" s="283" customFormat="1"/>
    <row r="18391" s="283" customFormat="1"/>
    <row r="18392" s="283" customFormat="1"/>
    <row r="18393" s="283" customFormat="1"/>
    <row r="18394" s="283" customFormat="1"/>
    <row r="18395" s="283" customFormat="1"/>
    <row r="18396" s="283" customFormat="1"/>
    <row r="18397" s="283" customFormat="1"/>
    <row r="18398" s="283" customFormat="1"/>
    <row r="18399" s="283" customFormat="1"/>
    <row r="18400" s="283" customFormat="1"/>
    <row r="18401" s="283" customFormat="1"/>
    <row r="18402" s="283" customFormat="1"/>
    <row r="18403" s="283" customFormat="1"/>
    <row r="18404" s="283" customFormat="1"/>
    <row r="18405" s="283" customFormat="1"/>
    <row r="18406" s="283" customFormat="1"/>
    <row r="18407" s="283" customFormat="1"/>
    <row r="18408" s="283" customFormat="1"/>
    <row r="18409" s="283" customFormat="1"/>
    <row r="18410" s="283" customFormat="1"/>
    <row r="18411" s="283" customFormat="1"/>
    <row r="18412" s="283" customFormat="1"/>
    <row r="18413" s="283" customFormat="1"/>
    <row r="18414" s="283" customFormat="1"/>
    <row r="18415" s="283" customFormat="1"/>
    <row r="18416" s="283" customFormat="1"/>
    <row r="18417" s="283" customFormat="1"/>
    <row r="18418" s="283" customFormat="1"/>
    <row r="18419" s="283" customFormat="1"/>
    <row r="18420" s="283" customFormat="1"/>
    <row r="18421" s="283" customFormat="1"/>
    <row r="18422" s="283" customFormat="1"/>
    <row r="18423" s="283" customFormat="1"/>
    <row r="18424" s="283" customFormat="1"/>
    <row r="18425" s="283" customFormat="1"/>
    <row r="18426" s="283" customFormat="1"/>
    <row r="18427" s="283" customFormat="1"/>
    <row r="18428" s="283" customFormat="1"/>
    <row r="18429" s="283" customFormat="1"/>
    <row r="18430" s="283" customFormat="1"/>
    <row r="18431" s="283" customFormat="1"/>
    <row r="18432" s="283" customFormat="1"/>
    <row r="18433" s="283" customFormat="1"/>
    <row r="18434" s="283" customFormat="1"/>
    <row r="18435" s="283" customFormat="1"/>
    <row r="18436" s="283" customFormat="1"/>
    <row r="18437" s="283" customFormat="1"/>
    <row r="18438" s="283" customFormat="1"/>
    <row r="18439" s="283" customFormat="1"/>
    <row r="18440" s="283" customFormat="1"/>
    <row r="18441" s="283" customFormat="1"/>
    <row r="18442" s="283" customFormat="1"/>
    <row r="18443" s="283" customFormat="1"/>
    <row r="18444" s="283" customFormat="1"/>
    <row r="18445" s="283" customFormat="1"/>
    <row r="18446" s="283" customFormat="1"/>
    <row r="18447" s="283" customFormat="1"/>
    <row r="18448" s="283" customFormat="1"/>
    <row r="18449" s="283" customFormat="1"/>
    <row r="18450" s="283" customFormat="1"/>
    <row r="18451" s="283" customFormat="1"/>
    <row r="18452" s="283" customFormat="1"/>
    <row r="18453" s="283" customFormat="1"/>
    <row r="18454" s="283" customFormat="1"/>
    <row r="18455" s="283" customFormat="1"/>
    <row r="18456" s="283" customFormat="1"/>
    <row r="18457" s="283" customFormat="1"/>
    <row r="18458" s="283" customFormat="1"/>
    <row r="18459" s="283" customFormat="1"/>
    <row r="18460" s="283" customFormat="1"/>
    <row r="18461" s="283" customFormat="1"/>
    <row r="18462" s="283" customFormat="1"/>
    <row r="18463" s="283" customFormat="1"/>
    <row r="18464" s="283" customFormat="1"/>
    <row r="18465" s="283" customFormat="1"/>
    <row r="18466" s="283" customFormat="1"/>
    <row r="18467" s="283" customFormat="1"/>
    <row r="18468" s="283" customFormat="1"/>
    <row r="18469" s="283" customFormat="1"/>
    <row r="18470" s="283" customFormat="1"/>
    <row r="18471" s="283" customFormat="1"/>
    <row r="18472" s="283" customFormat="1"/>
    <row r="18473" s="283" customFormat="1"/>
    <row r="18474" s="283" customFormat="1"/>
    <row r="18475" s="283" customFormat="1"/>
    <row r="18476" s="283" customFormat="1"/>
    <row r="18477" s="283" customFormat="1"/>
    <row r="18478" s="283" customFormat="1"/>
    <row r="18479" s="283" customFormat="1"/>
    <row r="18480" s="283" customFormat="1"/>
    <row r="18481" s="283" customFormat="1"/>
    <row r="18482" s="283" customFormat="1"/>
    <row r="18483" s="283" customFormat="1"/>
    <row r="18484" s="283" customFormat="1"/>
    <row r="18485" s="283" customFormat="1"/>
    <row r="18486" s="283" customFormat="1"/>
    <row r="18487" s="283" customFormat="1"/>
    <row r="18488" s="283" customFormat="1"/>
    <row r="18489" s="283" customFormat="1"/>
    <row r="18490" s="283" customFormat="1"/>
    <row r="18491" s="283" customFormat="1"/>
    <row r="18492" s="283" customFormat="1"/>
    <row r="18493" s="283" customFormat="1"/>
    <row r="18494" s="283" customFormat="1"/>
    <row r="18495" s="283" customFormat="1"/>
    <row r="18496" s="283" customFormat="1"/>
    <row r="18497" s="283" customFormat="1"/>
    <row r="18498" s="283" customFormat="1"/>
    <row r="18499" s="283" customFormat="1"/>
    <row r="18500" s="283" customFormat="1"/>
    <row r="18501" s="283" customFormat="1"/>
    <row r="18502" s="283" customFormat="1"/>
    <row r="18503" s="283" customFormat="1"/>
    <row r="18504" s="283" customFormat="1"/>
    <row r="18505" s="283" customFormat="1"/>
    <row r="18506" s="283" customFormat="1"/>
    <row r="18507" s="283" customFormat="1"/>
    <row r="18508" s="283" customFormat="1"/>
    <row r="18509" s="283" customFormat="1"/>
    <row r="18510" s="283" customFormat="1"/>
    <row r="18511" s="283" customFormat="1"/>
    <row r="18512" s="283" customFormat="1"/>
    <row r="18513" s="283" customFormat="1"/>
    <row r="18514" s="283" customFormat="1"/>
    <row r="18515" s="283" customFormat="1"/>
    <row r="18516" s="283" customFormat="1"/>
    <row r="18517" s="283" customFormat="1"/>
    <row r="18518" s="283" customFormat="1"/>
    <row r="18519" s="283" customFormat="1"/>
    <row r="18520" s="283" customFormat="1"/>
    <row r="18521" s="283" customFormat="1"/>
    <row r="18522" s="283" customFormat="1"/>
    <row r="18523" s="283" customFormat="1"/>
    <row r="18524" s="283" customFormat="1"/>
    <row r="18525" s="283" customFormat="1"/>
    <row r="18526" s="283" customFormat="1"/>
    <row r="18527" s="283" customFormat="1"/>
    <row r="18528" s="283" customFormat="1"/>
    <row r="18529" s="283" customFormat="1"/>
    <row r="18530" s="283" customFormat="1"/>
    <row r="18531" s="283" customFormat="1"/>
    <row r="18532" s="283" customFormat="1"/>
    <row r="18533" s="283" customFormat="1"/>
    <row r="18534" s="283" customFormat="1"/>
    <row r="18535" s="283" customFormat="1"/>
    <row r="18536" s="283" customFormat="1"/>
    <row r="18537" s="283" customFormat="1"/>
    <row r="18538" s="283" customFormat="1"/>
    <row r="18539" s="283" customFormat="1"/>
    <row r="18540" s="283" customFormat="1"/>
    <row r="18541" s="283" customFormat="1"/>
    <row r="18542" s="283" customFormat="1"/>
    <row r="18543" s="283" customFormat="1"/>
    <row r="18544" s="283" customFormat="1"/>
    <row r="18545" s="283" customFormat="1"/>
    <row r="18546" s="283" customFormat="1"/>
    <row r="18547" s="283" customFormat="1"/>
    <row r="18548" s="283" customFormat="1"/>
    <row r="18549" s="283" customFormat="1"/>
    <row r="18550" s="283" customFormat="1"/>
    <row r="18551" s="283" customFormat="1"/>
    <row r="18552" s="283" customFormat="1"/>
    <row r="18553" s="283" customFormat="1"/>
    <row r="18554" s="283" customFormat="1"/>
    <row r="18555" s="283" customFormat="1"/>
    <row r="18556" s="283" customFormat="1"/>
    <row r="18557" s="283" customFormat="1"/>
    <row r="18558" s="283" customFormat="1"/>
    <row r="18559" s="283" customFormat="1"/>
    <row r="18560" s="283" customFormat="1"/>
    <row r="18561" s="283" customFormat="1"/>
    <row r="18562" s="283" customFormat="1"/>
    <row r="18563" s="283" customFormat="1"/>
    <row r="18564" s="283" customFormat="1"/>
    <row r="18565" s="283" customFormat="1"/>
    <row r="18566" s="283" customFormat="1"/>
    <row r="18567" s="283" customFormat="1"/>
    <row r="18568" s="283" customFormat="1"/>
    <row r="18569" s="283" customFormat="1"/>
    <row r="18570" s="283" customFormat="1"/>
    <row r="18571" s="283" customFormat="1"/>
    <row r="18572" s="283" customFormat="1"/>
    <row r="18573" s="283" customFormat="1"/>
    <row r="18574" s="283" customFormat="1"/>
    <row r="18575" s="283" customFormat="1"/>
    <row r="18576" s="283" customFormat="1"/>
    <row r="18577" s="283" customFormat="1"/>
    <row r="18578" s="283" customFormat="1"/>
    <row r="18579" s="283" customFormat="1"/>
    <row r="18580" s="283" customFormat="1"/>
    <row r="18581" s="283" customFormat="1"/>
    <row r="18582" s="283" customFormat="1"/>
    <row r="18583" s="283" customFormat="1"/>
    <row r="18584" s="283" customFormat="1"/>
    <row r="18585" s="283" customFormat="1"/>
    <row r="18586" s="283" customFormat="1"/>
    <row r="18587" s="283" customFormat="1"/>
    <row r="18588" s="283" customFormat="1"/>
    <row r="18589" s="283" customFormat="1"/>
    <row r="18590" s="283" customFormat="1"/>
    <row r="18591" s="283" customFormat="1"/>
    <row r="18592" s="283" customFormat="1"/>
    <row r="18593" s="283" customFormat="1"/>
    <row r="18594" s="283" customFormat="1"/>
    <row r="18595" s="283" customFormat="1"/>
    <row r="18596" s="283" customFormat="1"/>
    <row r="18597" s="283" customFormat="1"/>
    <row r="18598" s="283" customFormat="1"/>
    <row r="18599" s="283" customFormat="1"/>
    <row r="18600" s="283" customFormat="1"/>
    <row r="18601" s="283" customFormat="1"/>
    <row r="18602" s="283" customFormat="1"/>
    <row r="18603" s="283" customFormat="1"/>
    <row r="18604" s="283" customFormat="1"/>
    <row r="18605" s="283" customFormat="1"/>
    <row r="18606" s="283" customFormat="1"/>
    <row r="18607" s="283" customFormat="1"/>
    <row r="18608" s="283" customFormat="1"/>
    <row r="18609" s="283" customFormat="1"/>
    <row r="18610" s="283" customFormat="1"/>
    <row r="18611" s="283" customFormat="1"/>
    <row r="18612" s="283" customFormat="1"/>
    <row r="18613" s="283" customFormat="1"/>
    <row r="18614" s="283" customFormat="1"/>
    <row r="18615" s="283" customFormat="1"/>
    <row r="18616" s="283" customFormat="1"/>
    <row r="18617" s="283" customFormat="1"/>
    <row r="18618" s="283" customFormat="1"/>
    <row r="18619" s="283" customFormat="1"/>
    <row r="18620" s="283" customFormat="1"/>
    <row r="18621" s="283" customFormat="1"/>
    <row r="18622" s="283" customFormat="1"/>
    <row r="18623" s="283" customFormat="1"/>
    <row r="18624" s="283" customFormat="1"/>
    <row r="18625" s="283" customFormat="1"/>
    <row r="18626" s="283" customFormat="1"/>
    <row r="18627" s="283" customFormat="1"/>
    <row r="18628" s="283" customFormat="1"/>
    <row r="18629" s="283" customFormat="1"/>
    <row r="18630" s="283" customFormat="1"/>
    <row r="18631" s="283" customFormat="1"/>
    <row r="18632" s="283" customFormat="1"/>
    <row r="18633" s="283" customFormat="1"/>
    <row r="18634" s="283" customFormat="1"/>
    <row r="18635" s="283" customFormat="1"/>
    <row r="18636" s="283" customFormat="1"/>
    <row r="18637" s="283" customFormat="1"/>
    <row r="18638" s="283" customFormat="1"/>
    <row r="18639" s="283" customFormat="1"/>
    <row r="18640" s="283" customFormat="1"/>
    <row r="18641" s="283" customFormat="1"/>
    <row r="18642" s="283" customFormat="1"/>
    <row r="18643" s="283" customFormat="1"/>
    <row r="18644" s="283" customFormat="1"/>
    <row r="18645" s="283" customFormat="1"/>
    <row r="18646" s="283" customFormat="1"/>
    <row r="18647" s="283" customFormat="1"/>
    <row r="18648" s="283" customFormat="1"/>
    <row r="18649" s="283" customFormat="1"/>
    <row r="18650" s="283" customFormat="1"/>
    <row r="18651" s="283" customFormat="1"/>
    <row r="18652" s="283" customFormat="1"/>
    <row r="18653" s="283" customFormat="1"/>
    <row r="18654" s="283" customFormat="1"/>
    <row r="18655" s="283" customFormat="1"/>
    <row r="18656" s="283" customFormat="1"/>
    <row r="18657" s="283" customFormat="1"/>
    <row r="18658" s="283" customFormat="1"/>
    <row r="18659" s="283" customFormat="1"/>
    <row r="18660" s="283" customFormat="1"/>
    <row r="18661" s="283" customFormat="1"/>
    <row r="18662" s="283" customFormat="1"/>
    <row r="18663" s="283" customFormat="1"/>
    <row r="18664" s="283" customFormat="1"/>
    <row r="18665" s="283" customFormat="1"/>
    <row r="18666" s="283" customFormat="1"/>
    <row r="18667" s="283" customFormat="1"/>
    <row r="18668" s="283" customFormat="1"/>
    <row r="18669" s="283" customFormat="1"/>
    <row r="18670" s="283" customFormat="1"/>
    <row r="18671" s="283" customFormat="1"/>
    <row r="18672" s="283" customFormat="1"/>
    <row r="18673" s="283" customFormat="1"/>
    <row r="18674" s="283" customFormat="1"/>
    <row r="18675" s="283" customFormat="1"/>
    <row r="18676" s="283" customFormat="1"/>
    <row r="18677" s="283" customFormat="1"/>
    <row r="18678" s="283" customFormat="1"/>
    <row r="18679" s="283" customFormat="1"/>
    <row r="18680" s="283" customFormat="1"/>
    <row r="18681" s="283" customFormat="1"/>
    <row r="18682" s="283" customFormat="1"/>
    <row r="18683" s="283" customFormat="1"/>
    <row r="18684" s="283" customFormat="1"/>
    <row r="18685" s="283" customFormat="1"/>
    <row r="18686" s="283" customFormat="1"/>
    <row r="18687" s="283" customFormat="1"/>
    <row r="18688" s="283" customFormat="1"/>
    <row r="18689" s="283" customFormat="1"/>
    <row r="18690" s="283" customFormat="1"/>
    <row r="18691" s="283" customFormat="1"/>
    <row r="18692" s="283" customFormat="1"/>
    <row r="18693" s="283" customFormat="1"/>
    <row r="18694" s="283" customFormat="1"/>
    <row r="18695" s="283" customFormat="1"/>
    <row r="18696" s="283" customFormat="1"/>
    <row r="18697" s="283" customFormat="1"/>
    <row r="18698" s="283" customFormat="1"/>
    <row r="18699" s="283" customFormat="1"/>
    <row r="18700" s="283" customFormat="1"/>
    <row r="18701" s="283" customFormat="1"/>
    <row r="18702" s="283" customFormat="1"/>
    <row r="18703" s="283" customFormat="1"/>
    <row r="18704" s="283" customFormat="1"/>
    <row r="18705" s="283" customFormat="1"/>
    <row r="18706" s="283" customFormat="1"/>
    <row r="18707" s="283" customFormat="1"/>
    <row r="18708" s="283" customFormat="1"/>
    <row r="18709" s="283" customFormat="1"/>
    <row r="18710" s="283" customFormat="1"/>
    <row r="18711" s="283" customFormat="1"/>
    <row r="18712" s="283" customFormat="1"/>
    <row r="18713" s="283" customFormat="1"/>
    <row r="18714" s="283" customFormat="1"/>
    <row r="18715" s="283" customFormat="1"/>
    <row r="18716" s="283" customFormat="1"/>
    <row r="18717" s="283" customFormat="1"/>
    <row r="18718" s="283" customFormat="1"/>
    <row r="18719" s="283" customFormat="1"/>
    <row r="18720" s="283" customFormat="1"/>
    <row r="18721" s="283" customFormat="1"/>
    <row r="18722" s="283" customFormat="1"/>
    <row r="18723" s="283" customFormat="1"/>
    <row r="18724" s="283" customFormat="1"/>
    <row r="18725" s="283" customFormat="1"/>
    <row r="18726" s="283" customFormat="1"/>
    <row r="18727" s="283" customFormat="1"/>
    <row r="18728" s="283" customFormat="1"/>
    <row r="18729" s="283" customFormat="1"/>
    <row r="18730" s="283" customFormat="1"/>
    <row r="18731" s="283" customFormat="1"/>
    <row r="18732" s="283" customFormat="1"/>
    <row r="18733" s="283" customFormat="1"/>
    <row r="18734" s="283" customFormat="1"/>
    <row r="18735" s="283" customFormat="1"/>
    <row r="18736" s="283" customFormat="1"/>
    <row r="18737" s="283" customFormat="1"/>
    <row r="18738" s="283" customFormat="1"/>
    <row r="18739" s="283" customFormat="1"/>
    <row r="18740" s="283" customFormat="1"/>
    <row r="18741" s="283" customFormat="1"/>
    <row r="18742" s="283" customFormat="1"/>
    <row r="18743" s="283" customFormat="1"/>
    <row r="18744" s="283" customFormat="1"/>
    <row r="18745" s="283" customFormat="1"/>
    <row r="18746" s="283" customFormat="1"/>
    <row r="18747" s="283" customFormat="1"/>
    <row r="18748" s="283" customFormat="1"/>
    <row r="18749" s="283" customFormat="1"/>
    <row r="18750" s="283" customFormat="1"/>
    <row r="18751" s="283" customFormat="1"/>
    <row r="18752" s="283" customFormat="1"/>
    <row r="18753" s="283" customFormat="1"/>
    <row r="18754" s="283" customFormat="1"/>
    <row r="18755" s="283" customFormat="1"/>
    <row r="18756" s="283" customFormat="1"/>
    <row r="18757" s="283" customFormat="1"/>
    <row r="18758" s="283" customFormat="1"/>
    <row r="18759" s="283" customFormat="1"/>
    <row r="18760" s="283" customFormat="1"/>
    <row r="18761" s="283" customFormat="1"/>
    <row r="18762" s="283" customFormat="1"/>
    <row r="18763" s="283" customFormat="1"/>
    <row r="18764" s="283" customFormat="1"/>
    <row r="18765" s="283" customFormat="1"/>
    <row r="18766" s="283" customFormat="1"/>
    <row r="18767" s="283" customFormat="1"/>
    <row r="18768" s="283" customFormat="1"/>
    <row r="18769" s="283" customFormat="1"/>
    <row r="18770" s="283" customFormat="1"/>
    <row r="18771" s="283" customFormat="1"/>
    <row r="18772" s="283" customFormat="1"/>
    <row r="18773" s="283" customFormat="1"/>
    <row r="18774" s="283" customFormat="1"/>
    <row r="18775" s="283" customFormat="1"/>
    <row r="18776" s="283" customFormat="1"/>
    <row r="18777" s="283" customFormat="1"/>
    <row r="18778" s="283" customFormat="1"/>
    <row r="18779" s="283" customFormat="1"/>
    <row r="18780" s="283" customFormat="1"/>
    <row r="18781" s="283" customFormat="1"/>
    <row r="18782" s="283" customFormat="1"/>
    <row r="18783" s="283" customFormat="1"/>
    <row r="18784" s="283" customFormat="1"/>
    <row r="18785" s="283" customFormat="1"/>
    <row r="18786" s="283" customFormat="1"/>
    <row r="18787" s="283" customFormat="1"/>
    <row r="18788" s="283" customFormat="1"/>
    <row r="18789" s="283" customFormat="1"/>
    <row r="18790" s="283" customFormat="1"/>
    <row r="18791" s="283" customFormat="1"/>
    <row r="18792" s="283" customFormat="1"/>
    <row r="18793" s="283" customFormat="1"/>
    <row r="18794" s="283" customFormat="1"/>
    <row r="18795" s="283" customFormat="1"/>
    <row r="18796" s="283" customFormat="1"/>
    <row r="18797" s="283" customFormat="1"/>
    <row r="18798" s="283" customFormat="1"/>
    <row r="18799" s="283" customFormat="1"/>
    <row r="18800" s="283" customFormat="1"/>
    <row r="18801" s="283" customFormat="1"/>
    <row r="18802" s="283" customFormat="1"/>
    <row r="18803" s="283" customFormat="1"/>
    <row r="18804" s="283" customFormat="1"/>
    <row r="18805" s="283" customFormat="1"/>
    <row r="18806" s="283" customFormat="1"/>
    <row r="18807" s="283" customFormat="1"/>
    <row r="18808" s="283" customFormat="1"/>
    <row r="18809" s="283" customFormat="1"/>
    <row r="18810" s="283" customFormat="1"/>
    <row r="18811" s="283" customFormat="1"/>
    <row r="18812" s="283" customFormat="1"/>
    <row r="18813" s="283" customFormat="1"/>
    <row r="18814" s="283" customFormat="1"/>
    <row r="18815" s="283" customFormat="1"/>
    <row r="18816" s="283" customFormat="1"/>
    <row r="18817" s="283" customFormat="1"/>
    <row r="18818" s="283" customFormat="1"/>
    <row r="18819" s="283" customFormat="1"/>
    <row r="18820" s="283" customFormat="1"/>
    <row r="18821" s="283" customFormat="1"/>
    <row r="18822" s="283" customFormat="1"/>
    <row r="18823" s="283" customFormat="1"/>
    <row r="18824" s="283" customFormat="1"/>
    <row r="18825" s="283" customFormat="1"/>
    <row r="18826" s="283" customFormat="1"/>
    <row r="18827" s="283" customFormat="1"/>
    <row r="18828" s="283" customFormat="1"/>
    <row r="18829" s="283" customFormat="1"/>
    <row r="18830" s="283" customFormat="1"/>
    <row r="18831" s="283" customFormat="1"/>
    <row r="18832" s="283" customFormat="1"/>
    <row r="18833" s="283" customFormat="1"/>
    <row r="18834" s="283" customFormat="1"/>
    <row r="18835" s="283" customFormat="1"/>
    <row r="18836" s="283" customFormat="1"/>
    <row r="18837" s="283" customFormat="1"/>
    <row r="18838" s="283" customFormat="1"/>
    <row r="18839" s="283" customFormat="1"/>
    <row r="18840" s="283" customFormat="1"/>
    <row r="18841" s="283" customFormat="1"/>
    <row r="18842" s="283" customFormat="1"/>
    <row r="18843" s="283" customFormat="1"/>
    <row r="18844" s="283" customFormat="1"/>
    <row r="18845" s="283" customFormat="1"/>
    <row r="18846" s="283" customFormat="1"/>
    <row r="18847" s="283" customFormat="1"/>
    <row r="18848" s="283" customFormat="1"/>
    <row r="18849" s="283" customFormat="1"/>
    <row r="18850" s="283" customFormat="1"/>
    <row r="18851" s="283" customFormat="1"/>
    <row r="18852" s="283" customFormat="1"/>
    <row r="18853" s="283" customFormat="1"/>
    <row r="18854" s="283" customFormat="1"/>
    <row r="18855" s="283" customFormat="1"/>
    <row r="18856" s="283" customFormat="1"/>
    <row r="18857" s="283" customFormat="1"/>
    <row r="18858" s="283" customFormat="1"/>
    <row r="18859" s="283" customFormat="1"/>
    <row r="18860" s="283" customFormat="1"/>
    <row r="18861" s="283" customFormat="1"/>
    <row r="18862" s="283" customFormat="1"/>
    <row r="18863" s="283" customFormat="1"/>
    <row r="18864" s="283" customFormat="1"/>
    <row r="18865" s="283" customFormat="1"/>
    <row r="18866" s="283" customFormat="1"/>
    <row r="18867" s="283" customFormat="1"/>
    <row r="18868" s="283" customFormat="1"/>
    <row r="18869" s="283" customFormat="1"/>
    <row r="18870" s="283" customFormat="1"/>
    <row r="18871" s="283" customFormat="1"/>
    <row r="18872" s="283" customFormat="1"/>
    <row r="18873" s="283" customFormat="1"/>
    <row r="18874" s="283" customFormat="1"/>
    <row r="18875" s="283" customFormat="1"/>
    <row r="18876" s="283" customFormat="1"/>
    <row r="18877" s="283" customFormat="1"/>
    <row r="18878" s="283" customFormat="1"/>
    <row r="18879" s="283" customFormat="1"/>
    <row r="18880" s="283" customFormat="1"/>
    <row r="18881" s="283" customFormat="1"/>
    <row r="18882" s="283" customFormat="1"/>
    <row r="18883" s="283" customFormat="1"/>
    <row r="18884" s="283" customFormat="1"/>
    <row r="18885" s="283" customFormat="1"/>
    <row r="18886" s="283" customFormat="1"/>
    <row r="18887" s="283" customFormat="1"/>
    <row r="18888" s="283" customFormat="1"/>
    <row r="18889" s="283" customFormat="1"/>
    <row r="18890" s="283" customFormat="1"/>
    <row r="18891" s="283" customFormat="1"/>
    <row r="18892" s="283" customFormat="1"/>
    <row r="18893" s="283" customFormat="1"/>
    <row r="18894" s="283" customFormat="1"/>
    <row r="18895" s="283" customFormat="1"/>
    <row r="18896" s="283" customFormat="1"/>
    <row r="18897" s="283" customFormat="1"/>
    <row r="18898" s="283" customFormat="1"/>
    <row r="18899" s="283" customFormat="1"/>
    <row r="18900" s="283" customFormat="1"/>
    <row r="18901" s="283" customFormat="1"/>
    <row r="18902" s="283" customFormat="1"/>
    <row r="18903" s="283" customFormat="1"/>
    <row r="18904" s="283" customFormat="1"/>
    <row r="18905" s="283" customFormat="1"/>
    <row r="18906" s="283" customFormat="1"/>
    <row r="18907" s="283" customFormat="1"/>
    <row r="18908" s="283" customFormat="1"/>
    <row r="18909" s="283" customFormat="1"/>
    <row r="18910" s="283" customFormat="1"/>
    <row r="18911" s="283" customFormat="1"/>
    <row r="18912" s="283" customFormat="1"/>
    <row r="18913" s="283" customFormat="1"/>
    <row r="18914" s="283" customFormat="1"/>
    <row r="18915" s="283" customFormat="1"/>
    <row r="18916" s="283" customFormat="1"/>
    <row r="18917" s="283" customFormat="1"/>
    <row r="18918" s="283" customFormat="1"/>
    <row r="18919" s="283" customFormat="1"/>
    <row r="18920" s="283" customFormat="1"/>
    <row r="18921" s="283" customFormat="1"/>
    <row r="18922" s="283" customFormat="1"/>
    <row r="18923" s="283" customFormat="1"/>
    <row r="18924" s="283" customFormat="1"/>
    <row r="18925" s="283" customFormat="1"/>
    <row r="18926" s="283" customFormat="1"/>
    <row r="18927" s="283" customFormat="1"/>
    <row r="18928" s="283" customFormat="1"/>
    <row r="18929" s="283" customFormat="1"/>
    <row r="18930" s="283" customFormat="1"/>
    <row r="18931" s="283" customFormat="1"/>
    <row r="18932" s="283" customFormat="1"/>
    <row r="18933" s="283" customFormat="1"/>
    <row r="18934" s="283" customFormat="1"/>
    <row r="18935" s="283" customFormat="1"/>
    <row r="18936" s="283" customFormat="1"/>
    <row r="18937" s="283" customFormat="1"/>
    <row r="18938" s="283" customFormat="1"/>
    <row r="18939" s="283" customFormat="1"/>
    <row r="18940" s="283" customFormat="1"/>
    <row r="18941" s="283" customFormat="1"/>
    <row r="18942" s="283" customFormat="1"/>
    <row r="18943" s="283" customFormat="1"/>
    <row r="18944" s="283" customFormat="1"/>
    <row r="18945" s="283" customFormat="1"/>
    <row r="18946" s="283" customFormat="1"/>
    <row r="18947" s="283" customFormat="1"/>
    <row r="18948" s="283" customFormat="1"/>
    <row r="18949" s="283" customFormat="1"/>
    <row r="18950" s="283" customFormat="1"/>
    <row r="18951" s="283" customFormat="1"/>
    <row r="18952" s="283" customFormat="1"/>
    <row r="18953" s="283" customFormat="1"/>
    <row r="18954" s="283" customFormat="1"/>
    <row r="18955" s="283" customFormat="1"/>
    <row r="18956" s="283" customFormat="1"/>
    <row r="18957" s="283" customFormat="1"/>
    <row r="18958" s="283" customFormat="1"/>
    <row r="18959" s="283" customFormat="1"/>
    <row r="18960" s="283" customFormat="1"/>
    <row r="18961" s="283" customFormat="1"/>
    <row r="18962" s="283" customFormat="1"/>
    <row r="18963" s="283" customFormat="1"/>
    <row r="18964" s="283" customFormat="1"/>
    <row r="18965" s="283" customFormat="1"/>
    <row r="18966" s="283" customFormat="1"/>
    <row r="18967" s="283" customFormat="1"/>
    <row r="18968" s="283" customFormat="1"/>
    <row r="18969" s="283" customFormat="1"/>
    <row r="18970" s="283" customFormat="1"/>
    <row r="18971" s="283" customFormat="1"/>
    <row r="18972" s="283" customFormat="1"/>
    <row r="18973" s="283" customFormat="1"/>
    <row r="18974" s="283" customFormat="1"/>
    <row r="18975" s="283" customFormat="1"/>
    <row r="18976" s="283" customFormat="1"/>
    <row r="18977" s="283" customFormat="1"/>
    <row r="18978" s="283" customFormat="1"/>
    <row r="18979" s="283" customFormat="1"/>
    <row r="18980" s="283" customFormat="1"/>
    <row r="18981" s="283" customFormat="1"/>
    <row r="18982" s="283" customFormat="1"/>
    <row r="18983" s="283" customFormat="1"/>
    <row r="18984" s="283" customFormat="1"/>
    <row r="18985" s="283" customFormat="1"/>
    <row r="18986" s="283" customFormat="1"/>
    <row r="18987" s="283" customFormat="1"/>
    <row r="18988" s="283" customFormat="1"/>
    <row r="18989" s="283" customFormat="1"/>
    <row r="18990" s="283" customFormat="1"/>
    <row r="18991" s="283" customFormat="1"/>
    <row r="18992" s="283" customFormat="1"/>
    <row r="18993" s="283" customFormat="1"/>
    <row r="18994" s="283" customFormat="1"/>
    <row r="18995" s="283" customFormat="1"/>
    <row r="18996" s="283" customFormat="1"/>
    <row r="18997" s="283" customFormat="1"/>
    <row r="18998" s="283" customFormat="1"/>
    <row r="18999" s="283" customFormat="1"/>
    <row r="19000" s="283" customFormat="1"/>
    <row r="19001" s="283" customFormat="1"/>
    <row r="19002" s="283" customFormat="1"/>
    <row r="19003" s="283" customFormat="1"/>
    <row r="19004" s="283" customFormat="1"/>
    <row r="19005" s="283" customFormat="1"/>
    <row r="19006" s="283" customFormat="1"/>
    <row r="19007" s="283" customFormat="1"/>
    <row r="19008" s="283" customFormat="1"/>
    <row r="19009" s="283" customFormat="1"/>
    <row r="19010" s="283" customFormat="1"/>
    <row r="19011" s="283" customFormat="1"/>
    <row r="19012" s="283" customFormat="1"/>
    <row r="19013" s="283" customFormat="1"/>
    <row r="19014" s="283" customFormat="1"/>
    <row r="19015" s="283" customFormat="1"/>
    <row r="19016" s="283" customFormat="1"/>
    <row r="19017" s="283" customFormat="1"/>
    <row r="19018" s="283" customFormat="1"/>
    <row r="19019" s="283" customFormat="1"/>
    <row r="19020" s="283" customFormat="1"/>
    <row r="19021" s="283" customFormat="1"/>
    <row r="19022" s="283" customFormat="1"/>
    <row r="19023" s="283" customFormat="1"/>
    <row r="19024" s="283" customFormat="1"/>
    <row r="19025" s="283" customFormat="1"/>
    <row r="19026" s="283" customFormat="1"/>
    <row r="19027" s="283" customFormat="1"/>
    <row r="19028" s="283" customFormat="1"/>
    <row r="19029" s="283" customFormat="1"/>
    <row r="19030" s="283" customFormat="1"/>
    <row r="19031" s="283" customFormat="1"/>
    <row r="19032" s="283" customFormat="1"/>
    <row r="19033" s="283" customFormat="1"/>
    <row r="19034" s="283" customFormat="1"/>
    <row r="19035" s="283" customFormat="1"/>
    <row r="19036" s="283" customFormat="1"/>
    <row r="19037" s="283" customFormat="1"/>
    <row r="19038" s="283" customFormat="1"/>
    <row r="19039" s="283" customFormat="1"/>
    <row r="19040" s="283" customFormat="1"/>
    <row r="19041" s="283" customFormat="1"/>
    <row r="19042" s="283" customFormat="1"/>
    <row r="19043" s="283" customFormat="1"/>
    <row r="19044" s="283" customFormat="1"/>
    <row r="19045" s="283" customFormat="1"/>
    <row r="19046" s="283" customFormat="1"/>
    <row r="19047" s="283" customFormat="1"/>
    <row r="19048" s="283" customFormat="1"/>
    <row r="19049" s="283" customFormat="1"/>
    <row r="19050" s="283" customFormat="1"/>
    <row r="19051" s="283" customFormat="1"/>
    <row r="19052" s="283" customFormat="1"/>
    <row r="19053" s="283" customFormat="1"/>
    <row r="19054" s="283" customFormat="1"/>
    <row r="19055" s="283" customFormat="1"/>
    <row r="19056" s="283" customFormat="1"/>
    <row r="19057" s="283" customFormat="1"/>
    <row r="19058" s="283" customFormat="1"/>
    <row r="19059" s="283" customFormat="1"/>
    <row r="19060" s="283" customFormat="1"/>
    <row r="19061" s="283" customFormat="1"/>
    <row r="19062" s="283" customFormat="1"/>
    <row r="19063" s="283" customFormat="1"/>
    <row r="19064" s="283" customFormat="1"/>
    <row r="19065" s="283" customFormat="1"/>
    <row r="19066" s="283" customFormat="1"/>
    <row r="19067" s="283" customFormat="1"/>
    <row r="19068" s="283" customFormat="1"/>
    <row r="19069" s="283" customFormat="1"/>
    <row r="19070" s="283" customFormat="1"/>
    <row r="19071" s="283" customFormat="1"/>
    <row r="19072" s="283" customFormat="1"/>
    <row r="19073" s="283" customFormat="1"/>
    <row r="19074" s="283" customFormat="1"/>
    <row r="19075" s="283" customFormat="1"/>
    <row r="19076" s="283" customFormat="1"/>
    <row r="19077" s="283" customFormat="1"/>
    <row r="19078" s="283" customFormat="1"/>
    <row r="19079" s="283" customFormat="1"/>
    <row r="19080" s="283" customFormat="1"/>
    <row r="19081" s="283" customFormat="1"/>
    <row r="19082" s="283" customFormat="1"/>
    <row r="19083" s="283" customFormat="1"/>
    <row r="19084" s="283" customFormat="1"/>
    <row r="19085" s="283" customFormat="1"/>
    <row r="19086" s="283" customFormat="1"/>
    <row r="19087" s="283" customFormat="1"/>
    <row r="19088" s="283" customFormat="1"/>
    <row r="19089" s="283" customFormat="1"/>
    <row r="19090" s="283" customFormat="1"/>
    <row r="19091" s="283" customFormat="1"/>
    <row r="19092" s="283" customFormat="1"/>
    <row r="19093" s="283" customFormat="1"/>
    <row r="19094" s="283" customFormat="1"/>
    <row r="19095" s="283" customFormat="1"/>
    <row r="19096" s="283" customFormat="1"/>
    <row r="19097" s="283" customFormat="1"/>
    <row r="19098" s="283" customFormat="1"/>
    <row r="19099" s="283" customFormat="1"/>
    <row r="19100" s="283" customFormat="1"/>
    <row r="19101" s="283" customFormat="1"/>
    <row r="19102" s="283" customFormat="1"/>
    <row r="19103" s="283" customFormat="1"/>
    <row r="19104" s="283" customFormat="1"/>
    <row r="19105" s="283" customFormat="1"/>
    <row r="19106" s="283" customFormat="1"/>
    <row r="19107" s="283" customFormat="1"/>
    <row r="19108" s="283" customFormat="1"/>
    <row r="19109" s="283" customFormat="1"/>
    <row r="19110" s="283" customFormat="1"/>
    <row r="19111" s="283" customFormat="1"/>
    <row r="19112" s="283" customFormat="1"/>
    <row r="19113" s="283" customFormat="1"/>
    <row r="19114" s="283" customFormat="1"/>
    <row r="19115" s="283" customFormat="1"/>
    <row r="19116" s="283" customFormat="1"/>
    <row r="19117" s="283" customFormat="1"/>
    <row r="19118" s="283" customFormat="1"/>
    <row r="19119" s="283" customFormat="1"/>
    <row r="19120" s="283" customFormat="1"/>
    <row r="19121" s="283" customFormat="1"/>
    <row r="19122" s="283" customFormat="1"/>
    <row r="19123" s="283" customFormat="1"/>
    <row r="19124" s="283" customFormat="1"/>
    <row r="19125" s="283" customFormat="1"/>
    <row r="19126" s="283" customFormat="1"/>
    <row r="19127" s="283" customFormat="1"/>
    <row r="19128" s="283" customFormat="1"/>
    <row r="19129" s="283" customFormat="1"/>
    <row r="19130" s="283" customFormat="1"/>
    <row r="19131" s="283" customFormat="1"/>
    <row r="19132" s="283" customFormat="1"/>
    <row r="19133" s="283" customFormat="1"/>
    <row r="19134" s="283" customFormat="1"/>
    <row r="19135" s="283" customFormat="1"/>
    <row r="19136" s="283" customFormat="1"/>
    <row r="19137" s="283" customFormat="1"/>
    <row r="19138" s="283" customFormat="1"/>
    <row r="19139" s="283" customFormat="1"/>
    <row r="19140" s="283" customFormat="1"/>
    <row r="19141" s="283" customFormat="1"/>
    <row r="19142" s="283" customFormat="1"/>
    <row r="19143" s="283" customFormat="1"/>
    <row r="19144" s="283" customFormat="1"/>
    <row r="19145" s="283" customFormat="1"/>
    <row r="19146" s="283" customFormat="1"/>
    <row r="19147" s="283" customFormat="1"/>
    <row r="19148" s="283" customFormat="1"/>
    <row r="19149" s="283" customFormat="1"/>
    <row r="19150" s="283" customFormat="1"/>
    <row r="19151" s="283" customFormat="1"/>
    <row r="19152" s="283" customFormat="1"/>
    <row r="19153" s="283" customFormat="1"/>
    <row r="19154" s="283" customFormat="1"/>
    <row r="19155" s="283" customFormat="1"/>
    <row r="19156" s="283" customFormat="1"/>
    <row r="19157" s="283" customFormat="1"/>
    <row r="19158" s="283" customFormat="1"/>
    <row r="19159" s="283" customFormat="1"/>
    <row r="19160" s="283" customFormat="1"/>
    <row r="19161" s="283" customFormat="1"/>
    <row r="19162" s="283" customFormat="1"/>
    <row r="19163" s="283" customFormat="1"/>
    <row r="19164" s="283" customFormat="1"/>
    <row r="19165" s="283" customFormat="1"/>
    <row r="19166" s="283" customFormat="1"/>
    <row r="19167" s="283" customFormat="1"/>
    <row r="19168" s="283" customFormat="1"/>
    <row r="19169" s="283" customFormat="1"/>
    <row r="19170" s="283" customFormat="1"/>
    <row r="19171" s="283" customFormat="1"/>
    <row r="19172" s="283" customFormat="1"/>
    <row r="19173" s="283" customFormat="1"/>
    <row r="19174" s="283" customFormat="1"/>
    <row r="19175" s="283" customFormat="1"/>
    <row r="19176" s="283" customFormat="1"/>
    <row r="19177" s="283" customFormat="1"/>
    <row r="19178" s="283" customFormat="1"/>
    <row r="19179" s="283" customFormat="1"/>
    <row r="19180" s="283" customFormat="1"/>
    <row r="19181" s="283" customFormat="1"/>
    <row r="19182" s="283" customFormat="1"/>
    <row r="19183" s="283" customFormat="1"/>
    <row r="19184" s="283" customFormat="1"/>
    <row r="19185" s="283" customFormat="1"/>
    <row r="19186" s="283" customFormat="1"/>
    <row r="19187" s="283" customFormat="1"/>
    <row r="19188" s="283" customFormat="1"/>
    <row r="19189" s="283" customFormat="1"/>
    <row r="19190" s="283" customFormat="1"/>
    <row r="19191" s="283" customFormat="1"/>
    <row r="19192" s="283" customFormat="1"/>
    <row r="19193" s="283" customFormat="1"/>
    <row r="19194" s="283" customFormat="1"/>
    <row r="19195" s="283" customFormat="1"/>
    <row r="19196" s="283" customFormat="1"/>
    <row r="19197" s="283" customFormat="1"/>
    <row r="19198" s="283" customFormat="1"/>
    <row r="19199" s="283" customFormat="1"/>
    <row r="19200" s="283" customFormat="1"/>
    <row r="19201" s="283" customFormat="1"/>
    <row r="19202" s="283" customFormat="1"/>
    <row r="19203" s="283" customFormat="1"/>
    <row r="19204" s="283" customFormat="1"/>
    <row r="19205" s="283" customFormat="1"/>
    <row r="19206" s="283" customFormat="1"/>
    <row r="19207" s="283" customFormat="1"/>
    <row r="19208" s="283" customFormat="1"/>
    <row r="19209" s="283" customFormat="1"/>
    <row r="19210" s="283" customFormat="1"/>
    <row r="19211" s="283" customFormat="1"/>
    <row r="19212" s="283" customFormat="1"/>
    <row r="19213" s="283" customFormat="1"/>
    <row r="19214" s="283" customFormat="1"/>
    <row r="19215" s="283" customFormat="1"/>
    <row r="19216" s="283" customFormat="1"/>
    <row r="19217" s="283" customFormat="1"/>
    <row r="19218" s="283" customFormat="1"/>
    <row r="19219" s="283" customFormat="1"/>
    <row r="19220" s="283" customFormat="1"/>
    <row r="19221" s="283" customFormat="1"/>
    <row r="19222" s="283" customFormat="1"/>
    <row r="19223" s="283" customFormat="1"/>
    <row r="19224" s="283" customFormat="1"/>
    <row r="19225" s="283" customFormat="1"/>
    <row r="19226" s="283" customFormat="1"/>
    <row r="19227" s="283" customFormat="1"/>
    <row r="19228" s="283" customFormat="1"/>
    <row r="19229" s="283" customFormat="1"/>
    <row r="19230" s="283" customFormat="1"/>
    <row r="19231" s="283" customFormat="1"/>
    <row r="19232" s="283" customFormat="1"/>
    <row r="19233" s="283" customFormat="1"/>
    <row r="19234" s="283" customFormat="1"/>
    <row r="19235" s="283" customFormat="1"/>
    <row r="19236" s="283" customFormat="1"/>
    <row r="19237" s="283" customFormat="1"/>
    <row r="19238" s="283" customFormat="1"/>
    <row r="19239" s="283" customFormat="1"/>
    <row r="19240" s="283" customFormat="1"/>
    <row r="19241" s="283" customFormat="1"/>
    <row r="19242" s="283" customFormat="1"/>
    <row r="19243" s="283" customFormat="1"/>
    <row r="19244" s="283" customFormat="1"/>
    <row r="19245" s="283" customFormat="1"/>
    <row r="19246" s="283" customFormat="1"/>
    <row r="19247" s="283" customFormat="1"/>
    <row r="19248" s="283" customFormat="1"/>
    <row r="19249" s="283" customFormat="1"/>
    <row r="19250" s="283" customFormat="1"/>
    <row r="19251" s="283" customFormat="1"/>
    <row r="19252" s="283" customFormat="1"/>
    <row r="19253" s="283" customFormat="1"/>
    <row r="19254" s="283" customFormat="1"/>
    <row r="19255" s="283" customFormat="1"/>
    <row r="19256" s="283" customFormat="1"/>
    <row r="19257" s="283" customFormat="1"/>
    <row r="19258" s="283" customFormat="1"/>
    <row r="19259" s="283" customFormat="1"/>
    <row r="19260" s="283" customFormat="1"/>
    <row r="19261" s="283" customFormat="1"/>
    <row r="19262" s="283" customFormat="1"/>
    <row r="19263" s="283" customFormat="1"/>
    <row r="19264" s="283" customFormat="1"/>
    <row r="19265" s="283" customFormat="1"/>
    <row r="19266" s="283" customFormat="1"/>
    <row r="19267" s="283" customFormat="1"/>
    <row r="19268" s="283" customFormat="1"/>
    <row r="19269" s="283" customFormat="1"/>
    <row r="19270" s="283" customFormat="1"/>
    <row r="19271" s="283" customFormat="1"/>
    <row r="19272" s="283" customFormat="1"/>
    <row r="19273" s="283" customFormat="1"/>
    <row r="19274" s="283" customFormat="1"/>
    <row r="19275" s="283" customFormat="1"/>
    <row r="19276" s="283" customFormat="1"/>
    <row r="19277" s="283" customFormat="1"/>
    <row r="19278" s="283" customFormat="1"/>
    <row r="19279" s="283" customFormat="1"/>
    <row r="19280" s="283" customFormat="1"/>
    <row r="19281" s="283" customFormat="1"/>
    <row r="19282" s="283" customFormat="1"/>
    <row r="19283" s="283" customFormat="1"/>
    <row r="19284" s="283" customFormat="1"/>
    <row r="19285" s="283" customFormat="1"/>
    <row r="19286" s="283" customFormat="1"/>
    <row r="19287" s="283" customFormat="1"/>
    <row r="19288" s="283" customFormat="1"/>
    <row r="19289" s="283" customFormat="1"/>
    <row r="19290" s="283" customFormat="1"/>
    <row r="19291" s="283" customFormat="1"/>
    <row r="19292" s="283" customFormat="1"/>
    <row r="19293" s="283" customFormat="1"/>
    <row r="19294" s="283" customFormat="1"/>
    <row r="19295" s="283" customFormat="1"/>
    <row r="19296" s="283" customFormat="1"/>
    <row r="19297" s="283" customFormat="1"/>
    <row r="19298" s="283" customFormat="1"/>
    <row r="19299" s="283" customFormat="1"/>
    <row r="19300" s="283" customFormat="1"/>
    <row r="19301" s="283" customFormat="1"/>
    <row r="19302" s="283" customFormat="1"/>
    <row r="19303" s="283" customFormat="1"/>
    <row r="19304" s="283" customFormat="1"/>
    <row r="19305" s="283" customFormat="1"/>
    <row r="19306" s="283" customFormat="1"/>
    <row r="19307" s="283" customFormat="1"/>
    <row r="19308" s="283" customFormat="1"/>
    <row r="19309" s="283" customFormat="1"/>
    <row r="19310" s="283" customFormat="1"/>
    <row r="19311" s="283" customFormat="1"/>
    <row r="19312" s="283" customFormat="1"/>
    <row r="19313" s="283" customFormat="1"/>
    <row r="19314" s="283" customFormat="1"/>
    <row r="19315" s="283" customFormat="1"/>
    <row r="19316" s="283" customFormat="1"/>
    <row r="19317" s="283" customFormat="1"/>
    <row r="19318" s="283" customFormat="1"/>
    <row r="19319" s="283" customFormat="1"/>
    <row r="19320" s="283" customFormat="1"/>
    <row r="19321" s="283" customFormat="1"/>
    <row r="19322" s="283" customFormat="1"/>
    <row r="19323" s="283" customFormat="1"/>
    <row r="19324" s="283" customFormat="1"/>
    <row r="19325" s="283" customFormat="1"/>
    <row r="19326" s="283" customFormat="1"/>
    <row r="19327" s="283" customFormat="1"/>
    <row r="19328" s="283" customFormat="1"/>
    <row r="19329" s="283" customFormat="1"/>
    <row r="19330" s="283" customFormat="1"/>
    <row r="19331" s="283" customFormat="1"/>
    <row r="19332" s="283" customFormat="1"/>
    <row r="19333" s="283" customFormat="1"/>
    <row r="19334" s="283" customFormat="1"/>
    <row r="19335" s="283" customFormat="1"/>
    <row r="19336" s="283" customFormat="1"/>
    <row r="19337" s="283" customFormat="1"/>
    <row r="19338" s="283" customFormat="1"/>
    <row r="19339" s="283" customFormat="1"/>
    <row r="19340" s="283" customFormat="1"/>
    <row r="19341" s="283" customFormat="1"/>
    <row r="19342" s="283" customFormat="1"/>
    <row r="19343" s="283" customFormat="1"/>
    <row r="19344" s="283" customFormat="1"/>
    <row r="19345" s="283" customFormat="1"/>
    <row r="19346" s="283" customFormat="1"/>
    <row r="19347" s="283" customFormat="1"/>
    <row r="19348" s="283" customFormat="1"/>
    <row r="19349" s="283" customFormat="1"/>
    <row r="19350" s="283" customFormat="1"/>
    <row r="19351" s="283" customFormat="1"/>
    <row r="19352" s="283" customFormat="1"/>
    <row r="19353" s="283" customFormat="1"/>
    <row r="19354" s="283" customFormat="1"/>
    <row r="19355" s="283" customFormat="1"/>
    <row r="19356" s="283" customFormat="1"/>
    <row r="19357" s="283" customFormat="1"/>
    <row r="19358" s="283" customFormat="1"/>
    <row r="19359" s="283" customFormat="1"/>
    <row r="19360" s="283" customFormat="1"/>
    <row r="19361" s="283" customFormat="1"/>
    <row r="19362" s="283" customFormat="1"/>
    <row r="19363" s="283" customFormat="1"/>
    <row r="19364" s="283" customFormat="1"/>
    <row r="19365" s="283" customFormat="1"/>
    <row r="19366" s="283" customFormat="1"/>
    <row r="19367" s="283" customFormat="1"/>
    <row r="19368" s="283" customFormat="1"/>
    <row r="19369" s="283" customFormat="1"/>
    <row r="19370" s="283" customFormat="1"/>
    <row r="19371" s="283" customFormat="1"/>
    <row r="19372" s="283" customFormat="1"/>
    <row r="19373" s="283" customFormat="1"/>
    <row r="19374" s="283" customFormat="1"/>
    <row r="19375" s="283" customFormat="1"/>
    <row r="19376" s="283" customFormat="1"/>
    <row r="19377" s="283" customFormat="1"/>
    <row r="19378" s="283" customFormat="1"/>
    <row r="19379" s="283" customFormat="1"/>
    <row r="19380" s="283" customFormat="1"/>
    <row r="19381" s="283" customFormat="1"/>
    <row r="19382" s="283" customFormat="1"/>
    <row r="19383" s="283" customFormat="1"/>
    <row r="19384" s="283" customFormat="1"/>
    <row r="19385" s="283" customFormat="1"/>
    <row r="19386" s="283" customFormat="1"/>
    <row r="19387" s="283" customFormat="1"/>
    <row r="19388" s="283" customFormat="1"/>
    <row r="19389" s="283" customFormat="1"/>
    <row r="19390" s="283" customFormat="1"/>
    <row r="19391" s="283" customFormat="1"/>
    <row r="19392" s="283" customFormat="1"/>
    <row r="19393" s="283" customFormat="1"/>
    <row r="19394" s="283" customFormat="1"/>
    <row r="19395" s="283" customFormat="1"/>
    <row r="19396" s="283" customFormat="1"/>
    <row r="19397" s="283" customFormat="1"/>
    <row r="19398" s="283" customFormat="1"/>
    <row r="19399" s="283" customFormat="1"/>
    <row r="19400" s="283" customFormat="1"/>
    <row r="19401" s="283" customFormat="1"/>
    <row r="19402" s="283" customFormat="1"/>
    <row r="19403" s="283" customFormat="1"/>
    <row r="19404" s="283" customFormat="1"/>
    <row r="19405" s="283" customFormat="1"/>
    <row r="19406" s="283" customFormat="1"/>
    <row r="19407" s="283" customFormat="1"/>
    <row r="19408" s="283" customFormat="1"/>
    <row r="19409" s="283" customFormat="1"/>
    <row r="19410" s="283" customFormat="1"/>
    <row r="19411" s="283" customFormat="1"/>
    <row r="19412" s="283" customFormat="1"/>
    <row r="19413" s="283" customFormat="1"/>
    <row r="19414" s="283" customFormat="1"/>
    <row r="19415" s="283" customFormat="1"/>
    <row r="19416" s="283" customFormat="1"/>
    <row r="19417" s="283" customFormat="1"/>
    <row r="19418" s="283" customFormat="1"/>
    <row r="19419" s="283" customFormat="1"/>
    <row r="19420" s="283" customFormat="1"/>
    <row r="19421" s="283" customFormat="1"/>
    <row r="19422" s="283" customFormat="1"/>
    <row r="19423" s="283" customFormat="1"/>
    <row r="19424" s="283" customFormat="1"/>
    <row r="19425" s="283" customFormat="1"/>
    <row r="19426" s="283" customFormat="1"/>
    <row r="19427" s="283" customFormat="1"/>
    <row r="19428" s="283" customFormat="1"/>
    <row r="19429" s="283" customFormat="1"/>
    <row r="19430" s="283" customFormat="1"/>
    <row r="19431" s="283" customFormat="1"/>
    <row r="19432" s="283" customFormat="1"/>
    <row r="19433" s="283" customFormat="1"/>
    <row r="19434" s="283" customFormat="1"/>
    <row r="19435" s="283" customFormat="1"/>
    <row r="19436" s="283" customFormat="1"/>
    <row r="19437" s="283" customFormat="1"/>
    <row r="19438" s="283" customFormat="1"/>
    <row r="19439" s="283" customFormat="1"/>
    <row r="19440" s="283" customFormat="1"/>
    <row r="19441" s="283" customFormat="1"/>
    <row r="19442" s="283" customFormat="1"/>
    <row r="19443" s="283" customFormat="1"/>
    <row r="19444" s="283" customFormat="1"/>
    <row r="19445" s="283" customFormat="1"/>
    <row r="19446" s="283" customFormat="1"/>
    <row r="19447" s="283" customFormat="1"/>
    <row r="19448" s="283" customFormat="1"/>
    <row r="19449" s="283" customFormat="1"/>
    <row r="19450" s="283" customFormat="1"/>
    <row r="19451" s="283" customFormat="1"/>
    <row r="19452" s="283" customFormat="1"/>
    <row r="19453" s="283" customFormat="1"/>
    <row r="19454" s="283" customFormat="1"/>
    <row r="19455" s="283" customFormat="1"/>
    <row r="19456" s="283" customFormat="1"/>
    <row r="19457" s="283" customFormat="1"/>
    <row r="19458" s="283" customFormat="1"/>
    <row r="19459" s="283" customFormat="1"/>
    <row r="19460" s="283" customFormat="1"/>
    <row r="19461" s="283" customFormat="1"/>
    <row r="19462" s="283" customFormat="1"/>
    <row r="19463" s="283" customFormat="1"/>
    <row r="19464" s="283" customFormat="1"/>
    <row r="19465" s="283" customFormat="1"/>
    <row r="19466" s="283" customFormat="1"/>
    <row r="19467" s="283" customFormat="1"/>
    <row r="19468" s="283" customFormat="1"/>
    <row r="19469" s="283" customFormat="1"/>
    <row r="19470" s="283" customFormat="1"/>
    <row r="19471" s="283" customFormat="1"/>
    <row r="19472" s="283" customFormat="1"/>
    <row r="19473" s="283" customFormat="1"/>
    <row r="19474" s="283" customFormat="1"/>
    <row r="19475" s="283" customFormat="1"/>
    <row r="19476" s="283" customFormat="1"/>
    <row r="19477" s="283" customFormat="1"/>
    <row r="19478" s="283" customFormat="1"/>
    <row r="19479" s="283" customFormat="1"/>
    <row r="19480" s="283" customFormat="1"/>
    <row r="19481" s="283" customFormat="1"/>
    <row r="19482" s="283" customFormat="1"/>
    <row r="19483" s="283" customFormat="1"/>
    <row r="19484" s="283" customFormat="1"/>
    <row r="19485" s="283" customFormat="1"/>
    <row r="19486" s="283" customFormat="1"/>
    <row r="19487" s="283" customFormat="1"/>
    <row r="19488" s="283" customFormat="1"/>
    <row r="19489" s="283" customFormat="1"/>
    <row r="19490" s="283" customFormat="1"/>
    <row r="19491" s="283" customFormat="1"/>
    <row r="19492" s="283" customFormat="1"/>
    <row r="19493" s="283" customFormat="1"/>
    <row r="19494" s="283" customFormat="1"/>
    <row r="19495" s="283" customFormat="1"/>
    <row r="19496" s="283" customFormat="1"/>
    <row r="19497" s="283" customFormat="1"/>
    <row r="19498" s="283" customFormat="1"/>
    <row r="19499" s="283" customFormat="1"/>
    <row r="19500" s="283" customFormat="1"/>
    <row r="19501" s="283" customFormat="1"/>
    <row r="19502" s="283" customFormat="1"/>
    <row r="19503" s="283" customFormat="1"/>
    <row r="19504" s="283" customFormat="1"/>
    <row r="19505" s="283" customFormat="1"/>
    <row r="19506" s="283" customFormat="1"/>
    <row r="19507" s="283" customFormat="1"/>
    <row r="19508" s="283" customFormat="1"/>
    <row r="19509" s="283" customFormat="1"/>
    <row r="19510" s="283" customFormat="1"/>
    <row r="19511" s="283" customFormat="1"/>
    <row r="19512" s="283" customFormat="1"/>
    <row r="19513" s="283" customFormat="1"/>
    <row r="19514" s="283" customFormat="1"/>
    <row r="19515" s="283" customFormat="1"/>
    <row r="19516" s="283" customFormat="1"/>
    <row r="19517" s="283" customFormat="1"/>
    <row r="19518" s="283" customFormat="1"/>
    <row r="19519" s="283" customFormat="1"/>
    <row r="19520" s="283" customFormat="1"/>
    <row r="19521" s="283" customFormat="1"/>
    <row r="19522" s="283" customFormat="1"/>
    <row r="19523" s="283" customFormat="1"/>
    <row r="19524" s="283" customFormat="1"/>
    <row r="19525" s="283" customFormat="1"/>
    <row r="19526" s="283" customFormat="1"/>
    <row r="19527" s="283" customFormat="1"/>
    <row r="19528" s="283" customFormat="1"/>
    <row r="19529" s="283" customFormat="1"/>
    <row r="19530" s="283" customFormat="1"/>
    <row r="19531" s="283" customFormat="1"/>
    <row r="19532" s="283" customFormat="1"/>
    <row r="19533" s="283" customFormat="1"/>
    <row r="19534" s="283" customFormat="1"/>
    <row r="19535" s="283" customFormat="1"/>
    <row r="19536" s="283" customFormat="1"/>
    <row r="19537" s="283" customFormat="1"/>
    <row r="19538" s="283" customFormat="1"/>
    <row r="19539" s="283" customFormat="1"/>
    <row r="19540" s="283" customFormat="1"/>
    <row r="19541" s="283" customFormat="1"/>
    <row r="19542" s="283" customFormat="1"/>
    <row r="19543" s="283" customFormat="1"/>
    <row r="19544" s="283" customFormat="1"/>
    <row r="19545" s="283" customFormat="1"/>
    <row r="19546" s="283" customFormat="1"/>
    <row r="19547" s="283" customFormat="1"/>
    <row r="19548" s="283" customFormat="1"/>
    <row r="19549" s="283" customFormat="1"/>
    <row r="19550" s="283" customFormat="1"/>
    <row r="19551" s="283" customFormat="1"/>
    <row r="19552" s="283" customFormat="1"/>
    <row r="19553" s="283" customFormat="1"/>
    <row r="19554" s="283" customFormat="1"/>
    <row r="19555" s="283" customFormat="1"/>
    <row r="19556" s="283" customFormat="1"/>
    <row r="19557" s="283" customFormat="1"/>
    <row r="19558" s="283" customFormat="1"/>
    <row r="19559" s="283" customFormat="1"/>
    <row r="19560" s="283" customFormat="1"/>
    <row r="19561" s="283" customFormat="1"/>
    <row r="19562" s="283" customFormat="1"/>
    <row r="19563" s="283" customFormat="1"/>
    <row r="19564" s="283" customFormat="1"/>
    <row r="19565" s="283" customFormat="1"/>
    <row r="19566" s="283" customFormat="1"/>
    <row r="19567" s="283" customFormat="1"/>
    <row r="19568" s="283" customFormat="1"/>
    <row r="19569" s="283" customFormat="1"/>
    <row r="19570" s="283" customFormat="1"/>
    <row r="19571" s="283" customFormat="1"/>
    <row r="19572" s="283" customFormat="1"/>
    <row r="19573" s="283" customFormat="1"/>
    <row r="19574" s="283" customFormat="1"/>
    <row r="19575" s="283" customFormat="1"/>
    <row r="19576" s="283" customFormat="1"/>
    <row r="19577" s="283" customFormat="1"/>
    <row r="19578" s="283" customFormat="1"/>
    <row r="19579" s="283" customFormat="1"/>
    <row r="19580" s="283" customFormat="1"/>
    <row r="19581" s="283" customFormat="1"/>
    <row r="19582" s="283" customFormat="1"/>
    <row r="19583" s="283" customFormat="1"/>
    <row r="19584" s="283" customFormat="1"/>
    <row r="19585" s="283" customFormat="1"/>
    <row r="19586" s="283" customFormat="1"/>
    <row r="19587" s="283" customFormat="1"/>
    <row r="19588" s="283" customFormat="1"/>
    <row r="19589" s="283" customFormat="1"/>
    <row r="19590" s="283" customFormat="1"/>
    <row r="19591" s="283" customFormat="1"/>
    <row r="19592" s="283" customFormat="1"/>
    <row r="19593" s="283" customFormat="1"/>
    <row r="19594" s="283" customFormat="1"/>
    <row r="19595" s="283" customFormat="1"/>
    <row r="19596" s="283" customFormat="1"/>
    <row r="19597" s="283" customFormat="1"/>
    <row r="19598" s="283" customFormat="1"/>
    <row r="19599" s="283" customFormat="1"/>
    <row r="19600" s="283" customFormat="1"/>
    <row r="19601" s="283" customFormat="1"/>
    <row r="19602" s="283" customFormat="1"/>
    <row r="19603" s="283" customFormat="1"/>
    <row r="19604" s="283" customFormat="1"/>
    <row r="19605" s="283" customFormat="1"/>
    <row r="19606" s="283" customFormat="1"/>
    <row r="19607" s="283" customFormat="1"/>
    <row r="19608" s="283" customFormat="1"/>
    <row r="19609" s="283" customFormat="1"/>
    <row r="19610" s="283" customFormat="1"/>
    <row r="19611" s="283" customFormat="1"/>
    <row r="19612" s="283" customFormat="1"/>
    <row r="19613" s="283" customFormat="1"/>
    <row r="19614" s="283" customFormat="1"/>
    <row r="19615" s="283" customFormat="1"/>
    <row r="19616" s="283" customFormat="1"/>
    <row r="19617" s="283" customFormat="1"/>
    <row r="19618" s="283" customFormat="1"/>
    <row r="19619" s="283" customFormat="1"/>
    <row r="19620" s="283" customFormat="1"/>
    <row r="19621" s="283" customFormat="1"/>
    <row r="19622" s="283" customFormat="1"/>
    <row r="19623" s="283" customFormat="1"/>
    <row r="19624" s="283" customFormat="1"/>
    <row r="19625" s="283" customFormat="1"/>
    <row r="19626" s="283" customFormat="1"/>
    <row r="19627" s="283" customFormat="1"/>
    <row r="19628" s="283" customFormat="1"/>
    <row r="19629" s="283" customFormat="1"/>
    <row r="19630" s="283" customFormat="1"/>
    <row r="19631" s="283" customFormat="1"/>
    <row r="19632" s="283" customFormat="1"/>
    <row r="19633" s="283" customFormat="1"/>
    <row r="19634" s="283" customFormat="1"/>
    <row r="19635" s="283" customFormat="1"/>
    <row r="19636" s="283" customFormat="1"/>
    <row r="19637" s="283" customFormat="1"/>
    <row r="19638" s="283" customFormat="1"/>
    <row r="19639" s="283" customFormat="1"/>
    <row r="19640" s="283" customFormat="1"/>
    <row r="19641" s="283" customFormat="1"/>
    <row r="19642" s="283" customFormat="1"/>
    <row r="19643" s="283" customFormat="1"/>
    <row r="19644" s="283" customFormat="1"/>
    <row r="19645" s="283" customFormat="1"/>
    <row r="19646" s="283" customFormat="1"/>
    <row r="19647" s="283" customFormat="1"/>
    <row r="19648" s="283" customFormat="1"/>
    <row r="19649" s="283" customFormat="1"/>
    <row r="19650" s="283" customFormat="1"/>
    <row r="19651" s="283" customFormat="1"/>
    <row r="19652" s="283" customFormat="1"/>
    <row r="19653" s="283" customFormat="1"/>
    <row r="19654" s="283" customFormat="1"/>
    <row r="19655" s="283" customFormat="1"/>
    <row r="19656" s="283" customFormat="1"/>
    <row r="19657" s="283" customFormat="1"/>
    <row r="19658" s="283" customFormat="1"/>
    <row r="19659" s="283" customFormat="1"/>
    <row r="19660" s="283" customFormat="1"/>
    <row r="19661" s="283" customFormat="1"/>
    <row r="19662" s="283" customFormat="1"/>
    <row r="19663" s="283" customFormat="1"/>
    <row r="19664" s="283" customFormat="1"/>
    <row r="19665" s="283" customFormat="1"/>
    <row r="19666" s="283" customFormat="1"/>
    <row r="19667" s="283" customFormat="1"/>
    <row r="19668" s="283" customFormat="1"/>
    <row r="19669" s="283" customFormat="1"/>
    <row r="19670" s="283" customFormat="1"/>
    <row r="19671" s="283" customFormat="1"/>
    <row r="19672" s="283" customFormat="1"/>
    <row r="19673" s="283" customFormat="1"/>
    <row r="19674" s="283" customFormat="1"/>
    <row r="19675" s="283" customFormat="1"/>
    <row r="19676" s="283" customFormat="1"/>
    <row r="19677" s="283" customFormat="1"/>
    <row r="19678" s="283" customFormat="1"/>
    <row r="19679" s="283" customFormat="1"/>
    <row r="19680" s="283" customFormat="1"/>
    <row r="19681" s="283" customFormat="1"/>
    <row r="19682" s="283" customFormat="1"/>
    <row r="19683" s="283" customFormat="1"/>
    <row r="19684" s="283" customFormat="1"/>
    <row r="19685" s="283" customFormat="1"/>
    <row r="19686" s="283" customFormat="1"/>
    <row r="19687" s="283" customFormat="1"/>
    <row r="19688" s="283" customFormat="1"/>
    <row r="19689" s="283" customFormat="1"/>
    <row r="19690" s="283" customFormat="1"/>
    <row r="19691" s="283" customFormat="1"/>
    <row r="19692" s="283" customFormat="1"/>
    <row r="19693" s="283" customFormat="1"/>
    <row r="19694" s="283" customFormat="1"/>
    <row r="19695" s="283" customFormat="1"/>
    <row r="19696" s="283" customFormat="1"/>
    <row r="19697" s="283" customFormat="1"/>
    <row r="19698" s="283" customFormat="1"/>
    <row r="19699" s="283" customFormat="1"/>
    <row r="19700" s="283" customFormat="1"/>
    <row r="19701" s="283" customFormat="1"/>
    <row r="19702" s="283" customFormat="1"/>
    <row r="19703" s="283" customFormat="1"/>
    <row r="19704" s="283" customFormat="1"/>
    <row r="19705" s="283" customFormat="1"/>
    <row r="19706" s="283" customFormat="1"/>
    <row r="19707" s="283" customFormat="1"/>
    <row r="19708" s="283" customFormat="1"/>
    <row r="19709" s="283" customFormat="1"/>
    <row r="19710" s="283" customFormat="1"/>
    <row r="19711" s="283" customFormat="1"/>
    <row r="19712" s="283" customFormat="1"/>
    <row r="19713" s="283" customFormat="1"/>
    <row r="19714" s="283" customFormat="1"/>
    <row r="19715" s="283" customFormat="1"/>
    <row r="19716" s="283" customFormat="1"/>
    <row r="19717" s="283" customFormat="1"/>
    <row r="19718" s="283" customFormat="1"/>
    <row r="19719" s="283" customFormat="1"/>
    <row r="19720" s="283" customFormat="1"/>
    <row r="19721" s="283" customFormat="1"/>
    <row r="19722" s="283" customFormat="1"/>
    <row r="19723" s="283" customFormat="1"/>
    <row r="19724" s="283" customFormat="1"/>
    <row r="19725" s="283" customFormat="1"/>
    <row r="19726" s="283" customFormat="1"/>
    <row r="19727" s="283" customFormat="1"/>
    <row r="19728" s="283" customFormat="1"/>
    <row r="19729" s="283" customFormat="1"/>
    <row r="19730" s="283" customFormat="1"/>
    <row r="19731" s="283" customFormat="1"/>
    <row r="19732" s="283" customFormat="1"/>
    <row r="19733" s="283" customFormat="1"/>
    <row r="19734" s="283" customFormat="1"/>
    <row r="19735" s="283" customFormat="1"/>
    <row r="19736" s="283" customFormat="1"/>
    <row r="19737" s="283" customFormat="1"/>
    <row r="19738" s="283" customFormat="1"/>
    <row r="19739" s="283" customFormat="1"/>
    <row r="19740" s="283" customFormat="1"/>
    <row r="19741" s="283" customFormat="1"/>
    <row r="19742" s="283" customFormat="1"/>
    <row r="19743" s="283" customFormat="1"/>
    <row r="19744" s="283" customFormat="1"/>
    <row r="19745" s="283" customFormat="1"/>
    <row r="19746" s="283" customFormat="1"/>
    <row r="19747" s="283" customFormat="1"/>
    <row r="19748" s="283" customFormat="1"/>
    <row r="19749" s="283" customFormat="1"/>
    <row r="19750" s="283" customFormat="1"/>
    <row r="19751" s="283" customFormat="1"/>
    <row r="19752" s="283" customFormat="1"/>
    <row r="19753" s="283" customFormat="1"/>
    <row r="19754" s="283" customFormat="1"/>
    <row r="19755" s="283" customFormat="1"/>
    <row r="19756" s="283" customFormat="1"/>
    <row r="19757" s="283" customFormat="1"/>
    <row r="19758" s="283" customFormat="1"/>
    <row r="19759" s="283" customFormat="1"/>
    <row r="19760" s="283" customFormat="1"/>
    <row r="19761" s="283" customFormat="1"/>
    <row r="19762" s="283" customFormat="1"/>
    <row r="19763" s="283" customFormat="1"/>
    <row r="19764" s="283" customFormat="1"/>
    <row r="19765" s="283" customFormat="1"/>
    <row r="19766" s="283" customFormat="1"/>
    <row r="19767" s="283" customFormat="1"/>
    <row r="19768" s="283" customFormat="1"/>
    <row r="19769" s="283" customFormat="1"/>
    <row r="19770" s="283" customFormat="1"/>
    <row r="19771" s="283" customFormat="1"/>
    <row r="19772" s="283" customFormat="1"/>
    <row r="19773" s="283" customFormat="1"/>
    <row r="19774" s="283" customFormat="1"/>
    <row r="19775" s="283" customFormat="1"/>
    <row r="19776" s="283" customFormat="1"/>
    <row r="19777" s="283" customFormat="1"/>
    <row r="19778" s="283" customFormat="1"/>
    <row r="19779" s="283" customFormat="1"/>
    <row r="19780" s="283" customFormat="1"/>
    <row r="19781" s="283" customFormat="1"/>
    <row r="19782" s="283" customFormat="1"/>
    <row r="19783" s="283" customFormat="1"/>
    <row r="19784" s="283" customFormat="1"/>
    <row r="19785" s="283" customFormat="1"/>
    <row r="19786" s="283" customFormat="1"/>
    <row r="19787" s="283" customFormat="1"/>
    <row r="19788" s="283" customFormat="1"/>
    <row r="19789" s="283" customFormat="1"/>
    <row r="19790" s="283" customFormat="1"/>
    <row r="19791" s="283" customFormat="1"/>
    <row r="19792" s="283" customFormat="1"/>
    <row r="19793" s="283" customFormat="1"/>
    <row r="19794" s="283" customFormat="1"/>
    <row r="19795" s="283" customFormat="1"/>
    <row r="19796" s="283" customFormat="1"/>
    <row r="19797" s="283" customFormat="1"/>
    <row r="19798" s="283" customFormat="1"/>
    <row r="19799" s="283" customFormat="1"/>
    <row r="19800" s="283" customFormat="1"/>
    <row r="19801" s="283" customFormat="1"/>
    <row r="19802" s="283" customFormat="1"/>
    <row r="19803" s="283" customFormat="1"/>
    <row r="19804" s="283" customFormat="1"/>
    <row r="19805" s="283" customFormat="1"/>
    <row r="19806" s="283" customFormat="1"/>
    <row r="19807" s="283" customFormat="1"/>
    <row r="19808" s="283" customFormat="1"/>
    <row r="19809" s="283" customFormat="1"/>
    <row r="19810" s="283" customFormat="1"/>
    <row r="19811" s="283" customFormat="1"/>
    <row r="19812" s="283" customFormat="1"/>
    <row r="19813" s="283" customFormat="1"/>
    <row r="19814" s="283" customFormat="1"/>
    <row r="19815" s="283" customFormat="1"/>
    <row r="19816" s="283" customFormat="1"/>
    <row r="19817" s="283" customFormat="1"/>
    <row r="19818" s="283" customFormat="1"/>
    <row r="19819" s="283" customFormat="1"/>
    <row r="19820" s="283" customFormat="1"/>
    <row r="19821" s="283" customFormat="1"/>
    <row r="19822" s="283" customFormat="1"/>
    <row r="19823" s="283" customFormat="1"/>
    <row r="19824" s="283" customFormat="1"/>
    <row r="19825" s="283" customFormat="1"/>
    <row r="19826" s="283" customFormat="1"/>
    <row r="19827" s="283" customFormat="1"/>
    <row r="19828" s="283" customFormat="1"/>
    <row r="19829" s="283" customFormat="1"/>
    <row r="19830" s="283" customFormat="1"/>
    <row r="19831" s="283" customFormat="1"/>
    <row r="19832" s="283" customFormat="1"/>
    <row r="19833" s="283" customFormat="1"/>
    <row r="19834" s="283" customFormat="1"/>
    <row r="19835" s="283" customFormat="1"/>
    <row r="19836" s="283" customFormat="1"/>
    <row r="19837" s="283" customFormat="1"/>
    <row r="19838" s="283" customFormat="1"/>
    <row r="19839" s="283" customFormat="1"/>
    <row r="19840" s="283" customFormat="1"/>
    <row r="19841" s="283" customFormat="1"/>
    <row r="19842" s="283" customFormat="1"/>
    <row r="19843" s="283" customFormat="1"/>
    <row r="19844" s="283" customFormat="1"/>
    <row r="19845" s="283" customFormat="1"/>
    <row r="19846" s="283" customFormat="1"/>
    <row r="19847" s="283" customFormat="1"/>
    <row r="19848" s="283" customFormat="1"/>
    <row r="19849" s="283" customFormat="1"/>
    <row r="19850" s="283" customFormat="1"/>
    <row r="19851" s="283" customFormat="1"/>
    <row r="19852" s="283" customFormat="1"/>
    <row r="19853" s="283" customFormat="1"/>
    <row r="19854" s="283" customFormat="1"/>
    <row r="19855" s="283" customFormat="1"/>
    <row r="19856" s="283" customFormat="1"/>
    <row r="19857" s="283" customFormat="1"/>
    <row r="19858" s="283" customFormat="1"/>
    <row r="19859" s="283" customFormat="1"/>
    <row r="19860" s="283" customFormat="1"/>
    <row r="19861" s="283" customFormat="1"/>
    <row r="19862" s="283" customFormat="1"/>
    <row r="19863" s="283" customFormat="1"/>
    <row r="19864" s="283" customFormat="1"/>
    <row r="19865" s="283" customFormat="1"/>
    <row r="19866" s="283" customFormat="1"/>
    <row r="19867" s="283" customFormat="1"/>
    <row r="19868" s="283" customFormat="1"/>
    <row r="19869" s="283" customFormat="1"/>
    <row r="19870" s="283" customFormat="1"/>
    <row r="19871" s="283" customFormat="1"/>
    <row r="19872" s="283" customFormat="1"/>
    <row r="19873" s="283" customFormat="1"/>
    <row r="19874" s="283" customFormat="1"/>
    <row r="19875" s="283" customFormat="1"/>
    <row r="19876" s="283" customFormat="1"/>
    <row r="19877" s="283" customFormat="1"/>
    <row r="19878" s="283" customFormat="1"/>
    <row r="19879" s="283" customFormat="1"/>
    <row r="19880" s="283" customFormat="1"/>
    <row r="19881" s="283" customFormat="1"/>
    <row r="19882" s="283" customFormat="1"/>
    <row r="19883" s="283" customFormat="1"/>
    <row r="19884" s="283" customFormat="1"/>
    <row r="19885" s="283" customFormat="1"/>
    <row r="19886" s="283" customFormat="1"/>
    <row r="19887" s="283" customFormat="1"/>
    <row r="19888" s="283" customFormat="1"/>
    <row r="19889" s="283" customFormat="1"/>
    <row r="19890" s="283" customFormat="1"/>
    <row r="19891" s="283" customFormat="1"/>
    <row r="19892" s="283" customFormat="1"/>
    <row r="19893" s="283" customFormat="1"/>
    <row r="19894" s="283" customFormat="1"/>
    <row r="19895" s="283" customFormat="1"/>
    <row r="19896" s="283" customFormat="1"/>
    <row r="19897" s="283" customFormat="1"/>
    <row r="19898" s="283" customFormat="1"/>
    <row r="19899" s="283" customFormat="1"/>
    <row r="19900" s="283" customFormat="1"/>
    <row r="19901" s="283" customFormat="1"/>
    <row r="19902" s="283" customFormat="1"/>
    <row r="19903" s="283" customFormat="1"/>
    <row r="19904" s="283" customFormat="1"/>
    <row r="19905" s="283" customFormat="1"/>
    <row r="19906" s="283" customFormat="1"/>
    <row r="19907" s="283" customFormat="1"/>
    <row r="19908" s="283" customFormat="1"/>
    <row r="19909" s="283" customFormat="1"/>
    <row r="19910" s="283" customFormat="1"/>
    <row r="19911" s="283" customFormat="1"/>
    <row r="19912" s="283" customFormat="1"/>
    <row r="19913" s="283" customFormat="1"/>
    <row r="19914" s="283" customFormat="1"/>
    <row r="19915" s="283" customFormat="1"/>
    <row r="19916" s="283" customFormat="1"/>
    <row r="19917" s="283" customFormat="1"/>
    <row r="19918" s="283" customFormat="1"/>
    <row r="19919" s="283" customFormat="1"/>
    <row r="19920" s="283" customFormat="1"/>
    <row r="19921" s="283" customFormat="1"/>
    <row r="19922" s="283" customFormat="1"/>
    <row r="19923" s="283" customFormat="1"/>
    <row r="19924" s="283" customFormat="1"/>
    <row r="19925" s="283" customFormat="1"/>
    <row r="19926" s="283" customFormat="1"/>
    <row r="19927" s="283" customFormat="1"/>
    <row r="19928" s="283" customFormat="1"/>
    <row r="19929" s="283" customFormat="1"/>
    <row r="19930" s="283" customFormat="1"/>
    <row r="19931" s="283" customFormat="1"/>
    <row r="19932" s="283" customFormat="1"/>
    <row r="19933" s="283" customFormat="1"/>
    <row r="19934" s="283" customFormat="1"/>
    <row r="19935" s="283" customFormat="1"/>
    <row r="19936" s="283" customFormat="1"/>
    <row r="19937" s="283" customFormat="1"/>
    <row r="19938" s="283" customFormat="1"/>
    <row r="19939" s="283" customFormat="1"/>
    <row r="19940" s="283" customFormat="1"/>
    <row r="19941" s="283" customFormat="1"/>
    <row r="19942" s="283" customFormat="1"/>
    <row r="19943" s="283" customFormat="1"/>
    <row r="19944" s="283" customFormat="1"/>
    <row r="19945" s="283" customFormat="1"/>
    <row r="19946" s="283" customFormat="1"/>
    <row r="19947" s="283" customFormat="1"/>
    <row r="19948" s="283" customFormat="1"/>
    <row r="19949" s="283" customFormat="1"/>
    <row r="19950" s="283" customFormat="1"/>
    <row r="19951" s="283" customFormat="1"/>
    <row r="19952" s="283" customFormat="1"/>
    <row r="19953" s="283" customFormat="1"/>
    <row r="19954" s="283" customFormat="1"/>
    <row r="19955" s="283" customFormat="1"/>
    <row r="19956" s="283" customFormat="1"/>
    <row r="19957" s="283" customFormat="1"/>
    <row r="19958" s="283" customFormat="1"/>
    <row r="19959" s="283" customFormat="1"/>
    <row r="19960" s="283" customFormat="1"/>
    <row r="19961" s="283" customFormat="1"/>
    <row r="19962" s="283" customFormat="1"/>
    <row r="19963" s="283" customFormat="1"/>
    <row r="19964" s="283" customFormat="1"/>
    <row r="19965" s="283" customFormat="1"/>
    <row r="19966" s="283" customFormat="1"/>
    <row r="19967" s="283" customFormat="1"/>
    <row r="19968" s="283" customFormat="1"/>
    <row r="19969" s="283" customFormat="1"/>
    <row r="19970" s="283" customFormat="1"/>
    <row r="19971" s="283" customFormat="1"/>
    <row r="19972" s="283" customFormat="1"/>
    <row r="19973" s="283" customFormat="1"/>
    <row r="19974" s="283" customFormat="1"/>
    <row r="19975" s="283" customFormat="1"/>
    <row r="19976" s="283" customFormat="1"/>
    <row r="19977" s="283" customFormat="1"/>
    <row r="19978" s="283" customFormat="1"/>
    <row r="19979" s="283" customFormat="1"/>
    <row r="19980" s="283" customFormat="1"/>
    <row r="19981" s="283" customFormat="1"/>
    <row r="19982" s="283" customFormat="1"/>
    <row r="19983" s="283" customFormat="1"/>
    <row r="19984" s="283" customFormat="1"/>
    <row r="19985" s="283" customFormat="1"/>
    <row r="19986" s="283" customFormat="1"/>
    <row r="19987" s="283" customFormat="1"/>
    <row r="19988" s="283" customFormat="1"/>
    <row r="19989" s="283" customFormat="1"/>
    <row r="19990" s="283" customFormat="1"/>
    <row r="19991" s="283" customFormat="1"/>
    <row r="19992" s="283" customFormat="1"/>
    <row r="19993" s="283" customFormat="1"/>
    <row r="19994" s="283" customFormat="1"/>
    <row r="19995" s="283" customFormat="1"/>
    <row r="19996" s="283" customFormat="1"/>
    <row r="19997" s="283" customFormat="1"/>
    <row r="19998" s="283" customFormat="1"/>
    <row r="19999" s="283" customFormat="1"/>
    <row r="20000" s="283" customFormat="1"/>
    <row r="20001" s="283" customFormat="1"/>
    <row r="20002" s="283" customFormat="1"/>
    <row r="20003" s="283" customFormat="1"/>
    <row r="20004" s="283" customFormat="1"/>
    <row r="20005" s="283" customFormat="1"/>
    <row r="20006" s="283" customFormat="1"/>
    <row r="20007" s="283" customFormat="1"/>
    <row r="20008" s="283" customFormat="1"/>
    <row r="20009" s="283" customFormat="1"/>
    <row r="20010" s="283" customFormat="1"/>
    <row r="20011" s="283" customFormat="1"/>
    <row r="20012" s="283" customFormat="1"/>
    <row r="20013" s="283" customFormat="1"/>
    <row r="20014" s="283" customFormat="1"/>
    <row r="20015" s="283" customFormat="1"/>
    <row r="20016" s="283" customFormat="1"/>
    <row r="20017" s="283" customFormat="1"/>
    <row r="20018" s="283" customFormat="1"/>
    <row r="20019" s="283" customFormat="1"/>
    <row r="20020" s="283" customFormat="1"/>
    <row r="20021" s="283" customFormat="1"/>
    <row r="20022" s="283" customFormat="1"/>
    <row r="20023" s="283" customFormat="1"/>
    <row r="20024" s="283" customFormat="1"/>
    <row r="20025" s="283" customFormat="1"/>
    <row r="20026" s="283" customFormat="1"/>
    <row r="20027" s="283" customFormat="1"/>
    <row r="20028" s="283" customFormat="1"/>
    <row r="20029" s="283" customFormat="1"/>
    <row r="20030" s="283" customFormat="1"/>
    <row r="20031" s="283" customFormat="1"/>
    <row r="20032" s="283" customFormat="1"/>
    <row r="20033" s="283" customFormat="1"/>
    <row r="20034" s="283" customFormat="1"/>
    <row r="20035" s="283" customFormat="1"/>
    <row r="20036" s="283" customFormat="1"/>
    <row r="20037" s="283" customFormat="1"/>
    <row r="20038" s="283" customFormat="1"/>
    <row r="20039" s="283" customFormat="1"/>
    <row r="20040" s="283" customFormat="1"/>
    <row r="20041" s="283" customFormat="1"/>
    <row r="20042" s="283" customFormat="1"/>
    <row r="20043" s="283" customFormat="1"/>
    <row r="20044" s="283" customFormat="1"/>
    <row r="20045" s="283" customFormat="1"/>
    <row r="20046" s="283" customFormat="1"/>
    <row r="20047" s="283" customFormat="1"/>
    <row r="20048" s="283" customFormat="1"/>
    <row r="20049" s="283" customFormat="1"/>
    <row r="20050" s="283" customFormat="1"/>
    <row r="20051" s="283" customFormat="1"/>
    <row r="20052" s="283" customFormat="1"/>
    <row r="20053" s="283" customFormat="1"/>
    <row r="20054" s="283" customFormat="1"/>
    <row r="20055" s="283" customFormat="1"/>
    <row r="20056" s="283" customFormat="1"/>
    <row r="20057" s="283" customFormat="1"/>
    <row r="20058" s="283" customFormat="1"/>
    <row r="20059" s="283" customFormat="1"/>
    <row r="20060" s="283" customFormat="1"/>
    <row r="20061" s="283" customFormat="1"/>
    <row r="20062" s="283" customFormat="1"/>
    <row r="20063" s="283" customFormat="1"/>
    <row r="20064" s="283" customFormat="1"/>
    <row r="20065" s="283" customFormat="1"/>
    <row r="20066" s="283" customFormat="1"/>
    <row r="20067" s="283" customFormat="1"/>
    <row r="20068" s="283" customFormat="1"/>
    <row r="20069" s="283" customFormat="1"/>
    <row r="20070" s="283" customFormat="1"/>
    <row r="20071" s="283" customFormat="1"/>
    <row r="20072" s="283" customFormat="1"/>
    <row r="20073" s="283" customFormat="1"/>
    <row r="20074" s="283" customFormat="1"/>
    <row r="20075" s="283" customFormat="1"/>
    <row r="20076" s="283" customFormat="1"/>
    <row r="20077" s="283" customFormat="1"/>
    <row r="20078" s="283" customFormat="1"/>
    <row r="20079" s="283" customFormat="1"/>
    <row r="20080" s="283" customFormat="1"/>
    <row r="20081" s="283" customFormat="1"/>
    <row r="20082" s="283" customFormat="1"/>
    <row r="20083" s="283" customFormat="1"/>
    <row r="20084" s="283" customFormat="1"/>
    <row r="20085" s="283" customFormat="1"/>
    <row r="20086" s="283" customFormat="1"/>
    <row r="20087" s="283" customFormat="1"/>
    <row r="20088" s="283" customFormat="1"/>
    <row r="20089" s="283" customFormat="1"/>
    <row r="20090" s="283" customFormat="1"/>
    <row r="20091" s="283" customFormat="1"/>
    <row r="20092" s="283" customFormat="1"/>
    <row r="20093" s="283" customFormat="1"/>
    <row r="20094" s="283" customFormat="1"/>
    <row r="20095" s="283" customFormat="1"/>
    <row r="20096" s="283" customFormat="1"/>
    <row r="20097" s="283" customFormat="1"/>
    <row r="20098" s="283" customFormat="1"/>
    <row r="20099" s="283" customFormat="1"/>
    <row r="20100" s="283" customFormat="1"/>
    <row r="20101" s="283" customFormat="1"/>
    <row r="20102" s="283" customFormat="1"/>
    <row r="20103" s="283" customFormat="1"/>
    <row r="20104" s="283" customFormat="1"/>
    <row r="20105" s="283" customFormat="1"/>
    <row r="20106" s="283" customFormat="1"/>
    <row r="20107" s="283" customFormat="1"/>
    <row r="20108" s="283" customFormat="1"/>
    <row r="20109" s="283" customFormat="1"/>
    <row r="20110" s="283" customFormat="1"/>
    <row r="20111" s="283" customFormat="1"/>
    <row r="20112" s="283" customFormat="1"/>
    <row r="20113" s="283" customFormat="1"/>
    <row r="20114" s="283" customFormat="1"/>
    <row r="20115" s="283" customFormat="1"/>
    <row r="20116" s="283" customFormat="1"/>
    <row r="20117" s="283" customFormat="1"/>
    <row r="20118" s="283" customFormat="1"/>
    <row r="20119" s="283" customFormat="1"/>
    <row r="20120" s="283" customFormat="1"/>
    <row r="20121" s="283" customFormat="1"/>
    <row r="20122" s="283" customFormat="1"/>
    <row r="20123" s="283" customFormat="1"/>
    <row r="20124" s="283" customFormat="1"/>
    <row r="20125" s="283" customFormat="1"/>
    <row r="20126" s="283" customFormat="1"/>
    <row r="20127" s="283" customFormat="1"/>
    <row r="20128" s="283" customFormat="1"/>
    <row r="20129" s="283" customFormat="1"/>
    <row r="20130" s="283" customFormat="1"/>
    <row r="20131" s="283" customFormat="1"/>
    <row r="20132" s="283" customFormat="1"/>
    <row r="20133" s="283" customFormat="1"/>
    <row r="20134" s="283" customFormat="1"/>
    <row r="20135" s="283" customFormat="1"/>
    <row r="20136" s="283" customFormat="1"/>
    <row r="20137" s="283" customFormat="1"/>
    <row r="20138" s="283" customFormat="1"/>
    <row r="20139" s="283" customFormat="1"/>
    <row r="20140" s="283" customFormat="1"/>
    <row r="20141" s="283" customFormat="1"/>
    <row r="20142" s="283" customFormat="1"/>
    <row r="20143" s="283" customFormat="1"/>
    <row r="20144" s="283" customFormat="1"/>
    <row r="20145" s="283" customFormat="1"/>
    <row r="20146" s="283" customFormat="1"/>
    <row r="20147" s="283" customFormat="1"/>
    <row r="20148" s="283" customFormat="1"/>
    <row r="20149" s="283" customFormat="1"/>
    <row r="20150" s="283" customFormat="1"/>
    <row r="20151" s="283" customFormat="1"/>
    <row r="20152" s="283" customFormat="1"/>
    <row r="20153" s="283" customFormat="1"/>
    <row r="20154" s="283" customFormat="1"/>
    <row r="20155" s="283" customFormat="1"/>
    <row r="20156" s="283" customFormat="1"/>
    <row r="20157" s="283" customFormat="1"/>
    <row r="20158" s="283" customFormat="1"/>
    <row r="20159" s="283" customFormat="1"/>
    <row r="20160" s="283" customFormat="1"/>
    <row r="20161" s="283" customFormat="1"/>
    <row r="20162" s="283" customFormat="1"/>
    <row r="20163" s="283" customFormat="1"/>
    <row r="20164" s="283" customFormat="1"/>
    <row r="20165" s="283" customFormat="1"/>
    <row r="20166" s="283" customFormat="1"/>
    <row r="20167" s="283" customFormat="1"/>
    <row r="20168" s="283" customFormat="1"/>
    <row r="20169" s="283" customFormat="1"/>
    <row r="20170" s="283" customFormat="1"/>
    <row r="20171" s="283" customFormat="1"/>
    <row r="20172" s="283" customFormat="1"/>
    <row r="20173" s="283" customFormat="1"/>
    <row r="20174" s="283" customFormat="1"/>
    <row r="20175" s="283" customFormat="1"/>
    <row r="20176" s="283" customFormat="1"/>
    <row r="20177" s="283" customFormat="1"/>
    <row r="20178" s="283" customFormat="1"/>
    <row r="20179" s="283" customFormat="1"/>
    <row r="20180" s="283" customFormat="1"/>
    <row r="20181" s="283" customFormat="1"/>
    <row r="20182" s="283" customFormat="1"/>
    <row r="20183" s="283" customFormat="1"/>
    <row r="20184" s="283" customFormat="1"/>
    <row r="20185" s="283" customFormat="1"/>
    <row r="20186" s="283" customFormat="1"/>
    <row r="20187" s="283" customFormat="1"/>
    <row r="20188" s="283" customFormat="1"/>
    <row r="20189" s="283" customFormat="1"/>
    <row r="20190" s="283" customFormat="1"/>
    <row r="20191" s="283" customFormat="1"/>
    <row r="20192" s="283" customFormat="1"/>
    <row r="20193" s="283" customFormat="1"/>
    <row r="20194" s="283" customFormat="1"/>
    <row r="20195" s="283" customFormat="1"/>
    <row r="20196" s="283" customFormat="1"/>
    <row r="20197" s="283" customFormat="1"/>
    <row r="20198" s="283" customFormat="1"/>
    <row r="20199" s="283" customFormat="1"/>
    <row r="20200" s="283" customFormat="1"/>
    <row r="20201" s="283" customFormat="1"/>
    <row r="20202" s="283" customFormat="1"/>
    <row r="20203" s="283" customFormat="1"/>
    <row r="20204" s="283" customFormat="1"/>
    <row r="20205" s="283" customFormat="1"/>
    <row r="20206" s="283" customFormat="1"/>
    <row r="20207" s="283" customFormat="1"/>
    <row r="20208" s="283" customFormat="1"/>
    <row r="20209" s="283" customFormat="1"/>
    <row r="20210" s="283" customFormat="1"/>
    <row r="20211" s="283" customFormat="1"/>
    <row r="20212" s="283" customFormat="1"/>
    <row r="20213" s="283" customFormat="1"/>
    <row r="20214" s="283" customFormat="1"/>
    <row r="20215" s="283" customFormat="1"/>
    <row r="20216" s="283" customFormat="1"/>
    <row r="20217" s="283" customFormat="1"/>
    <row r="20218" s="283" customFormat="1"/>
    <row r="20219" s="283" customFormat="1"/>
    <row r="20220" s="283" customFormat="1"/>
    <row r="20221" s="283" customFormat="1"/>
    <row r="20222" s="283" customFormat="1"/>
    <row r="20223" s="283" customFormat="1"/>
    <row r="20224" s="283" customFormat="1"/>
    <row r="20225" s="283" customFormat="1"/>
    <row r="20226" s="283" customFormat="1"/>
    <row r="20227" s="283" customFormat="1"/>
    <row r="20228" s="283" customFormat="1"/>
    <row r="20229" s="283" customFormat="1"/>
    <row r="20230" s="283" customFormat="1"/>
    <row r="20231" s="283" customFormat="1"/>
    <row r="20232" s="283" customFormat="1"/>
    <row r="20233" s="283" customFormat="1"/>
    <row r="20234" s="283" customFormat="1"/>
    <row r="20235" s="283" customFormat="1"/>
    <row r="20236" s="283" customFormat="1"/>
    <row r="20237" s="283" customFormat="1"/>
    <row r="20238" s="283" customFormat="1"/>
    <row r="20239" s="283" customFormat="1"/>
    <row r="20240" s="283" customFormat="1"/>
    <row r="20241" s="283" customFormat="1"/>
    <row r="20242" s="283" customFormat="1"/>
    <row r="20243" s="283" customFormat="1"/>
    <row r="20244" s="283" customFormat="1"/>
    <row r="20245" s="283" customFormat="1"/>
    <row r="20246" s="283" customFormat="1"/>
    <row r="20247" s="283" customFormat="1"/>
    <row r="20248" s="283" customFormat="1"/>
    <row r="20249" s="283" customFormat="1"/>
    <row r="20250" s="283" customFormat="1"/>
    <row r="20251" s="283" customFormat="1"/>
    <row r="20252" s="283" customFormat="1"/>
    <row r="20253" s="283" customFormat="1"/>
    <row r="20254" s="283" customFormat="1"/>
    <row r="20255" s="283" customFormat="1"/>
    <row r="20256" s="283" customFormat="1"/>
    <row r="20257" s="283" customFormat="1"/>
    <row r="20258" s="283" customFormat="1"/>
    <row r="20259" s="283" customFormat="1"/>
    <row r="20260" s="283" customFormat="1"/>
    <row r="20261" s="283" customFormat="1"/>
    <row r="20262" s="283" customFormat="1"/>
    <row r="20263" s="283" customFormat="1"/>
    <row r="20264" s="283" customFormat="1"/>
    <row r="20265" s="283" customFormat="1"/>
    <row r="20266" s="283" customFormat="1"/>
    <row r="20267" s="283" customFormat="1"/>
    <row r="20268" s="283" customFormat="1"/>
    <row r="20269" s="283" customFormat="1"/>
    <row r="20270" s="283" customFormat="1"/>
    <row r="20271" s="283" customFormat="1"/>
    <row r="20272" s="283" customFormat="1"/>
    <row r="20273" s="283" customFormat="1"/>
    <row r="20274" s="283" customFormat="1"/>
    <row r="20275" s="283" customFormat="1"/>
    <row r="20276" s="283" customFormat="1"/>
    <row r="20277" s="283" customFormat="1"/>
    <row r="20278" s="283" customFormat="1"/>
    <row r="20279" s="283" customFormat="1"/>
    <row r="20280" s="283" customFormat="1"/>
    <row r="20281" s="283" customFormat="1"/>
    <row r="20282" s="283" customFormat="1"/>
    <row r="20283" s="283" customFormat="1"/>
    <row r="20284" s="283" customFormat="1"/>
    <row r="20285" s="283" customFormat="1"/>
    <row r="20286" s="283" customFormat="1"/>
    <row r="20287" s="283" customFormat="1"/>
    <row r="20288" s="283" customFormat="1"/>
    <row r="20289" s="283" customFormat="1"/>
    <row r="20290" s="283" customFormat="1"/>
    <row r="20291" s="283" customFormat="1"/>
    <row r="20292" s="283" customFormat="1"/>
    <row r="20293" s="283" customFormat="1"/>
    <row r="20294" s="283" customFormat="1"/>
    <row r="20295" s="283" customFormat="1"/>
    <row r="20296" s="283" customFormat="1"/>
    <row r="20297" s="283" customFormat="1"/>
    <row r="20298" s="283" customFormat="1"/>
    <row r="20299" s="283" customFormat="1"/>
    <row r="20300" s="283" customFormat="1"/>
    <row r="20301" s="283" customFormat="1"/>
    <row r="20302" s="283" customFormat="1"/>
    <row r="20303" s="283" customFormat="1"/>
    <row r="20304" s="283" customFormat="1"/>
    <row r="20305" s="283" customFormat="1"/>
    <row r="20306" s="283" customFormat="1"/>
    <row r="20307" s="283" customFormat="1"/>
    <row r="20308" s="283" customFormat="1"/>
    <row r="20309" s="283" customFormat="1"/>
    <row r="20310" s="283" customFormat="1"/>
    <row r="20311" s="283" customFormat="1"/>
    <row r="20312" s="283" customFormat="1"/>
    <row r="20313" s="283" customFormat="1"/>
    <row r="20314" s="283" customFormat="1"/>
    <row r="20315" s="283" customFormat="1"/>
    <row r="20316" s="283" customFormat="1"/>
    <row r="20317" s="283" customFormat="1"/>
    <row r="20318" s="283" customFormat="1"/>
    <row r="20319" s="283" customFormat="1"/>
    <row r="20320" s="283" customFormat="1"/>
    <row r="20321" s="283" customFormat="1"/>
    <row r="20322" s="283" customFormat="1"/>
    <row r="20323" s="283" customFormat="1"/>
    <row r="20324" s="283" customFormat="1"/>
    <row r="20325" s="283" customFormat="1"/>
    <row r="20326" s="283" customFormat="1"/>
    <row r="20327" s="283" customFormat="1"/>
    <row r="20328" s="283" customFormat="1"/>
    <row r="20329" s="283" customFormat="1"/>
    <row r="20330" s="283" customFormat="1"/>
    <row r="20331" s="283" customFormat="1"/>
    <row r="20332" s="283" customFormat="1"/>
    <row r="20333" s="283" customFormat="1"/>
    <row r="20334" s="283" customFormat="1"/>
    <row r="20335" s="283" customFormat="1"/>
    <row r="20336" s="283" customFormat="1"/>
    <row r="20337" s="283" customFormat="1"/>
    <row r="20338" s="283" customFormat="1"/>
    <row r="20339" s="283" customFormat="1"/>
    <row r="20340" s="283" customFormat="1"/>
    <row r="20341" s="283" customFormat="1"/>
    <row r="20342" s="283" customFormat="1"/>
    <row r="20343" s="283" customFormat="1"/>
    <row r="20344" s="283" customFormat="1"/>
    <row r="20345" s="283" customFormat="1"/>
    <row r="20346" s="283" customFormat="1"/>
    <row r="20347" s="283" customFormat="1"/>
    <row r="20348" s="283" customFormat="1"/>
    <row r="20349" s="283" customFormat="1"/>
    <row r="20350" s="283" customFormat="1"/>
    <row r="20351" s="283" customFormat="1"/>
    <row r="20352" s="283" customFormat="1"/>
    <row r="20353" s="283" customFormat="1"/>
    <row r="20354" s="283" customFormat="1"/>
    <row r="20355" s="283" customFormat="1"/>
    <row r="20356" s="283" customFormat="1"/>
    <row r="20357" s="283" customFormat="1"/>
    <row r="20358" s="283" customFormat="1"/>
    <row r="20359" s="283" customFormat="1"/>
    <row r="20360" s="283" customFormat="1"/>
    <row r="20361" s="283" customFormat="1"/>
    <row r="20362" s="283" customFormat="1"/>
    <row r="20363" s="283" customFormat="1"/>
    <row r="20364" s="283" customFormat="1"/>
    <row r="20365" s="283" customFormat="1"/>
    <row r="20366" s="283" customFormat="1"/>
    <row r="20367" s="283" customFormat="1"/>
    <row r="20368" s="283" customFormat="1"/>
    <row r="20369" s="283" customFormat="1"/>
    <row r="20370" s="283" customFormat="1"/>
    <row r="20371" s="283" customFormat="1"/>
    <row r="20372" s="283" customFormat="1"/>
    <row r="20373" s="283" customFormat="1"/>
    <row r="20374" s="283" customFormat="1"/>
    <row r="20375" s="283" customFormat="1"/>
    <row r="20376" s="283" customFormat="1"/>
    <row r="20377" s="283" customFormat="1"/>
    <row r="20378" s="283" customFormat="1"/>
    <row r="20379" s="283" customFormat="1"/>
    <row r="20380" s="283" customFormat="1"/>
    <row r="20381" s="283" customFormat="1"/>
    <row r="20382" s="283" customFormat="1"/>
    <row r="20383" s="283" customFormat="1"/>
    <row r="20384" s="283" customFormat="1"/>
    <row r="20385" s="283" customFormat="1"/>
    <row r="20386" s="283" customFormat="1"/>
    <row r="20387" s="283" customFormat="1"/>
    <row r="20388" s="283" customFormat="1"/>
    <row r="20389" s="283" customFormat="1"/>
    <row r="20390" s="283" customFormat="1"/>
    <row r="20391" s="283" customFormat="1"/>
    <row r="20392" s="283" customFormat="1"/>
    <row r="20393" s="283" customFormat="1"/>
    <row r="20394" s="283" customFormat="1"/>
    <row r="20395" s="283" customFormat="1"/>
    <row r="20396" s="283" customFormat="1"/>
    <row r="20397" s="283" customFormat="1"/>
    <row r="20398" s="283" customFormat="1"/>
    <row r="20399" s="283" customFormat="1"/>
    <row r="20400" s="283" customFormat="1"/>
    <row r="20401" s="283" customFormat="1"/>
    <row r="20402" s="283" customFormat="1"/>
    <row r="20403" s="283" customFormat="1"/>
    <row r="20404" s="283" customFormat="1"/>
    <row r="20405" s="283" customFormat="1"/>
    <row r="20406" s="283" customFormat="1"/>
    <row r="20407" s="283" customFormat="1"/>
    <row r="20408" s="283" customFormat="1"/>
    <row r="20409" s="283" customFormat="1"/>
    <row r="20410" s="283" customFormat="1"/>
    <row r="20411" s="283" customFormat="1"/>
    <row r="20412" s="283" customFormat="1"/>
    <row r="20413" s="283" customFormat="1"/>
    <row r="20414" s="283" customFormat="1"/>
    <row r="20415" s="283" customFormat="1"/>
    <row r="20416" s="283" customFormat="1"/>
    <row r="20417" s="283" customFormat="1"/>
    <row r="20418" s="283" customFormat="1"/>
    <row r="20419" s="283" customFormat="1"/>
    <row r="20420" s="283" customFormat="1"/>
    <row r="20421" s="283" customFormat="1"/>
    <row r="20422" s="283" customFormat="1"/>
    <row r="20423" s="283" customFormat="1"/>
    <row r="20424" s="283" customFormat="1"/>
    <row r="20425" s="283" customFormat="1"/>
    <row r="20426" s="283" customFormat="1"/>
    <row r="20427" s="283" customFormat="1"/>
    <row r="20428" s="283" customFormat="1"/>
    <row r="20429" s="283" customFormat="1"/>
    <row r="20430" s="283" customFormat="1"/>
    <row r="20431" s="283" customFormat="1"/>
    <row r="20432" s="283" customFormat="1"/>
    <row r="20433" s="283" customFormat="1"/>
    <row r="20434" s="283" customFormat="1"/>
    <row r="20435" s="283" customFormat="1"/>
    <row r="20436" s="283" customFormat="1"/>
    <row r="20437" s="283" customFormat="1"/>
    <row r="20438" s="283" customFormat="1"/>
    <row r="20439" s="283" customFormat="1"/>
    <row r="20440" s="283" customFormat="1"/>
    <row r="20441" s="283" customFormat="1"/>
    <row r="20442" s="283" customFormat="1"/>
    <row r="20443" s="283" customFormat="1"/>
    <row r="20444" s="283" customFormat="1"/>
    <row r="20445" s="283" customFormat="1"/>
    <row r="20446" s="283" customFormat="1"/>
    <row r="20447" s="283" customFormat="1"/>
    <row r="20448" s="283" customFormat="1"/>
    <row r="20449" s="283" customFormat="1"/>
    <row r="20450" s="283" customFormat="1"/>
    <row r="20451" s="283" customFormat="1"/>
    <row r="20452" s="283" customFormat="1"/>
    <row r="20453" s="283" customFormat="1"/>
    <row r="20454" s="283" customFormat="1"/>
    <row r="20455" s="283" customFormat="1"/>
    <row r="20456" s="283" customFormat="1"/>
    <row r="20457" s="283" customFormat="1"/>
    <row r="20458" s="283" customFormat="1"/>
    <row r="20459" s="283" customFormat="1"/>
    <row r="20460" s="283" customFormat="1"/>
    <row r="20461" s="283" customFormat="1"/>
    <row r="20462" s="283" customFormat="1"/>
    <row r="20463" s="283" customFormat="1"/>
    <row r="20464" s="283" customFormat="1"/>
    <row r="20465" s="283" customFormat="1"/>
    <row r="20466" s="283" customFormat="1"/>
    <row r="20467" s="283" customFormat="1"/>
    <row r="20468" s="283" customFormat="1"/>
    <row r="20469" s="283" customFormat="1"/>
    <row r="20470" s="283" customFormat="1"/>
    <row r="20471" s="283" customFormat="1"/>
    <row r="20472" s="283" customFormat="1"/>
    <row r="20473" s="283" customFormat="1"/>
    <row r="20474" s="283" customFormat="1"/>
    <row r="20475" s="283" customFormat="1"/>
    <row r="20476" s="283" customFormat="1"/>
    <row r="20477" s="283" customFormat="1"/>
    <row r="20478" s="283" customFormat="1"/>
    <row r="20479" s="283" customFormat="1"/>
    <row r="20480" s="283" customFormat="1"/>
    <row r="20481" s="283" customFormat="1"/>
    <row r="20482" s="283" customFormat="1"/>
    <row r="20483" s="283" customFormat="1"/>
    <row r="20484" s="283" customFormat="1"/>
    <row r="20485" s="283" customFormat="1"/>
    <row r="20486" s="283" customFormat="1"/>
    <row r="20487" s="283" customFormat="1"/>
    <row r="20488" s="283" customFormat="1"/>
    <row r="20489" s="283" customFormat="1"/>
    <row r="20490" s="283" customFormat="1"/>
    <row r="20491" s="283" customFormat="1"/>
    <row r="20492" s="283" customFormat="1"/>
    <row r="20493" s="283" customFormat="1"/>
    <row r="20494" s="283" customFormat="1"/>
    <row r="20495" s="283" customFormat="1"/>
    <row r="20496" s="283" customFormat="1"/>
    <row r="20497" s="283" customFormat="1"/>
    <row r="20498" s="283" customFormat="1"/>
    <row r="20499" s="283" customFormat="1"/>
    <row r="20500" s="283" customFormat="1"/>
    <row r="20501" s="283" customFormat="1"/>
    <row r="20502" s="283" customFormat="1"/>
    <row r="20503" s="283" customFormat="1"/>
    <row r="20504" s="283" customFormat="1"/>
    <row r="20505" s="283" customFormat="1"/>
    <row r="20506" s="283" customFormat="1"/>
    <row r="20507" s="283" customFormat="1"/>
    <row r="20508" s="283" customFormat="1"/>
    <row r="20509" s="283" customFormat="1"/>
    <row r="20510" s="283" customFormat="1"/>
    <row r="20511" s="283" customFormat="1"/>
    <row r="20512" s="283" customFormat="1"/>
    <row r="20513" s="283" customFormat="1"/>
    <row r="20514" s="283" customFormat="1"/>
    <row r="20515" s="283" customFormat="1"/>
    <row r="20516" s="283" customFormat="1"/>
    <row r="20517" s="283" customFormat="1"/>
    <row r="20518" s="283" customFormat="1"/>
    <row r="20519" s="283" customFormat="1"/>
    <row r="20520" s="283" customFormat="1"/>
    <row r="20521" s="283" customFormat="1"/>
    <row r="20522" s="283" customFormat="1"/>
    <row r="20523" s="283" customFormat="1"/>
    <row r="20524" s="283" customFormat="1"/>
    <row r="20525" s="283" customFormat="1"/>
    <row r="20526" s="283" customFormat="1"/>
    <row r="20527" s="283" customFormat="1"/>
    <row r="20528" s="283" customFormat="1"/>
    <row r="20529" s="283" customFormat="1"/>
    <row r="20530" s="283" customFormat="1"/>
    <row r="20531" s="283" customFormat="1"/>
    <row r="20532" s="283" customFormat="1"/>
    <row r="20533" s="283" customFormat="1"/>
    <row r="20534" s="283" customFormat="1"/>
    <row r="20535" s="283" customFormat="1"/>
    <row r="20536" s="283" customFormat="1"/>
    <row r="20537" s="283" customFormat="1"/>
    <row r="20538" s="283" customFormat="1"/>
    <row r="20539" s="283" customFormat="1"/>
    <row r="20540" s="283" customFormat="1"/>
    <row r="20541" s="283" customFormat="1"/>
    <row r="20542" s="283" customFormat="1"/>
    <row r="20543" s="283" customFormat="1"/>
    <row r="20544" s="283" customFormat="1"/>
    <row r="20545" s="283" customFormat="1"/>
    <row r="20546" s="283" customFormat="1"/>
    <row r="20547" s="283" customFormat="1"/>
    <row r="20548" s="283" customFormat="1"/>
    <row r="20549" s="283" customFormat="1"/>
    <row r="20550" s="283" customFormat="1"/>
    <row r="20551" s="283" customFormat="1"/>
    <row r="20552" s="283" customFormat="1"/>
    <row r="20553" s="283" customFormat="1"/>
    <row r="20554" s="283" customFormat="1"/>
    <row r="20555" s="283" customFormat="1"/>
    <row r="20556" s="283" customFormat="1"/>
    <row r="20557" s="283" customFormat="1"/>
    <row r="20558" s="283" customFormat="1"/>
    <row r="20559" s="283" customFormat="1"/>
    <row r="20560" s="283" customFormat="1"/>
    <row r="20561" s="283" customFormat="1"/>
    <row r="20562" s="283" customFormat="1"/>
    <row r="20563" s="283" customFormat="1"/>
    <row r="20564" s="283" customFormat="1"/>
    <row r="20565" s="283" customFormat="1"/>
    <row r="20566" s="283" customFormat="1"/>
    <row r="20567" s="283" customFormat="1"/>
    <row r="20568" s="283" customFormat="1"/>
    <row r="20569" s="283" customFormat="1"/>
    <row r="20570" s="283" customFormat="1"/>
    <row r="20571" s="283" customFormat="1"/>
    <row r="20572" s="283" customFormat="1"/>
    <row r="20573" s="283" customFormat="1"/>
    <row r="20574" s="283" customFormat="1"/>
    <row r="20575" s="283" customFormat="1"/>
    <row r="20576" s="283" customFormat="1"/>
    <row r="20577" s="283" customFormat="1"/>
    <row r="20578" s="283" customFormat="1"/>
    <row r="20579" s="283" customFormat="1"/>
    <row r="20580" s="283" customFormat="1"/>
    <row r="20581" s="283" customFormat="1"/>
    <row r="20582" s="283" customFormat="1"/>
    <row r="20583" s="283" customFormat="1"/>
    <row r="20584" s="283" customFormat="1"/>
    <row r="20585" s="283" customFormat="1"/>
    <row r="20586" s="283" customFormat="1"/>
    <row r="20587" s="283" customFormat="1"/>
    <row r="20588" s="283" customFormat="1"/>
    <row r="20589" s="283" customFormat="1"/>
    <row r="20590" s="283" customFormat="1"/>
    <row r="20591" s="283" customFormat="1"/>
    <row r="20592" s="283" customFormat="1"/>
    <row r="20593" s="283" customFormat="1"/>
    <row r="20594" s="283" customFormat="1"/>
    <row r="20595" s="283" customFormat="1"/>
    <row r="20596" s="283" customFormat="1"/>
    <row r="20597" s="283" customFormat="1"/>
    <row r="20598" s="283" customFormat="1"/>
    <row r="20599" s="283" customFormat="1"/>
    <row r="20600" s="283" customFormat="1"/>
    <row r="20601" s="283" customFormat="1"/>
    <row r="20602" s="283" customFormat="1"/>
    <row r="20603" s="283" customFormat="1"/>
    <row r="20604" s="283" customFormat="1"/>
    <row r="20605" s="283" customFormat="1"/>
    <row r="20606" s="283" customFormat="1"/>
    <row r="20607" s="283" customFormat="1"/>
    <row r="20608" s="283" customFormat="1"/>
    <row r="20609" s="283" customFormat="1"/>
    <row r="20610" s="283" customFormat="1"/>
    <row r="20611" s="283" customFormat="1"/>
    <row r="20612" s="283" customFormat="1"/>
    <row r="20613" s="283" customFormat="1"/>
    <row r="20614" s="283" customFormat="1"/>
    <row r="20615" s="283" customFormat="1"/>
    <row r="20616" s="283" customFormat="1"/>
    <row r="20617" s="283" customFormat="1"/>
    <row r="20618" s="283" customFormat="1"/>
    <row r="20619" s="283" customFormat="1"/>
    <row r="20620" s="283" customFormat="1"/>
    <row r="20621" s="283" customFormat="1"/>
    <row r="20622" s="283" customFormat="1"/>
    <row r="20623" s="283" customFormat="1"/>
    <row r="20624" s="283" customFormat="1"/>
    <row r="20625" s="283" customFormat="1"/>
    <row r="20626" s="283" customFormat="1"/>
    <row r="20627" s="283" customFormat="1"/>
    <row r="20628" s="283" customFormat="1"/>
    <row r="20629" s="283" customFormat="1"/>
    <row r="20630" s="283" customFormat="1"/>
    <row r="20631" s="283" customFormat="1"/>
    <row r="20632" s="283" customFormat="1"/>
    <row r="20633" s="283" customFormat="1"/>
    <row r="20634" s="283" customFormat="1"/>
    <row r="20635" s="283" customFormat="1"/>
    <row r="20636" s="283" customFormat="1"/>
    <row r="20637" s="283" customFormat="1"/>
    <row r="20638" s="283" customFormat="1"/>
    <row r="20639" s="283" customFormat="1"/>
    <row r="20640" s="283" customFormat="1"/>
    <row r="20641" s="283" customFormat="1"/>
    <row r="20642" s="283" customFormat="1"/>
    <row r="20643" s="283" customFormat="1"/>
    <row r="20644" s="283" customFormat="1"/>
    <row r="20645" s="283" customFormat="1"/>
    <row r="20646" s="283" customFormat="1"/>
    <row r="20647" s="283" customFormat="1"/>
    <row r="20648" s="283" customFormat="1"/>
    <row r="20649" s="283" customFormat="1"/>
    <row r="20650" s="283" customFormat="1"/>
    <row r="20651" s="283" customFormat="1"/>
    <row r="20652" s="283" customFormat="1"/>
    <row r="20653" s="283" customFormat="1"/>
    <row r="20654" s="283" customFormat="1"/>
    <row r="20655" s="283" customFormat="1"/>
    <row r="20656" s="283" customFormat="1"/>
    <row r="20657" s="283" customFormat="1"/>
    <row r="20658" s="283" customFormat="1"/>
    <row r="20659" s="283" customFormat="1"/>
    <row r="20660" s="283" customFormat="1"/>
    <row r="20661" s="283" customFormat="1"/>
    <row r="20662" s="283" customFormat="1"/>
    <row r="20663" s="283" customFormat="1"/>
    <row r="20664" s="283" customFormat="1"/>
    <row r="20665" s="283" customFormat="1"/>
    <row r="20666" s="283" customFormat="1"/>
    <row r="20667" s="283" customFormat="1"/>
    <row r="20668" s="283" customFormat="1"/>
    <row r="20669" s="283" customFormat="1"/>
    <row r="20670" s="283" customFormat="1"/>
    <row r="20671" s="283" customFormat="1"/>
    <row r="20672" s="283" customFormat="1"/>
    <row r="20673" s="283" customFormat="1"/>
    <row r="20674" s="283" customFormat="1"/>
    <row r="20675" s="283" customFormat="1"/>
    <row r="20676" s="283" customFormat="1"/>
    <row r="20677" s="283" customFormat="1"/>
    <row r="20678" s="283" customFormat="1"/>
    <row r="20679" s="283" customFormat="1"/>
    <row r="20680" s="283" customFormat="1"/>
    <row r="20681" s="283" customFormat="1"/>
    <row r="20682" s="283" customFormat="1"/>
    <row r="20683" s="283" customFormat="1"/>
    <row r="20684" s="283" customFormat="1"/>
    <row r="20685" s="283" customFormat="1"/>
    <row r="20686" s="283" customFormat="1"/>
    <row r="20687" s="283" customFormat="1"/>
    <row r="20688" s="283" customFormat="1"/>
    <row r="20689" s="283" customFormat="1"/>
    <row r="20690" s="283" customFormat="1"/>
    <row r="20691" s="283" customFormat="1"/>
    <row r="20692" s="283" customFormat="1"/>
    <row r="20693" s="283" customFormat="1"/>
    <row r="20694" s="283" customFormat="1"/>
    <row r="20695" s="283" customFormat="1"/>
    <row r="20696" s="283" customFormat="1"/>
    <row r="20697" s="283" customFormat="1"/>
    <row r="20698" s="283" customFormat="1"/>
    <row r="20699" s="283" customFormat="1"/>
    <row r="20700" s="283" customFormat="1"/>
    <row r="20701" s="283" customFormat="1"/>
    <row r="20702" s="283" customFormat="1"/>
    <row r="20703" s="283" customFormat="1"/>
    <row r="20704" s="283" customFormat="1"/>
    <row r="20705" s="283" customFormat="1"/>
    <row r="20706" s="283" customFormat="1"/>
    <row r="20707" s="283" customFormat="1"/>
    <row r="20708" s="283" customFormat="1"/>
    <row r="20709" s="283" customFormat="1"/>
    <row r="20710" s="283" customFormat="1"/>
    <row r="20711" s="283" customFormat="1"/>
    <row r="20712" s="283" customFormat="1"/>
    <row r="20713" s="283" customFormat="1"/>
    <row r="20714" s="283" customFormat="1"/>
    <row r="20715" s="283" customFormat="1"/>
    <row r="20716" s="283" customFormat="1"/>
    <row r="20717" s="283" customFormat="1"/>
    <row r="20718" s="283" customFormat="1"/>
    <row r="20719" s="283" customFormat="1"/>
    <row r="20720" s="283" customFormat="1"/>
    <row r="20721" s="283" customFormat="1"/>
    <row r="20722" s="283" customFormat="1"/>
    <row r="20723" s="283" customFormat="1"/>
    <row r="20724" s="283" customFormat="1"/>
    <row r="20725" s="283" customFormat="1"/>
    <row r="20726" s="283" customFormat="1"/>
    <row r="20727" s="283" customFormat="1"/>
    <row r="20728" s="283" customFormat="1"/>
    <row r="20729" s="283" customFormat="1"/>
    <row r="20730" s="283" customFormat="1"/>
    <row r="20731" s="283" customFormat="1"/>
    <row r="20732" s="283" customFormat="1"/>
    <row r="20733" s="283" customFormat="1"/>
    <row r="20734" s="283" customFormat="1"/>
    <row r="20735" s="283" customFormat="1"/>
    <row r="20736" s="283" customFormat="1"/>
    <row r="20737" s="283" customFormat="1"/>
    <row r="20738" s="283" customFormat="1"/>
    <row r="20739" s="283" customFormat="1"/>
    <row r="20740" s="283" customFormat="1"/>
    <row r="20741" s="283" customFormat="1"/>
    <row r="20742" s="283" customFormat="1"/>
    <row r="20743" s="283" customFormat="1"/>
    <row r="20744" s="283" customFormat="1"/>
    <row r="20745" s="283" customFormat="1"/>
    <row r="20746" s="283" customFormat="1"/>
    <row r="20747" s="283" customFormat="1"/>
    <row r="20748" s="283" customFormat="1"/>
    <row r="20749" s="283" customFormat="1"/>
    <row r="20750" s="283" customFormat="1"/>
    <row r="20751" s="283" customFormat="1"/>
    <row r="20752" s="283" customFormat="1"/>
    <row r="20753" s="283" customFormat="1"/>
    <row r="20754" s="283" customFormat="1"/>
    <row r="20755" s="283" customFormat="1"/>
    <row r="20756" s="283" customFormat="1"/>
    <row r="20757" s="283" customFormat="1"/>
    <row r="20758" s="283" customFormat="1"/>
    <row r="20759" s="283" customFormat="1"/>
    <row r="20760" s="283" customFormat="1"/>
    <row r="20761" s="283" customFormat="1"/>
    <row r="20762" s="283" customFormat="1"/>
    <row r="20763" s="283" customFormat="1"/>
    <row r="20764" s="283" customFormat="1"/>
    <row r="20765" s="283" customFormat="1"/>
    <row r="20766" s="283" customFormat="1"/>
    <row r="20767" s="283" customFormat="1"/>
    <row r="20768" s="283" customFormat="1"/>
    <row r="20769" s="283" customFormat="1"/>
    <row r="20770" s="283" customFormat="1"/>
    <row r="20771" s="283" customFormat="1"/>
    <row r="20772" s="283" customFormat="1"/>
    <row r="20773" s="283" customFormat="1"/>
    <row r="20774" s="283" customFormat="1"/>
    <row r="20775" s="283" customFormat="1"/>
    <row r="20776" s="283" customFormat="1"/>
    <row r="20777" s="283" customFormat="1"/>
    <row r="20778" s="283" customFormat="1"/>
    <row r="20779" s="283" customFormat="1"/>
    <row r="20780" s="283" customFormat="1"/>
    <row r="20781" s="283" customFormat="1"/>
    <row r="20782" s="283" customFormat="1"/>
    <row r="20783" s="283" customFormat="1"/>
    <row r="20784" s="283" customFormat="1"/>
    <row r="20785" s="283" customFormat="1"/>
    <row r="20786" s="283" customFormat="1"/>
    <row r="20787" s="283" customFormat="1"/>
    <row r="20788" s="283" customFormat="1"/>
    <row r="20789" s="283" customFormat="1"/>
    <row r="20790" s="283" customFormat="1"/>
    <row r="20791" s="283" customFormat="1"/>
    <row r="20792" s="283" customFormat="1"/>
    <row r="20793" s="283" customFormat="1"/>
    <row r="20794" s="283" customFormat="1"/>
    <row r="20795" s="283" customFormat="1"/>
    <row r="20796" s="283" customFormat="1"/>
    <row r="20797" s="283" customFormat="1"/>
    <row r="20798" s="283" customFormat="1"/>
    <row r="20799" s="283" customFormat="1"/>
    <row r="20800" s="283" customFormat="1"/>
    <row r="20801" s="283" customFormat="1"/>
    <row r="20802" s="283" customFormat="1"/>
    <row r="20803" s="283" customFormat="1"/>
    <row r="20804" s="283" customFormat="1"/>
    <row r="20805" s="283" customFormat="1"/>
    <row r="20806" s="283" customFormat="1"/>
    <row r="20807" s="283" customFormat="1"/>
    <row r="20808" s="283" customFormat="1"/>
    <row r="20809" s="283" customFormat="1"/>
    <row r="20810" s="283" customFormat="1"/>
    <row r="20811" s="283" customFormat="1"/>
    <row r="20812" s="283" customFormat="1"/>
    <row r="20813" s="283" customFormat="1"/>
    <row r="20814" s="283" customFormat="1"/>
    <row r="20815" s="283" customFormat="1"/>
    <row r="20816" s="283" customFormat="1"/>
    <row r="20817" s="283" customFormat="1"/>
    <row r="20818" s="283" customFormat="1"/>
    <row r="20819" s="283" customFormat="1"/>
    <row r="20820" s="283" customFormat="1"/>
    <row r="20821" s="283" customFormat="1"/>
    <row r="20822" s="283" customFormat="1"/>
    <row r="20823" s="283" customFormat="1"/>
    <row r="20824" s="283" customFormat="1"/>
    <row r="20825" s="283" customFormat="1"/>
    <row r="20826" s="283" customFormat="1"/>
    <row r="20827" s="283" customFormat="1"/>
    <row r="20828" s="283" customFormat="1"/>
    <row r="20829" s="283" customFormat="1"/>
    <row r="20830" s="283" customFormat="1"/>
    <row r="20831" s="283" customFormat="1"/>
    <row r="20832" s="283" customFormat="1"/>
    <row r="20833" s="283" customFormat="1"/>
    <row r="20834" s="283" customFormat="1"/>
    <row r="20835" s="283" customFormat="1"/>
    <row r="20836" s="283" customFormat="1"/>
    <row r="20837" s="283" customFormat="1"/>
    <row r="20838" s="283" customFormat="1"/>
    <row r="20839" s="283" customFormat="1"/>
    <row r="20840" s="283" customFormat="1"/>
    <row r="20841" s="283" customFormat="1"/>
    <row r="20842" s="283" customFormat="1"/>
    <row r="20843" s="283" customFormat="1"/>
    <row r="20844" s="283" customFormat="1"/>
    <row r="20845" s="283" customFormat="1"/>
    <row r="20846" s="283" customFormat="1"/>
    <row r="20847" s="283" customFormat="1"/>
    <row r="20848" s="283" customFormat="1"/>
    <row r="20849" s="283" customFormat="1"/>
    <row r="20850" s="283" customFormat="1"/>
    <row r="20851" s="283" customFormat="1"/>
    <row r="20852" s="283" customFormat="1"/>
    <row r="20853" s="283" customFormat="1"/>
    <row r="20854" s="283" customFormat="1"/>
    <row r="20855" s="283" customFormat="1"/>
    <row r="20856" s="283" customFormat="1"/>
    <row r="20857" s="283" customFormat="1"/>
    <row r="20858" s="283" customFormat="1"/>
    <row r="20859" s="283" customFormat="1"/>
    <row r="20860" s="283" customFormat="1"/>
    <row r="20861" s="283" customFormat="1"/>
    <row r="20862" s="283" customFormat="1"/>
    <row r="20863" s="283" customFormat="1"/>
    <row r="20864" s="283" customFormat="1"/>
    <row r="20865" s="283" customFormat="1"/>
    <row r="20866" s="283" customFormat="1"/>
    <row r="20867" s="283" customFormat="1"/>
    <row r="20868" s="283" customFormat="1"/>
    <row r="20869" s="283" customFormat="1"/>
    <row r="20870" s="283" customFormat="1"/>
    <row r="20871" s="283" customFormat="1"/>
    <row r="20872" s="283" customFormat="1"/>
    <row r="20873" s="283" customFormat="1"/>
    <row r="20874" s="283" customFormat="1"/>
    <row r="20875" s="283" customFormat="1"/>
    <row r="20876" s="283" customFormat="1"/>
    <row r="20877" s="283" customFormat="1"/>
    <row r="20878" s="283" customFormat="1"/>
    <row r="20879" s="283" customFormat="1"/>
    <row r="20880" s="283" customFormat="1"/>
    <row r="20881" s="283" customFormat="1"/>
    <row r="20882" s="283" customFormat="1"/>
    <row r="20883" s="283" customFormat="1"/>
    <row r="20884" s="283" customFormat="1"/>
    <row r="20885" s="283" customFormat="1"/>
    <row r="20886" s="283" customFormat="1"/>
    <row r="20887" s="283" customFormat="1"/>
    <row r="20888" s="283" customFormat="1"/>
    <row r="20889" s="283" customFormat="1"/>
    <row r="20890" s="283" customFormat="1"/>
    <row r="20891" s="283" customFormat="1"/>
    <row r="20892" s="283" customFormat="1"/>
    <row r="20893" s="283" customFormat="1"/>
    <row r="20894" s="283" customFormat="1"/>
    <row r="20895" s="283" customFormat="1"/>
    <row r="20896" s="283" customFormat="1"/>
    <row r="20897" s="283" customFormat="1"/>
    <row r="20898" s="283" customFormat="1"/>
    <row r="20899" s="283" customFormat="1"/>
    <row r="20900" s="283" customFormat="1"/>
    <row r="20901" s="283" customFormat="1"/>
    <row r="20902" s="283" customFormat="1"/>
    <row r="20903" s="283" customFormat="1"/>
    <row r="20904" s="283" customFormat="1"/>
    <row r="20905" s="283" customFormat="1"/>
    <row r="20906" s="283" customFormat="1"/>
    <row r="20907" s="283" customFormat="1"/>
    <row r="20908" s="283" customFormat="1"/>
    <row r="20909" s="283" customFormat="1"/>
    <row r="20910" s="283" customFormat="1"/>
    <row r="20911" s="283" customFormat="1"/>
    <row r="20912" s="283" customFormat="1"/>
    <row r="20913" s="283" customFormat="1"/>
    <row r="20914" s="283" customFormat="1"/>
    <row r="20915" s="283" customFormat="1"/>
    <row r="20916" s="283" customFormat="1"/>
    <row r="20917" s="283" customFormat="1"/>
    <row r="20918" s="283" customFormat="1"/>
    <row r="20919" s="283" customFormat="1"/>
    <row r="20920" s="283" customFormat="1"/>
    <row r="20921" s="283" customFormat="1"/>
    <row r="20922" s="283" customFormat="1"/>
    <row r="20923" s="283" customFormat="1"/>
    <row r="20924" s="283" customFormat="1"/>
    <row r="20925" s="283" customFormat="1"/>
    <row r="20926" s="283" customFormat="1"/>
    <row r="20927" s="283" customFormat="1"/>
    <row r="20928" s="283" customFormat="1"/>
    <row r="20929" s="283" customFormat="1"/>
    <row r="20930" s="283" customFormat="1"/>
    <row r="20931" s="283" customFormat="1"/>
    <row r="20932" s="283" customFormat="1"/>
    <row r="20933" s="283" customFormat="1"/>
    <row r="20934" s="283" customFormat="1"/>
    <row r="20935" s="283" customFormat="1"/>
    <row r="20936" s="283" customFormat="1"/>
    <row r="20937" s="283" customFormat="1"/>
    <row r="20938" s="283" customFormat="1"/>
    <row r="20939" s="283" customFormat="1"/>
    <row r="20940" s="283" customFormat="1"/>
    <row r="20941" s="283" customFormat="1"/>
    <row r="20942" s="283" customFormat="1"/>
    <row r="20943" s="283" customFormat="1"/>
    <row r="20944" s="283" customFormat="1"/>
    <row r="20945" s="283" customFormat="1"/>
    <row r="20946" s="283" customFormat="1"/>
    <row r="20947" s="283" customFormat="1"/>
    <row r="20948" s="283" customFormat="1"/>
    <row r="20949" s="283" customFormat="1"/>
    <row r="20950" s="283" customFormat="1"/>
    <row r="20951" s="283" customFormat="1"/>
    <row r="20952" s="283" customFormat="1"/>
    <row r="20953" s="283" customFormat="1"/>
    <row r="20954" s="283" customFormat="1"/>
    <row r="20955" s="283" customFormat="1"/>
    <row r="20956" s="283" customFormat="1"/>
    <row r="20957" s="283" customFormat="1"/>
    <row r="20958" s="283" customFormat="1"/>
    <row r="20959" s="283" customFormat="1"/>
    <row r="20960" s="283" customFormat="1"/>
    <row r="20961" s="283" customFormat="1"/>
    <row r="20962" s="283" customFormat="1"/>
    <row r="20963" s="283" customFormat="1"/>
    <row r="20964" s="283" customFormat="1"/>
    <row r="20965" s="283" customFormat="1"/>
    <row r="20966" s="283" customFormat="1"/>
    <row r="20967" s="283" customFormat="1"/>
    <row r="20968" s="283" customFormat="1"/>
    <row r="20969" s="283" customFormat="1"/>
    <row r="20970" s="283" customFormat="1"/>
    <row r="20971" s="283" customFormat="1"/>
    <row r="20972" s="283" customFormat="1"/>
    <row r="20973" s="283" customFormat="1"/>
    <row r="20974" s="283" customFormat="1"/>
    <row r="20975" s="283" customFormat="1"/>
    <row r="20976" s="283" customFormat="1"/>
    <row r="20977" s="283" customFormat="1"/>
    <row r="20978" s="283" customFormat="1"/>
    <row r="20979" s="283" customFormat="1"/>
    <row r="20980" s="283" customFormat="1"/>
    <row r="20981" s="283" customFormat="1"/>
    <row r="20982" s="283" customFormat="1"/>
    <row r="20983" s="283" customFormat="1"/>
    <row r="20984" s="283" customFormat="1"/>
    <row r="20985" s="283" customFormat="1"/>
    <row r="20986" s="283" customFormat="1"/>
    <row r="20987" s="283" customFormat="1"/>
    <row r="20988" s="283" customFormat="1"/>
    <row r="20989" s="283" customFormat="1"/>
    <row r="20990" s="283" customFormat="1"/>
    <row r="20991" s="283" customFormat="1"/>
    <row r="20992" s="283" customFormat="1"/>
    <row r="20993" s="283" customFormat="1"/>
    <row r="20994" s="283" customFormat="1"/>
    <row r="20995" s="283" customFormat="1"/>
    <row r="20996" s="283" customFormat="1"/>
    <row r="20997" s="283" customFormat="1"/>
    <row r="20998" s="283" customFormat="1"/>
    <row r="20999" s="283" customFormat="1"/>
    <row r="21000" s="283" customFormat="1"/>
    <row r="21001" s="283" customFormat="1"/>
    <row r="21002" s="283" customFormat="1"/>
    <row r="21003" s="283" customFormat="1"/>
    <row r="21004" s="283" customFormat="1"/>
    <row r="21005" s="283" customFormat="1"/>
    <row r="21006" s="283" customFormat="1"/>
    <row r="21007" s="283" customFormat="1"/>
    <row r="21008" s="283" customFormat="1"/>
    <row r="21009" s="283" customFormat="1"/>
    <row r="21010" s="283" customFormat="1"/>
    <row r="21011" s="283" customFormat="1"/>
    <row r="21012" s="283" customFormat="1"/>
    <row r="21013" s="283" customFormat="1"/>
    <row r="21014" s="283" customFormat="1"/>
    <row r="21015" s="283" customFormat="1"/>
    <row r="21016" s="283" customFormat="1"/>
    <row r="21017" s="283" customFormat="1"/>
    <row r="21018" s="283" customFormat="1"/>
    <row r="21019" s="283" customFormat="1"/>
    <row r="21020" s="283" customFormat="1"/>
    <row r="21021" s="283" customFormat="1"/>
    <row r="21022" s="283" customFormat="1"/>
    <row r="21023" s="283" customFormat="1"/>
    <row r="21024" s="283" customFormat="1"/>
    <row r="21025" s="283" customFormat="1"/>
    <row r="21026" s="283" customFormat="1"/>
    <row r="21027" s="283" customFormat="1"/>
    <row r="21028" s="283" customFormat="1"/>
    <row r="21029" s="283" customFormat="1"/>
    <row r="21030" s="283" customFormat="1"/>
    <row r="21031" s="283" customFormat="1"/>
    <row r="21032" s="283" customFormat="1"/>
    <row r="21033" s="283" customFormat="1"/>
    <row r="21034" s="283" customFormat="1"/>
    <row r="21035" s="283" customFormat="1"/>
    <row r="21036" s="283" customFormat="1"/>
    <row r="21037" s="283" customFormat="1"/>
    <row r="21038" s="283" customFormat="1"/>
    <row r="21039" s="283" customFormat="1"/>
    <row r="21040" s="283" customFormat="1"/>
    <row r="21041" s="283" customFormat="1"/>
    <row r="21042" s="283" customFormat="1"/>
    <row r="21043" s="283" customFormat="1"/>
    <row r="21044" s="283" customFormat="1"/>
    <row r="21045" s="283" customFormat="1"/>
    <row r="21046" s="283" customFormat="1"/>
    <row r="21047" s="283" customFormat="1"/>
    <row r="21048" s="283" customFormat="1"/>
    <row r="21049" s="283" customFormat="1"/>
    <row r="21050" s="283" customFormat="1"/>
    <row r="21051" s="283" customFormat="1"/>
    <row r="21052" s="283" customFormat="1"/>
    <row r="21053" s="283" customFormat="1"/>
    <row r="21054" s="283" customFormat="1"/>
    <row r="21055" s="283" customFormat="1"/>
    <row r="21056" s="283" customFormat="1"/>
    <row r="21057" s="283" customFormat="1"/>
    <row r="21058" s="283" customFormat="1"/>
    <row r="21059" s="283" customFormat="1"/>
    <row r="21060" s="283" customFormat="1"/>
    <row r="21061" s="283" customFormat="1"/>
    <row r="21062" s="283" customFormat="1"/>
    <row r="21063" s="283" customFormat="1"/>
    <row r="21064" s="283" customFormat="1"/>
    <row r="21065" s="283" customFormat="1"/>
    <row r="21066" s="283" customFormat="1"/>
    <row r="21067" s="283" customFormat="1"/>
    <row r="21068" s="283" customFormat="1"/>
    <row r="21069" s="283" customFormat="1"/>
    <row r="21070" s="283" customFormat="1"/>
    <row r="21071" s="283" customFormat="1"/>
    <row r="21072" s="283" customFormat="1"/>
    <row r="21073" s="283" customFormat="1"/>
    <row r="21074" s="283" customFormat="1"/>
    <row r="21075" s="283" customFormat="1"/>
    <row r="21076" s="283" customFormat="1"/>
    <row r="21077" s="283" customFormat="1"/>
    <row r="21078" s="283" customFormat="1"/>
    <row r="21079" s="283" customFormat="1"/>
    <row r="21080" s="283" customFormat="1"/>
    <row r="21081" s="283" customFormat="1"/>
    <row r="21082" s="283" customFormat="1"/>
    <row r="21083" s="283" customFormat="1"/>
    <row r="21084" s="283" customFormat="1"/>
    <row r="21085" s="283" customFormat="1"/>
    <row r="21086" s="283" customFormat="1"/>
    <row r="21087" s="283" customFormat="1"/>
    <row r="21088" s="283" customFormat="1"/>
    <row r="21089" s="283" customFormat="1"/>
    <row r="21090" s="283" customFormat="1"/>
    <row r="21091" s="283" customFormat="1"/>
    <row r="21092" s="283" customFormat="1"/>
    <row r="21093" s="283" customFormat="1"/>
    <row r="21094" s="283" customFormat="1"/>
    <row r="21095" s="283" customFormat="1"/>
    <row r="21096" s="283" customFormat="1"/>
    <row r="21097" s="283" customFormat="1"/>
    <row r="21098" s="283" customFormat="1"/>
    <row r="21099" s="283" customFormat="1"/>
    <row r="21100" s="283" customFormat="1"/>
    <row r="21101" s="283" customFormat="1"/>
    <row r="21102" s="283" customFormat="1"/>
    <row r="21103" s="283" customFormat="1"/>
    <row r="21104" s="283" customFormat="1"/>
    <row r="21105" s="283" customFormat="1"/>
    <row r="21106" s="283" customFormat="1"/>
    <row r="21107" s="283" customFormat="1"/>
    <row r="21108" s="283" customFormat="1"/>
    <row r="21109" s="283" customFormat="1"/>
    <row r="21110" s="283" customFormat="1"/>
    <row r="21111" s="283" customFormat="1"/>
    <row r="21112" s="283" customFormat="1"/>
    <row r="21113" s="283" customFormat="1"/>
    <row r="21114" s="283" customFormat="1"/>
    <row r="21115" s="283" customFormat="1"/>
    <row r="21116" s="283" customFormat="1"/>
    <row r="21117" s="283" customFormat="1"/>
    <row r="21118" s="283" customFormat="1"/>
    <row r="21119" s="283" customFormat="1"/>
    <row r="21120" s="283" customFormat="1"/>
    <row r="21121" s="283" customFormat="1"/>
    <row r="21122" s="283" customFormat="1"/>
    <row r="21123" s="283" customFormat="1"/>
    <row r="21124" s="283" customFormat="1"/>
    <row r="21125" s="283" customFormat="1"/>
    <row r="21126" s="283" customFormat="1"/>
    <row r="21127" s="283" customFormat="1"/>
    <row r="21128" s="283" customFormat="1"/>
    <row r="21129" s="283" customFormat="1"/>
    <row r="21130" s="283" customFormat="1"/>
    <row r="21131" s="283" customFormat="1"/>
    <row r="21132" s="283" customFormat="1"/>
    <row r="21133" s="283" customFormat="1"/>
    <row r="21134" s="283" customFormat="1"/>
    <row r="21135" s="283" customFormat="1"/>
    <row r="21136" s="283" customFormat="1"/>
    <row r="21137" s="283" customFormat="1"/>
    <row r="21138" s="283" customFormat="1"/>
    <row r="21139" s="283" customFormat="1"/>
    <row r="21140" s="283" customFormat="1"/>
    <row r="21141" s="283" customFormat="1"/>
    <row r="21142" s="283" customFormat="1"/>
    <row r="21143" s="283" customFormat="1"/>
    <row r="21144" s="283" customFormat="1"/>
    <row r="21145" s="283" customFormat="1"/>
    <row r="21146" s="283" customFormat="1"/>
    <row r="21147" s="283" customFormat="1"/>
    <row r="21148" s="283" customFormat="1"/>
    <row r="21149" s="283" customFormat="1"/>
    <row r="21150" s="283" customFormat="1"/>
    <row r="21151" s="283" customFormat="1"/>
    <row r="21152" s="283" customFormat="1"/>
    <row r="21153" s="283" customFormat="1"/>
    <row r="21154" s="283" customFormat="1"/>
    <row r="21155" s="283" customFormat="1"/>
    <row r="21156" s="283" customFormat="1"/>
    <row r="21157" s="283" customFormat="1"/>
    <row r="21158" s="283" customFormat="1"/>
    <row r="21159" s="283" customFormat="1"/>
    <row r="21160" s="283" customFormat="1"/>
    <row r="21161" s="283" customFormat="1"/>
    <row r="21162" s="283" customFormat="1"/>
    <row r="21163" s="283" customFormat="1"/>
    <row r="21164" s="283" customFormat="1"/>
    <row r="21165" s="283" customFormat="1"/>
    <row r="21166" s="283" customFormat="1"/>
    <row r="21167" s="283" customFormat="1"/>
    <row r="21168" s="283" customFormat="1"/>
    <row r="21169" s="283" customFormat="1"/>
    <row r="21170" s="283" customFormat="1"/>
    <row r="21171" s="283" customFormat="1"/>
    <row r="21172" s="283" customFormat="1"/>
    <row r="21173" s="283" customFormat="1"/>
    <row r="21174" s="283" customFormat="1"/>
    <row r="21175" s="283" customFormat="1"/>
    <row r="21176" s="283" customFormat="1"/>
    <row r="21177" s="283" customFormat="1"/>
    <row r="21178" s="283" customFormat="1"/>
    <row r="21179" s="283" customFormat="1"/>
    <row r="21180" s="283" customFormat="1"/>
    <row r="21181" s="283" customFormat="1"/>
    <row r="21182" s="283" customFormat="1"/>
    <row r="21183" s="283" customFormat="1"/>
    <row r="21184" s="283" customFormat="1"/>
    <row r="21185" s="283" customFormat="1"/>
    <row r="21186" s="283" customFormat="1"/>
    <row r="21187" s="283" customFormat="1"/>
    <row r="21188" s="283" customFormat="1"/>
    <row r="21189" s="283" customFormat="1"/>
    <row r="21190" s="283" customFormat="1"/>
    <row r="21191" s="283" customFormat="1"/>
    <row r="21192" s="283" customFormat="1"/>
    <row r="21193" s="283" customFormat="1"/>
    <row r="21194" s="283" customFormat="1"/>
    <row r="21195" s="283" customFormat="1"/>
    <row r="21196" s="283" customFormat="1"/>
    <row r="21197" s="283" customFormat="1"/>
    <row r="21198" s="283" customFormat="1"/>
    <row r="21199" s="283" customFormat="1"/>
    <row r="21200" s="283" customFormat="1"/>
    <row r="21201" s="283" customFormat="1"/>
    <row r="21202" s="283" customFormat="1"/>
    <row r="21203" s="283" customFormat="1"/>
    <row r="21204" s="283" customFormat="1"/>
    <row r="21205" s="283" customFormat="1"/>
    <row r="21206" s="283" customFormat="1"/>
    <row r="21207" s="283" customFormat="1"/>
    <row r="21208" s="283" customFormat="1"/>
    <row r="21209" s="283" customFormat="1"/>
    <row r="21210" s="283" customFormat="1"/>
    <row r="21211" s="283" customFormat="1"/>
    <row r="21212" s="283" customFormat="1"/>
    <row r="21213" s="283" customFormat="1"/>
    <row r="21214" s="283" customFormat="1"/>
    <row r="21215" s="283" customFormat="1"/>
    <row r="21216" s="283" customFormat="1"/>
    <row r="21217" s="283" customFormat="1"/>
    <row r="21218" s="283" customFormat="1"/>
    <row r="21219" s="283" customFormat="1"/>
    <row r="21220" s="283" customFormat="1"/>
    <row r="21221" s="283" customFormat="1"/>
    <row r="21222" s="283" customFormat="1"/>
    <row r="21223" s="283" customFormat="1"/>
    <row r="21224" s="283" customFormat="1"/>
    <row r="21225" s="283" customFormat="1"/>
    <row r="21226" s="283" customFormat="1"/>
    <row r="21227" s="283" customFormat="1"/>
    <row r="21228" s="283" customFormat="1"/>
    <row r="21229" s="283" customFormat="1"/>
    <row r="21230" s="283" customFormat="1"/>
    <row r="21231" s="283" customFormat="1"/>
    <row r="21232" s="283" customFormat="1"/>
    <row r="21233" s="283" customFormat="1"/>
    <row r="21234" s="283" customFormat="1"/>
    <row r="21235" s="283" customFormat="1"/>
    <row r="21236" s="283" customFormat="1"/>
    <row r="21237" s="283" customFormat="1"/>
    <row r="21238" s="283" customFormat="1"/>
    <row r="21239" s="283" customFormat="1"/>
    <row r="21240" s="283" customFormat="1"/>
    <row r="21241" s="283" customFormat="1"/>
    <row r="21242" s="283" customFormat="1"/>
    <row r="21243" s="283" customFormat="1"/>
    <row r="21244" s="283" customFormat="1"/>
    <row r="21245" s="283" customFormat="1"/>
    <row r="21246" s="283" customFormat="1"/>
    <row r="21247" s="283" customFormat="1"/>
    <row r="21248" s="283" customFormat="1"/>
    <row r="21249" s="283" customFormat="1"/>
    <row r="21250" s="283" customFormat="1"/>
    <row r="21251" s="283" customFormat="1"/>
    <row r="21252" s="283" customFormat="1"/>
    <row r="21253" s="283" customFormat="1"/>
    <row r="21254" s="283" customFormat="1"/>
    <row r="21255" s="283" customFormat="1"/>
    <row r="21256" s="283" customFormat="1"/>
    <row r="21257" s="283" customFormat="1"/>
    <row r="21258" s="283" customFormat="1"/>
    <row r="21259" s="283" customFormat="1"/>
    <row r="21260" s="283" customFormat="1"/>
    <row r="21261" s="283" customFormat="1"/>
    <row r="21262" s="283" customFormat="1"/>
    <row r="21263" s="283" customFormat="1"/>
    <row r="21264" s="283" customFormat="1"/>
    <row r="21265" s="283" customFormat="1"/>
    <row r="21266" s="283" customFormat="1"/>
    <row r="21267" s="283" customFormat="1"/>
    <row r="21268" s="283" customFormat="1"/>
    <row r="21269" s="283" customFormat="1"/>
    <row r="21270" s="283" customFormat="1"/>
    <row r="21271" s="283" customFormat="1"/>
    <row r="21272" s="283" customFormat="1"/>
    <row r="21273" s="283" customFormat="1"/>
    <row r="21274" s="283" customFormat="1"/>
    <row r="21275" s="283" customFormat="1"/>
    <row r="21276" s="283" customFormat="1"/>
    <row r="21277" s="283" customFormat="1"/>
    <row r="21278" s="283" customFormat="1"/>
    <row r="21279" s="283" customFormat="1"/>
    <row r="21280" s="283" customFormat="1"/>
    <row r="21281" s="283" customFormat="1"/>
    <row r="21282" s="283" customFormat="1"/>
    <row r="21283" s="283" customFormat="1"/>
    <row r="21284" s="283" customFormat="1"/>
    <row r="21285" s="283" customFormat="1"/>
    <row r="21286" s="283" customFormat="1"/>
    <row r="21287" s="283" customFormat="1"/>
    <row r="21288" s="283" customFormat="1"/>
    <row r="21289" s="283" customFormat="1"/>
    <row r="21290" s="283" customFormat="1"/>
    <row r="21291" s="283" customFormat="1"/>
    <row r="21292" s="283" customFormat="1"/>
    <row r="21293" s="283" customFormat="1"/>
    <row r="21294" s="283" customFormat="1"/>
    <row r="21295" s="283" customFormat="1"/>
    <row r="21296" s="283" customFormat="1"/>
    <row r="21297" s="283" customFormat="1"/>
    <row r="21298" s="283" customFormat="1"/>
    <row r="21299" s="283" customFormat="1"/>
    <row r="21300" s="283" customFormat="1"/>
    <row r="21301" s="283" customFormat="1"/>
    <row r="21302" s="283" customFormat="1"/>
    <row r="21303" s="283" customFormat="1"/>
    <row r="21304" s="283" customFormat="1"/>
    <row r="21305" s="283" customFormat="1"/>
    <row r="21306" s="283" customFormat="1"/>
    <row r="21307" s="283" customFormat="1"/>
    <row r="21308" s="283" customFormat="1"/>
    <row r="21309" s="283" customFormat="1"/>
    <row r="21310" s="283" customFormat="1"/>
    <row r="21311" s="283" customFormat="1"/>
    <row r="21312" s="283" customFormat="1"/>
    <row r="21313" s="283" customFormat="1"/>
    <row r="21314" s="283" customFormat="1"/>
    <row r="21315" s="283" customFormat="1"/>
    <row r="21316" s="283" customFormat="1"/>
    <row r="21317" s="283" customFormat="1"/>
    <row r="21318" s="283" customFormat="1"/>
    <row r="21319" s="283" customFormat="1"/>
    <row r="21320" s="283" customFormat="1"/>
    <row r="21321" s="283" customFormat="1"/>
    <row r="21322" s="283" customFormat="1"/>
    <row r="21323" s="283" customFormat="1"/>
    <row r="21324" s="283" customFormat="1"/>
    <row r="21325" s="283" customFormat="1"/>
    <row r="21326" s="283" customFormat="1"/>
    <row r="21327" s="283" customFormat="1"/>
    <row r="21328" s="283" customFormat="1"/>
    <row r="21329" s="283" customFormat="1"/>
    <row r="21330" s="283" customFormat="1"/>
    <row r="21331" s="283" customFormat="1"/>
    <row r="21332" s="283" customFormat="1"/>
    <row r="21333" s="283" customFormat="1"/>
    <row r="21334" s="283" customFormat="1"/>
    <row r="21335" s="283" customFormat="1"/>
    <row r="21336" s="283" customFormat="1"/>
    <row r="21337" s="283" customFormat="1"/>
    <row r="21338" s="283" customFormat="1"/>
    <row r="21339" s="283" customFormat="1"/>
    <row r="21340" s="283" customFormat="1"/>
    <row r="21341" s="283" customFormat="1"/>
    <row r="21342" s="283" customFormat="1"/>
    <row r="21343" s="283" customFormat="1"/>
    <row r="21344" s="283" customFormat="1"/>
    <row r="21345" s="283" customFormat="1"/>
    <row r="21346" s="283" customFormat="1"/>
    <row r="21347" s="283" customFormat="1"/>
    <row r="21348" s="283" customFormat="1"/>
    <row r="21349" s="283" customFormat="1"/>
    <row r="21350" s="283" customFormat="1"/>
    <row r="21351" s="283" customFormat="1"/>
    <row r="21352" s="283" customFormat="1"/>
    <row r="21353" s="283" customFormat="1"/>
    <row r="21354" s="283" customFormat="1"/>
    <row r="21355" s="283" customFormat="1"/>
    <row r="21356" s="283" customFormat="1"/>
    <row r="21357" s="283" customFormat="1"/>
    <row r="21358" s="283" customFormat="1"/>
    <row r="21359" s="283" customFormat="1"/>
    <row r="21360" s="283" customFormat="1"/>
    <row r="21361" s="283" customFormat="1"/>
    <row r="21362" s="283" customFormat="1"/>
    <row r="21363" s="283" customFormat="1"/>
    <row r="21364" s="283" customFormat="1"/>
    <row r="21365" s="283" customFormat="1"/>
    <row r="21366" s="283" customFormat="1"/>
    <row r="21367" s="283" customFormat="1"/>
    <row r="21368" s="283" customFormat="1"/>
    <row r="21369" s="283" customFormat="1"/>
    <row r="21370" s="283" customFormat="1"/>
    <row r="21371" s="283" customFormat="1"/>
    <row r="21372" s="283" customFormat="1"/>
    <row r="21373" s="283" customFormat="1"/>
    <row r="21374" s="283" customFormat="1"/>
    <row r="21375" s="283" customFormat="1"/>
    <row r="21376" s="283" customFormat="1"/>
    <row r="21377" s="283" customFormat="1"/>
    <row r="21378" s="283" customFormat="1"/>
    <row r="21379" s="283" customFormat="1"/>
    <row r="21380" s="283" customFormat="1"/>
    <row r="21381" s="283" customFormat="1"/>
    <row r="21382" s="283" customFormat="1"/>
    <row r="21383" s="283" customFormat="1"/>
    <row r="21384" s="283" customFormat="1"/>
    <row r="21385" s="283" customFormat="1"/>
    <row r="21386" s="283" customFormat="1"/>
    <row r="21387" s="283" customFormat="1"/>
    <row r="21388" s="283" customFormat="1"/>
    <row r="21389" s="283" customFormat="1"/>
    <row r="21390" s="283" customFormat="1"/>
    <row r="21391" s="283" customFormat="1"/>
    <row r="21392" s="283" customFormat="1"/>
    <row r="21393" s="283" customFormat="1"/>
    <row r="21394" s="283" customFormat="1"/>
    <row r="21395" s="283" customFormat="1"/>
    <row r="21396" s="283" customFormat="1"/>
    <row r="21397" s="283" customFormat="1"/>
    <row r="21398" s="283" customFormat="1"/>
    <row r="21399" s="283" customFormat="1"/>
    <row r="21400" s="283" customFormat="1"/>
    <row r="21401" s="283" customFormat="1"/>
    <row r="21402" s="283" customFormat="1"/>
    <row r="21403" s="283" customFormat="1"/>
    <row r="21404" s="283" customFormat="1"/>
    <row r="21405" s="283" customFormat="1"/>
    <row r="21406" s="283" customFormat="1"/>
    <row r="21407" s="283" customFormat="1"/>
    <row r="21408" s="283" customFormat="1"/>
    <row r="21409" s="283" customFormat="1"/>
    <row r="21410" s="283" customFormat="1"/>
    <row r="21411" s="283" customFormat="1"/>
    <row r="21412" s="283" customFormat="1"/>
    <row r="21413" s="283" customFormat="1"/>
    <row r="21414" s="283" customFormat="1"/>
    <row r="21415" s="283" customFormat="1"/>
    <row r="21416" s="283" customFormat="1"/>
    <row r="21417" s="283" customFormat="1"/>
    <row r="21418" s="283" customFormat="1"/>
    <row r="21419" s="283" customFormat="1"/>
    <row r="21420" s="283" customFormat="1"/>
    <row r="21421" s="283" customFormat="1"/>
    <row r="21422" s="283" customFormat="1"/>
    <row r="21423" s="283" customFormat="1"/>
    <row r="21424" s="283" customFormat="1"/>
    <row r="21425" s="283" customFormat="1"/>
    <row r="21426" s="283" customFormat="1"/>
    <row r="21427" s="283" customFormat="1"/>
    <row r="21428" s="283" customFormat="1"/>
    <row r="21429" s="283" customFormat="1"/>
    <row r="21430" s="283" customFormat="1"/>
    <row r="21431" s="283" customFormat="1"/>
    <row r="21432" s="283" customFormat="1"/>
    <row r="21433" s="283" customFormat="1"/>
    <row r="21434" s="283" customFormat="1"/>
    <row r="21435" s="283" customFormat="1"/>
    <row r="21436" s="283" customFormat="1"/>
    <row r="21437" s="283" customFormat="1"/>
    <row r="21438" s="283" customFormat="1"/>
    <row r="21439" s="283" customFormat="1"/>
    <row r="21440" s="283" customFormat="1"/>
    <row r="21441" s="283" customFormat="1"/>
    <row r="21442" s="283" customFormat="1"/>
    <row r="21443" s="283" customFormat="1"/>
    <row r="21444" s="283" customFormat="1"/>
    <row r="21445" s="283" customFormat="1"/>
    <row r="21446" s="283" customFormat="1"/>
    <row r="21447" s="283" customFormat="1"/>
    <row r="21448" s="283" customFormat="1"/>
    <row r="21449" s="283" customFormat="1"/>
    <row r="21450" s="283" customFormat="1"/>
    <row r="21451" s="283" customFormat="1"/>
    <row r="21452" s="283" customFormat="1"/>
    <row r="21453" s="283" customFormat="1"/>
    <row r="21454" s="283" customFormat="1"/>
    <row r="21455" s="283" customFormat="1"/>
    <row r="21456" s="283" customFormat="1"/>
    <row r="21457" s="283" customFormat="1"/>
    <row r="21458" s="283" customFormat="1"/>
    <row r="21459" s="283" customFormat="1"/>
    <row r="21460" s="283" customFormat="1"/>
    <row r="21461" s="283" customFormat="1"/>
    <row r="21462" s="283" customFormat="1"/>
    <row r="21463" s="283" customFormat="1"/>
    <row r="21464" s="283" customFormat="1"/>
    <row r="21465" s="283" customFormat="1"/>
    <row r="21466" s="283" customFormat="1"/>
    <row r="21467" s="283" customFormat="1"/>
    <row r="21468" s="283" customFormat="1"/>
    <row r="21469" s="283" customFormat="1"/>
    <row r="21470" s="283" customFormat="1"/>
    <row r="21471" s="283" customFormat="1"/>
    <row r="21472" s="283" customFormat="1"/>
    <row r="21473" s="283" customFormat="1"/>
    <row r="21474" s="283" customFormat="1"/>
    <row r="21475" s="283" customFormat="1"/>
    <row r="21476" s="283" customFormat="1"/>
    <row r="21477" s="283" customFormat="1"/>
    <row r="21478" s="283" customFormat="1"/>
    <row r="21479" s="283" customFormat="1"/>
    <row r="21480" s="283" customFormat="1"/>
    <row r="21481" s="283" customFormat="1"/>
    <row r="21482" s="283" customFormat="1"/>
    <row r="21483" s="283" customFormat="1"/>
    <row r="21484" s="283" customFormat="1"/>
    <row r="21485" s="283" customFormat="1"/>
    <row r="21486" s="283" customFormat="1"/>
    <row r="21487" s="283" customFormat="1"/>
    <row r="21488" s="283" customFormat="1"/>
    <row r="21489" s="283" customFormat="1"/>
    <row r="21490" s="283" customFormat="1"/>
    <row r="21491" s="283" customFormat="1"/>
    <row r="21492" s="283" customFormat="1"/>
    <row r="21493" s="283" customFormat="1"/>
    <row r="21494" s="283" customFormat="1"/>
    <row r="21495" s="283" customFormat="1"/>
    <row r="21496" s="283" customFormat="1"/>
    <row r="21497" s="283" customFormat="1"/>
    <row r="21498" s="283" customFormat="1"/>
    <row r="21499" s="283" customFormat="1"/>
    <row r="21500" s="283" customFormat="1"/>
    <row r="21501" s="283" customFormat="1"/>
    <row r="21502" s="283" customFormat="1"/>
    <row r="21503" s="283" customFormat="1"/>
    <row r="21504" s="283" customFormat="1"/>
    <row r="21505" s="283" customFormat="1"/>
    <row r="21506" s="283" customFormat="1"/>
    <row r="21507" s="283" customFormat="1"/>
    <row r="21508" s="283" customFormat="1"/>
    <row r="21509" s="283" customFormat="1"/>
    <row r="21510" s="283" customFormat="1"/>
    <row r="21511" s="283" customFormat="1"/>
    <row r="21512" s="283" customFormat="1"/>
    <row r="21513" s="283" customFormat="1"/>
    <row r="21514" s="283" customFormat="1"/>
    <row r="21515" s="283" customFormat="1"/>
    <row r="21516" s="283" customFormat="1"/>
    <row r="21517" s="283" customFormat="1"/>
    <row r="21518" s="283" customFormat="1"/>
    <row r="21519" s="283" customFormat="1"/>
    <row r="21520" s="283" customFormat="1"/>
    <row r="21521" s="283" customFormat="1"/>
    <row r="21522" s="283" customFormat="1"/>
    <row r="21523" s="283" customFormat="1"/>
    <row r="21524" s="283" customFormat="1"/>
    <row r="21525" s="283" customFormat="1"/>
    <row r="21526" s="283" customFormat="1"/>
    <row r="21527" s="283" customFormat="1"/>
    <row r="21528" s="283" customFormat="1"/>
    <row r="21529" s="283" customFormat="1"/>
    <row r="21530" s="283" customFormat="1"/>
    <row r="21531" s="283" customFormat="1"/>
    <row r="21532" s="283" customFormat="1"/>
    <row r="21533" s="283" customFormat="1"/>
    <row r="21534" s="283" customFormat="1"/>
    <row r="21535" s="283" customFormat="1"/>
    <row r="21536" s="283" customFormat="1"/>
    <row r="21537" s="283" customFormat="1"/>
    <row r="21538" s="283" customFormat="1"/>
    <row r="21539" s="283" customFormat="1"/>
    <row r="21540" s="283" customFormat="1"/>
    <row r="21541" s="283" customFormat="1"/>
    <row r="21542" s="283" customFormat="1"/>
    <row r="21543" s="283" customFormat="1"/>
    <row r="21544" s="283" customFormat="1"/>
    <row r="21545" s="283" customFormat="1"/>
    <row r="21546" s="283" customFormat="1"/>
    <row r="21547" s="283" customFormat="1"/>
    <row r="21548" s="283" customFormat="1"/>
    <row r="21549" s="283" customFormat="1"/>
    <row r="21550" s="283" customFormat="1"/>
    <row r="21551" s="283" customFormat="1"/>
    <row r="21552" s="283" customFormat="1"/>
    <row r="21553" s="283" customFormat="1"/>
    <row r="21554" s="283" customFormat="1"/>
    <row r="21555" s="283" customFormat="1"/>
    <row r="21556" s="283" customFormat="1"/>
    <row r="21557" s="283" customFormat="1"/>
    <row r="21558" s="283" customFormat="1"/>
    <row r="21559" s="283" customFormat="1"/>
    <row r="21560" s="283" customFormat="1"/>
    <row r="21561" s="283" customFormat="1"/>
    <row r="21562" s="283" customFormat="1"/>
    <row r="21563" s="283" customFormat="1"/>
    <row r="21564" s="283" customFormat="1"/>
    <row r="21565" s="283" customFormat="1"/>
    <row r="21566" s="283" customFormat="1"/>
    <row r="21567" s="283" customFormat="1"/>
    <row r="21568" s="283" customFormat="1"/>
    <row r="21569" s="283" customFormat="1"/>
    <row r="21570" s="283" customFormat="1"/>
    <row r="21571" s="283" customFormat="1"/>
    <row r="21572" s="283" customFormat="1"/>
    <row r="21573" s="283" customFormat="1"/>
    <row r="21574" s="283" customFormat="1"/>
    <row r="21575" s="283" customFormat="1"/>
    <row r="21576" s="283" customFormat="1"/>
    <row r="21577" s="283" customFormat="1"/>
    <row r="21578" s="283" customFormat="1"/>
    <row r="21579" s="283" customFormat="1"/>
    <row r="21580" s="283" customFormat="1"/>
    <row r="21581" s="283" customFormat="1"/>
    <row r="21582" s="283" customFormat="1"/>
    <row r="21583" s="283" customFormat="1"/>
    <row r="21584" s="283" customFormat="1"/>
    <row r="21585" s="283" customFormat="1"/>
    <row r="21586" s="283" customFormat="1"/>
    <row r="21587" s="283" customFormat="1"/>
    <row r="21588" s="283" customFormat="1"/>
    <row r="21589" s="283" customFormat="1"/>
    <row r="21590" s="283" customFormat="1"/>
    <row r="21591" s="283" customFormat="1"/>
    <row r="21592" s="283" customFormat="1"/>
    <row r="21593" s="283" customFormat="1"/>
    <row r="21594" s="283" customFormat="1"/>
    <row r="21595" s="283" customFormat="1"/>
    <row r="21596" s="283" customFormat="1"/>
    <row r="21597" s="283" customFormat="1"/>
    <row r="21598" s="283" customFormat="1"/>
    <row r="21599" s="283" customFormat="1"/>
    <row r="21600" s="283" customFormat="1"/>
    <row r="21601" s="283" customFormat="1"/>
    <row r="21602" s="283" customFormat="1"/>
    <row r="21603" s="283" customFormat="1"/>
    <row r="21604" s="283" customFormat="1"/>
    <row r="21605" s="283" customFormat="1"/>
    <row r="21606" s="283" customFormat="1"/>
    <row r="21607" s="283" customFormat="1"/>
    <row r="21608" s="283" customFormat="1"/>
    <row r="21609" s="283" customFormat="1"/>
    <row r="21610" s="283" customFormat="1"/>
    <row r="21611" s="283" customFormat="1"/>
    <row r="21612" s="283" customFormat="1"/>
    <row r="21613" s="283" customFormat="1"/>
    <row r="21614" s="283" customFormat="1"/>
    <row r="21615" s="283" customFormat="1"/>
    <row r="21616" s="283" customFormat="1"/>
    <row r="21617" s="283" customFormat="1"/>
    <row r="21618" s="283" customFormat="1"/>
    <row r="21619" s="283" customFormat="1"/>
    <row r="21620" s="283" customFormat="1"/>
    <row r="21621" s="283" customFormat="1"/>
    <row r="21622" s="283" customFormat="1"/>
    <row r="21623" s="283" customFormat="1"/>
    <row r="21624" s="283" customFormat="1"/>
    <row r="21625" s="283" customFormat="1"/>
    <row r="21626" s="283" customFormat="1"/>
    <row r="21627" s="283" customFormat="1"/>
    <row r="21628" s="283" customFormat="1"/>
    <row r="21629" s="283" customFormat="1"/>
    <row r="21630" s="283" customFormat="1"/>
    <row r="21631" s="283" customFormat="1"/>
    <row r="21632" s="283" customFormat="1"/>
    <row r="21633" s="283" customFormat="1"/>
    <row r="21634" s="283" customFormat="1"/>
    <row r="21635" s="283" customFormat="1"/>
    <row r="21636" s="283" customFormat="1"/>
    <row r="21637" s="283" customFormat="1"/>
    <row r="21638" s="283" customFormat="1"/>
    <row r="21639" s="283" customFormat="1"/>
    <row r="21640" s="283" customFormat="1"/>
    <row r="21641" s="283" customFormat="1"/>
    <row r="21642" s="283" customFormat="1"/>
    <row r="21643" s="283" customFormat="1"/>
    <row r="21644" s="283" customFormat="1"/>
    <row r="21645" s="283" customFormat="1"/>
    <row r="21646" s="283" customFormat="1"/>
    <row r="21647" s="283" customFormat="1"/>
    <row r="21648" s="283" customFormat="1"/>
    <row r="21649" s="283" customFormat="1"/>
    <row r="21650" s="283" customFormat="1"/>
    <row r="21651" s="283" customFormat="1"/>
    <row r="21652" s="283" customFormat="1"/>
    <row r="21653" s="283" customFormat="1"/>
    <row r="21654" s="283" customFormat="1"/>
    <row r="21655" s="283" customFormat="1"/>
    <row r="21656" s="283" customFormat="1"/>
    <row r="21657" s="283" customFormat="1"/>
    <row r="21658" s="283" customFormat="1"/>
    <row r="21659" s="283" customFormat="1"/>
    <row r="21660" s="283" customFormat="1"/>
    <row r="21661" s="283" customFormat="1"/>
    <row r="21662" s="283" customFormat="1"/>
    <row r="21663" s="283" customFormat="1"/>
    <row r="21664" s="283" customFormat="1"/>
    <row r="21665" s="283" customFormat="1"/>
    <row r="21666" s="283" customFormat="1"/>
    <row r="21667" s="283" customFormat="1"/>
    <row r="21668" s="283" customFormat="1"/>
    <row r="21669" s="283" customFormat="1"/>
    <row r="21670" s="283" customFormat="1"/>
    <row r="21671" s="283" customFormat="1"/>
    <row r="21672" s="283" customFormat="1"/>
    <row r="21673" s="283" customFormat="1"/>
    <row r="21674" s="283" customFormat="1"/>
    <row r="21675" s="283" customFormat="1"/>
    <row r="21676" s="283" customFormat="1"/>
    <row r="21677" s="283" customFormat="1"/>
    <row r="21678" s="283" customFormat="1"/>
    <row r="21679" s="283" customFormat="1"/>
    <row r="21680" s="283" customFormat="1"/>
    <row r="21681" s="283" customFormat="1"/>
    <row r="21682" s="283" customFormat="1"/>
    <row r="21683" s="283" customFormat="1"/>
    <row r="21684" s="283" customFormat="1"/>
    <row r="21685" s="283" customFormat="1"/>
    <row r="21686" s="283" customFormat="1"/>
    <row r="21687" s="283" customFormat="1"/>
    <row r="21688" s="283" customFormat="1"/>
    <row r="21689" s="283" customFormat="1"/>
    <row r="21690" s="283" customFormat="1"/>
    <row r="21691" s="283" customFormat="1"/>
    <row r="21692" s="283" customFormat="1"/>
    <row r="21693" s="283" customFormat="1"/>
    <row r="21694" s="283" customFormat="1"/>
    <row r="21695" s="283" customFormat="1"/>
    <row r="21696" s="283" customFormat="1"/>
    <row r="21697" s="283" customFormat="1"/>
    <row r="21698" s="283" customFormat="1"/>
    <row r="21699" s="283" customFormat="1"/>
    <row r="21700" s="283" customFormat="1"/>
    <row r="21701" s="283" customFormat="1"/>
    <row r="21702" s="283" customFormat="1"/>
    <row r="21703" s="283" customFormat="1"/>
    <row r="21704" s="283" customFormat="1"/>
    <row r="21705" s="283" customFormat="1"/>
    <row r="21706" s="283" customFormat="1"/>
    <row r="21707" s="283" customFormat="1"/>
    <row r="21708" s="283" customFormat="1"/>
    <row r="21709" s="283" customFormat="1"/>
    <row r="21710" s="283" customFormat="1"/>
    <row r="21711" s="283" customFormat="1"/>
    <row r="21712" s="283" customFormat="1"/>
    <row r="21713" s="283" customFormat="1"/>
    <row r="21714" s="283" customFormat="1"/>
    <row r="21715" s="283" customFormat="1"/>
    <row r="21716" s="283" customFormat="1"/>
    <row r="21717" s="283" customFormat="1"/>
    <row r="21718" s="283" customFormat="1"/>
    <row r="21719" s="283" customFormat="1"/>
    <row r="21720" s="283" customFormat="1"/>
    <row r="21721" s="283" customFormat="1"/>
    <row r="21722" s="283" customFormat="1"/>
    <row r="21723" s="283" customFormat="1"/>
    <row r="21724" s="283" customFormat="1"/>
    <row r="21725" s="283" customFormat="1"/>
    <row r="21726" s="283" customFormat="1"/>
    <row r="21727" s="283" customFormat="1"/>
    <row r="21728" s="283" customFormat="1"/>
    <row r="21729" s="283" customFormat="1"/>
    <row r="21730" s="283" customFormat="1"/>
    <row r="21731" s="283" customFormat="1"/>
    <row r="21732" s="283" customFormat="1"/>
    <row r="21733" s="283" customFormat="1"/>
    <row r="21734" s="283" customFormat="1"/>
    <row r="21735" s="283" customFormat="1"/>
    <row r="21736" s="283" customFormat="1"/>
    <row r="21737" s="283" customFormat="1"/>
    <row r="21738" s="283" customFormat="1"/>
    <row r="21739" s="283" customFormat="1"/>
    <row r="21740" s="283" customFormat="1"/>
    <row r="21741" s="283" customFormat="1"/>
    <row r="21742" s="283" customFormat="1"/>
    <row r="21743" s="283" customFormat="1"/>
    <row r="21744" s="283" customFormat="1"/>
    <row r="21745" s="283" customFormat="1"/>
    <row r="21746" s="283" customFormat="1"/>
    <row r="21747" s="283" customFormat="1"/>
    <row r="21748" s="283" customFormat="1"/>
    <row r="21749" s="283" customFormat="1"/>
    <row r="21750" s="283" customFormat="1"/>
    <row r="21751" s="283" customFormat="1"/>
    <row r="21752" s="283" customFormat="1"/>
    <row r="21753" s="283" customFormat="1"/>
    <row r="21754" s="283" customFormat="1"/>
    <row r="21755" s="283" customFormat="1"/>
    <row r="21756" s="283" customFormat="1"/>
    <row r="21757" s="283" customFormat="1"/>
    <row r="21758" s="283" customFormat="1"/>
    <row r="21759" s="283" customFormat="1"/>
    <row r="21760" s="283" customFormat="1"/>
    <row r="21761" s="283" customFormat="1"/>
    <row r="21762" s="283" customFormat="1"/>
    <row r="21763" s="283" customFormat="1"/>
    <row r="21764" s="283" customFormat="1"/>
    <row r="21765" s="283" customFormat="1"/>
    <row r="21766" s="283" customFormat="1"/>
    <row r="21767" s="283" customFormat="1"/>
    <row r="21768" s="283" customFormat="1"/>
    <row r="21769" s="283" customFormat="1"/>
    <row r="21770" s="283" customFormat="1"/>
    <row r="21771" s="283" customFormat="1"/>
    <row r="21772" s="283" customFormat="1"/>
    <row r="21773" s="283" customFormat="1"/>
    <row r="21774" s="283" customFormat="1"/>
    <row r="21775" s="283" customFormat="1"/>
    <row r="21776" s="283" customFormat="1"/>
    <row r="21777" s="283" customFormat="1"/>
    <row r="21778" s="283" customFormat="1"/>
    <row r="21779" s="283" customFormat="1"/>
    <row r="21780" s="283" customFormat="1"/>
    <row r="21781" s="283" customFormat="1"/>
    <row r="21782" s="283" customFormat="1"/>
    <row r="21783" s="283" customFormat="1"/>
    <row r="21784" s="283" customFormat="1"/>
    <row r="21785" s="283" customFormat="1"/>
    <row r="21786" s="283" customFormat="1"/>
    <row r="21787" s="283" customFormat="1"/>
    <row r="21788" s="283" customFormat="1"/>
    <row r="21789" s="283" customFormat="1"/>
    <row r="21790" s="283" customFormat="1"/>
    <row r="21791" s="283" customFormat="1"/>
    <row r="21792" s="283" customFormat="1"/>
    <row r="21793" s="283" customFormat="1"/>
    <row r="21794" s="283" customFormat="1"/>
    <row r="21795" s="283" customFormat="1"/>
    <row r="21796" s="283" customFormat="1"/>
    <row r="21797" s="283" customFormat="1"/>
    <row r="21798" s="283" customFormat="1"/>
    <row r="21799" s="283" customFormat="1"/>
    <row r="21800" s="283" customFormat="1"/>
    <row r="21801" s="283" customFormat="1"/>
    <row r="21802" s="283" customFormat="1"/>
    <row r="21803" s="283" customFormat="1"/>
    <row r="21804" s="283" customFormat="1"/>
    <row r="21805" s="283" customFormat="1"/>
    <row r="21806" s="283" customFormat="1"/>
    <row r="21807" s="283" customFormat="1"/>
    <row r="21808" s="283" customFormat="1"/>
    <row r="21809" s="283" customFormat="1"/>
    <row r="21810" s="283" customFormat="1"/>
    <row r="21811" s="283" customFormat="1"/>
    <row r="21812" s="283" customFormat="1"/>
    <row r="21813" s="283" customFormat="1"/>
    <row r="21814" s="283" customFormat="1"/>
    <row r="21815" s="283" customFormat="1"/>
    <row r="21816" s="283" customFormat="1"/>
    <row r="21817" s="283" customFormat="1"/>
    <row r="21818" s="283" customFormat="1"/>
    <row r="21819" s="283" customFormat="1"/>
    <row r="21820" s="283" customFormat="1"/>
    <row r="21821" s="283" customFormat="1"/>
    <row r="21822" s="283" customFormat="1"/>
    <row r="21823" s="283" customFormat="1"/>
    <row r="21824" s="283" customFormat="1"/>
    <row r="21825" s="283" customFormat="1"/>
    <row r="21826" s="283" customFormat="1"/>
    <row r="21827" s="283" customFormat="1"/>
    <row r="21828" s="283" customFormat="1"/>
    <row r="21829" s="283" customFormat="1"/>
    <row r="21830" s="283" customFormat="1"/>
    <row r="21831" s="283" customFormat="1"/>
    <row r="21832" s="283" customFormat="1"/>
    <row r="21833" s="283" customFormat="1"/>
    <row r="21834" s="283" customFormat="1"/>
    <row r="21835" s="283" customFormat="1"/>
    <row r="21836" s="283" customFormat="1"/>
    <row r="21837" s="283" customFormat="1"/>
    <row r="21838" s="283" customFormat="1"/>
    <row r="21839" s="283" customFormat="1"/>
    <row r="21840" s="283" customFormat="1"/>
  </sheetData>
  <pageMargins left="0.7" right="0.7" top="0.75" bottom="0.75" header="0.3" footer="0.3"/>
  <pageSetup scale="56" orientation="portrait" r:id="rId1"/>
  <headerFooter>
    <oddHeader>&amp;RDocket No 56165
Schedule H
&amp;A
Page &amp;P of &amp;N</oddHeader>
  </headerFooter>
  <colBreaks count="2" manualBreakCount="2">
    <brk id="6" max="29" man="1"/>
    <brk id="11" max="2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P358"/>
  <sheetViews>
    <sheetView topLeftCell="B300" zoomScaleNormal="100" workbookViewId="0">
      <selection activeCell="U32" sqref="U32"/>
    </sheetView>
  </sheetViews>
  <sheetFormatPr defaultColWidth="9.140625" defaultRowHeight="12.75"/>
  <cols>
    <col min="1" max="1" width="37" style="75" hidden="1" customWidth="1"/>
    <col min="2" max="2" width="6.85546875" style="75" customWidth="1"/>
    <col min="3" max="3" width="32.140625" style="75" customWidth="1"/>
    <col min="4" max="4" width="9.140625" style="75"/>
    <col min="5" max="16" width="12.85546875" style="225" bestFit="1" customWidth="1"/>
    <col min="17" max="17" width="11.5703125" style="75" bestFit="1" customWidth="1"/>
    <col min="18" max="18" width="15.85546875" style="75" bestFit="1" customWidth="1"/>
    <col min="19" max="16384" width="9.140625" style="75"/>
  </cols>
  <sheetData>
    <row r="1" spans="1:146" ht="13.5" thickBot="1"/>
    <row r="2" spans="1:146">
      <c r="C2" s="203" t="s">
        <v>100</v>
      </c>
    </row>
    <row r="3" spans="1:146">
      <c r="C3" s="204" t="s">
        <v>101</v>
      </c>
    </row>
    <row r="4" spans="1:146">
      <c r="C4" s="205" t="s">
        <v>144</v>
      </c>
    </row>
    <row r="5" spans="1:146">
      <c r="C5" s="205" t="s">
        <v>329</v>
      </c>
    </row>
    <row r="6" spans="1:146" ht="13.5" thickBot="1">
      <c r="C6" s="206" t="str">
        <f>+'II-H-1'!B6</f>
        <v>DOCKET 56165</v>
      </c>
      <c r="E6" s="226">
        <v>2</v>
      </c>
      <c r="F6" s="226">
        <v>3</v>
      </c>
      <c r="G6" s="226">
        <v>4</v>
      </c>
      <c r="H6" s="226">
        <v>5</v>
      </c>
      <c r="I6" s="226">
        <v>6</v>
      </c>
      <c r="J6" s="226">
        <v>7</v>
      </c>
      <c r="K6" s="226">
        <v>8</v>
      </c>
      <c r="L6" s="226">
        <v>9</v>
      </c>
      <c r="M6" s="226">
        <v>10</v>
      </c>
      <c r="N6" s="226">
        <v>11</v>
      </c>
      <c r="O6" s="226">
        <v>12</v>
      </c>
      <c r="P6" s="226">
        <v>13</v>
      </c>
      <c r="Q6" s="224"/>
    </row>
    <row r="7" spans="1:146" s="87" customFormat="1" ht="11.25">
      <c r="C7" s="371" t="s">
        <v>91</v>
      </c>
      <c r="D7" s="366"/>
      <c r="E7" s="366"/>
      <c r="F7" s="366"/>
      <c r="G7" s="366"/>
      <c r="H7" s="366"/>
      <c r="I7" s="366"/>
      <c r="J7" s="366"/>
      <c r="K7" s="366"/>
      <c r="L7" s="366"/>
      <c r="M7" s="366"/>
      <c r="N7" s="366"/>
      <c r="O7" s="366"/>
      <c r="P7" s="366"/>
      <c r="Q7" s="152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H7" s="89"/>
      <c r="DI7" s="89"/>
      <c r="DJ7" s="89"/>
      <c r="DK7" s="89"/>
      <c r="DL7" s="89"/>
      <c r="DM7" s="89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  <c r="DZ7" s="89"/>
      <c r="EA7" s="89"/>
      <c r="EB7" s="89"/>
      <c r="EC7" s="89"/>
      <c r="ED7" s="89"/>
      <c r="EE7" s="89"/>
      <c r="EF7" s="89"/>
      <c r="EG7" s="89"/>
      <c r="EH7" s="89"/>
      <c r="EI7" s="89"/>
      <c r="EJ7" s="89"/>
      <c r="EK7" s="89"/>
      <c r="EL7" s="89"/>
      <c r="EM7" s="89"/>
      <c r="EN7" s="89"/>
      <c r="EO7" s="89"/>
      <c r="EP7" s="89"/>
    </row>
    <row r="8" spans="1:146" s="87" customFormat="1" ht="11.25">
      <c r="C8" s="371" t="s">
        <v>87</v>
      </c>
      <c r="D8" s="366"/>
      <c r="E8" s="366"/>
      <c r="F8" s="366"/>
      <c r="G8" s="366"/>
      <c r="H8" s="366"/>
      <c r="I8" s="366"/>
      <c r="J8" s="366"/>
      <c r="K8" s="366"/>
      <c r="L8" s="366"/>
      <c r="M8" s="366"/>
      <c r="N8" s="366"/>
      <c r="O8" s="366"/>
      <c r="P8" s="366"/>
      <c r="Q8" s="88" t="s">
        <v>1</v>
      </c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  <c r="BT8" s="89"/>
      <c r="BU8" s="89"/>
      <c r="BV8" s="89"/>
      <c r="BW8" s="89"/>
      <c r="BX8" s="89"/>
      <c r="BY8" s="89"/>
      <c r="BZ8" s="89"/>
      <c r="CA8" s="89"/>
      <c r="CB8" s="89"/>
      <c r="CC8" s="89"/>
      <c r="CD8" s="89"/>
      <c r="CE8" s="89"/>
      <c r="CF8" s="89"/>
      <c r="CG8" s="89"/>
      <c r="CH8" s="89"/>
      <c r="CI8" s="89"/>
      <c r="CJ8" s="89"/>
      <c r="CK8" s="89"/>
      <c r="CL8" s="89"/>
      <c r="CM8" s="89"/>
      <c r="CN8" s="89"/>
      <c r="CO8" s="89"/>
      <c r="CP8" s="89"/>
      <c r="CQ8" s="89"/>
      <c r="CR8" s="89"/>
      <c r="CS8" s="89"/>
      <c r="CT8" s="89"/>
      <c r="CU8" s="89"/>
      <c r="CV8" s="89"/>
      <c r="CW8" s="89"/>
      <c r="CX8" s="89"/>
      <c r="CY8" s="89"/>
      <c r="CZ8" s="89"/>
      <c r="DA8" s="89"/>
      <c r="DB8" s="89"/>
      <c r="DC8" s="89"/>
      <c r="DD8" s="89"/>
      <c r="DE8" s="89"/>
      <c r="DF8" s="89"/>
      <c r="DG8" s="89"/>
      <c r="DH8" s="89"/>
      <c r="DI8" s="89"/>
      <c r="DJ8" s="89"/>
      <c r="DK8" s="89"/>
      <c r="DL8" s="89"/>
      <c r="DM8" s="89"/>
      <c r="DN8" s="89"/>
      <c r="DO8" s="89"/>
      <c r="DP8" s="89"/>
      <c r="DQ8" s="89"/>
      <c r="DR8" s="89"/>
      <c r="DS8" s="89"/>
      <c r="DT8" s="89"/>
      <c r="DU8" s="89"/>
      <c r="DV8" s="89"/>
      <c r="DW8" s="89"/>
      <c r="DX8" s="89"/>
      <c r="DY8" s="89"/>
      <c r="DZ8" s="89"/>
      <c r="EA8" s="89"/>
      <c r="EB8" s="89"/>
      <c r="EC8" s="89"/>
      <c r="ED8" s="89"/>
      <c r="EE8" s="89"/>
      <c r="EF8" s="89"/>
      <c r="EG8" s="89"/>
      <c r="EH8" s="89"/>
      <c r="EI8" s="89"/>
      <c r="EJ8" s="89"/>
      <c r="EK8" s="89"/>
      <c r="EL8" s="89"/>
      <c r="EM8" s="89"/>
      <c r="EN8" s="89"/>
      <c r="EO8" s="89"/>
      <c r="EP8" s="89"/>
    </row>
    <row r="9" spans="1:146" s="87" customFormat="1" ht="11.25">
      <c r="C9" s="371" t="s">
        <v>147</v>
      </c>
      <c r="D9" s="366"/>
      <c r="E9" s="366"/>
      <c r="F9" s="366"/>
      <c r="G9" s="366"/>
      <c r="H9" s="366"/>
      <c r="I9" s="366"/>
      <c r="J9" s="366"/>
      <c r="K9" s="366"/>
      <c r="L9" s="366"/>
      <c r="M9" s="366"/>
      <c r="N9" s="366"/>
      <c r="O9" s="366"/>
      <c r="P9" s="366"/>
      <c r="Q9" s="87" t="s">
        <v>1</v>
      </c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/>
      <c r="BZ9" s="89"/>
      <c r="CA9" s="89"/>
      <c r="CB9" s="89"/>
      <c r="CC9" s="89"/>
      <c r="CD9" s="89"/>
      <c r="CE9" s="89"/>
      <c r="CF9" s="89"/>
      <c r="CG9" s="89"/>
      <c r="CH9" s="89"/>
      <c r="CI9" s="89"/>
      <c r="CJ9" s="89"/>
      <c r="CK9" s="89"/>
      <c r="CL9" s="89"/>
      <c r="CM9" s="89"/>
      <c r="CN9" s="89"/>
      <c r="CO9" s="89"/>
      <c r="CP9" s="89"/>
      <c r="CQ9" s="89"/>
      <c r="CR9" s="89"/>
      <c r="CS9" s="89"/>
      <c r="CT9" s="89"/>
      <c r="CU9" s="89"/>
      <c r="CV9" s="89"/>
      <c r="CW9" s="89"/>
      <c r="CX9" s="89"/>
      <c r="CY9" s="89"/>
      <c r="CZ9" s="89"/>
      <c r="DA9" s="89"/>
      <c r="DB9" s="89"/>
      <c r="DC9" s="89"/>
      <c r="DD9" s="89"/>
      <c r="DE9" s="89"/>
      <c r="DF9" s="89"/>
      <c r="DG9" s="89"/>
      <c r="DH9" s="89"/>
      <c r="DI9" s="89"/>
      <c r="DJ9" s="89"/>
      <c r="DK9" s="89"/>
      <c r="DL9" s="89"/>
      <c r="DM9" s="89"/>
      <c r="DN9" s="89"/>
      <c r="DO9" s="89"/>
      <c r="DP9" s="89"/>
      <c r="DQ9" s="89"/>
      <c r="DR9" s="89"/>
      <c r="DS9" s="89"/>
      <c r="DT9" s="89"/>
      <c r="DU9" s="89"/>
      <c r="DV9" s="89"/>
      <c r="DW9" s="89"/>
      <c r="DX9" s="89"/>
      <c r="DY9" s="89"/>
      <c r="DZ9" s="89"/>
      <c r="EA9" s="89"/>
      <c r="EB9" s="89"/>
      <c r="EC9" s="89"/>
      <c r="ED9" s="89"/>
      <c r="EE9" s="89"/>
      <c r="EF9" s="89"/>
      <c r="EG9" s="89"/>
      <c r="EH9" s="89"/>
      <c r="EI9" s="89"/>
      <c r="EJ9" s="89"/>
      <c r="EK9" s="89"/>
      <c r="EL9" s="89"/>
      <c r="EM9" s="89"/>
      <c r="EN9" s="89"/>
      <c r="EO9" s="89"/>
      <c r="EP9" s="89"/>
    </row>
    <row r="10" spans="1:146" s="87" customFormat="1" ht="11.25">
      <c r="C10" s="73"/>
      <c r="D10" s="179"/>
      <c r="E10" s="227"/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89"/>
      <c r="BF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  <c r="CB10" s="89"/>
      <c r="CC10" s="89"/>
      <c r="CD10" s="89"/>
      <c r="CE10" s="89"/>
      <c r="CF10" s="89"/>
      <c r="CG10" s="89"/>
      <c r="CH10" s="89"/>
      <c r="CI10" s="89"/>
      <c r="CJ10" s="89"/>
      <c r="CK10" s="89"/>
      <c r="CL10" s="89"/>
      <c r="CM10" s="89"/>
      <c r="CN10" s="89"/>
      <c r="CO10" s="89"/>
      <c r="CP10" s="89"/>
      <c r="CQ10" s="89"/>
      <c r="CR10" s="89"/>
      <c r="CS10" s="89"/>
      <c r="CT10" s="89"/>
      <c r="CU10" s="89"/>
      <c r="CV10" s="89"/>
      <c r="CW10" s="89"/>
      <c r="CX10" s="89"/>
      <c r="CY10" s="89"/>
      <c r="CZ10" s="89"/>
      <c r="DA10" s="89"/>
      <c r="DB10" s="89"/>
      <c r="DC10" s="89"/>
      <c r="DD10" s="89"/>
      <c r="DE10" s="89"/>
      <c r="DF10" s="89"/>
      <c r="DG10" s="89"/>
      <c r="DH10" s="89"/>
      <c r="DI10" s="89"/>
      <c r="DJ10" s="89"/>
      <c r="DK10" s="89"/>
      <c r="DL10" s="89"/>
      <c r="DM10" s="89"/>
      <c r="DN10" s="89"/>
      <c r="DO10" s="89"/>
      <c r="DP10" s="89"/>
      <c r="DQ10" s="89"/>
      <c r="DR10" s="89"/>
      <c r="DS10" s="89"/>
      <c r="DT10" s="89"/>
      <c r="DU10" s="89"/>
      <c r="DV10" s="89"/>
      <c r="DW10" s="89"/>
      <c r="DX10" s="89"/>
      <c r="DY10" s="89"/>
      <c r="DZ10" s="89"/>
      <c r="EA10" s="89"/>
      <c r="EB10" s="89"/>
      <c r="EC10" s="89"/>
      <c r="ED10" s="89"/>
      <c r="EE10" s="89"/>
      <c r="EF10" s="89"/>
      <c r="EG10" s="89"/>
      <c r="EH10" s="89"/>
      <c r="EI10" s="89"/>
      <c r="EJ10" s="89"/>
      <c r="EK10" s="89"/>
      <c r="EL10" s="89"/>
      <c r="EM10" s="89"/>
      <c r="EN10" s="89"/>
      <c r="EO10" s="89"/>
      <c r="EP10" s="89"/>
    </row>
    <row r="11" spans="1:146" s="87" customFormat="1" ht="11.25">
      <c r="A11" s="267" t="s">
        <v>304</v>
      </c>
      <c r="C11" s="73" t="s">
        <v>485</v>
      </c>
      <c r="D11" s="99"/>
      <c r="E11" s="228"/>
      <c r="F11" s="229"/>
      <c r="G11" s="229"/>
      <c r="H11" s="230"/>
      <c r="I11" s="231"/>
      <c r="J11" s="231"/>
      <c r="K11" s="231"/>
      <c r="L11" s="231"/>
      <c r="M11" s="231"/>
      <c r="N11" s="231"/>
      <c r="O11" s="231"/>
      <c r="P11" s="90"/>
      <c r="Q11" s="10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  <c r="CB11" s="89"/>
      <c r="CC11" s="89"/>
      <c r="CD11" s="89"/>
      <c r="CE11" s="89"/>
      <c r="CF11" s="89"/>
      <c r="CG11" s="89"/>
      <c r="CH11" s="89"/>
      <c r="CI11" s="89"/>
      <c r="CJ11" s="89"/>
      <c r="CK11" s="89"/>
      <c r="CL11" s="89"/>
      <c r="CM11" s="89"/>
      <c r="CN11" s="89"/>
      <c r="CO11" s="89"/>
      <c r="CP11" s="89"/>
      <c r="CQ11" s="89"/>
      <c r="CR11" s="89"/>
      <c r="CS11" s="89"/>
      <c r="CT11" s="89"/>
      <c r="CU11" s="89"/>
      <c r="CV11" s="89"/>
      <c r="CW11" s="89"/>
      <c r="CX11" s="89"/>
      <c r="CY11" s="89"/>
      <c r="CZ11" s="89"/>
      <c r="DA11" s="89"/>
      <c r="DB11" s="89"/>
      <c r="DC11" s="89"/>
      <c r="DD11" s="89"/>
      <c r="DE11" s="89"/>
      <c r="DF11" s="89"/>
      <c r="DG11" s="89"/>
      <c r="DH11" s="89"/>
      <c r="DI11" s="89"/>
      <c r="DJ11" s="89"/>
      <c r="DK11" s="89"/>
      <c r="DL11" s="89"/>
      <c r="DM11" s="89"/>
      <c r="DN11" s="89"/>
      <c r="DO11" s="89"/>
      <c r="DP11" s="89"/>
      <c r="DQ11" s="89"/>
      <c r="DR11" s="89"/>
      <c r="DS11" s="89"/>
      <c r="DT11" s="89"/>
      <c r="DU11" s="89"/>
      <c r="DV11" s="89"/>
      <c r="DW11" s="89"/>
      <c r="DX11" s="89"/>
      <c r="DY11" s="89"/>
      <c r="DZ11" s="89"/>
      <c r="EA11" s="89"/>
      <c r="EB11" s="89"/>
      <c r="EC11" s="89"/>
      <c r="ED11" s="89"/>
      <c r="EE11" s="89"/>
      <c r="EF11" s="89"/>
      <c r="EG11" s="89"/>
      <c r="EH11" s="89"/>
      <c r="EI11" s="89"/>
      <c r="EJ11" s="89"/>
      <c r="EK11" s="89"/>
      <c r="EL11" s="89"/>
      <c r="EM11" s="89"/>
      <c r="EN11" s="89"/>
      <c r="EO11" s="89"/>
      <c r="EP11" s="89"/>
    </row>
    <row r="12" spans="1:146" s="87" customFormat="1" ht="11.25">
      <c r="B12" s="179" t="s">
        <v>8</v>
      </c>
      <c r="C12" s="181" t="s">
        <v>0</v>
      </c>
      <c r="D12" s="181" t="s">
        <v>7</v>
      </c>
      <c r="E12" s="232" t="str">
        <f>'II-H-1.2'!D12</f>
        <v>Oct-22</v>
      </c>
      <c r="F12" s="232" t="str">
        <f>'II-H-1.2'!E12</f>
        <v>Nov-22</v>
      </c>
      <c r="G12" s="232" t="str">
        <f>'II-H-1.2'!F12</f>
        <v>Dec-22</v>
      </c>
      <c r="H12" s="232" t="str">
        <f>'II-H-1.2'!G12</f>
        <v>Jan-23</v>
      </c>
      <c r="I12" s="232" t="str">
        <f>'II-H-1.2'!H12</f>
        <v>Feb-23</v>
      </c>
      <c r="J12" s="232" t="str">
        <f>'II-H-1.2'!I12</f>
        <v>Mar-23</v>
      </c>
      <c r="K12" s="232" t="str">
        <f>'II-H-1.2'!J12</f>
        <v>Apr-23</v>
      </c>
      <c r="L12" s="232" t="str">
        <f>'II-H-1.2'!K12</f>
        <v>May-23</v>
      </c>
      <c r="M12" s="232" t="str">
        <f>'II-H-1.2'!L12</f>
        <v>Jun-23</v>
      </c>
      <c r="N12" s="232" t="str">
        <f>'II-H-1.2'!M12</f>
        <v>Jul-23</v>
      </c>
      <c r="O12" s="232" t="str">
        <f>'II-H-1.2'!N12</f>
        <v>Aug-23</v>
      </c>
      <c r="P12" s="232" t="str">
        <f>'II-H-1.2'!O12</f>
        <v>Sep-23</v>
      </c>
      <c r="Q12" s="110" t="s">
        <v>2</v>
      </c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  <c r="DZ12" s="89"/>
      <c r="EA12" s="89"/>
      <c r="EB12" s="89"/>
      <c r="EC12" s="89"/>
      <c r="ED12" s="89"/>
      <c r="EE12" s="89"/>
      <c r="EF12" s="89"/>
      <c r="EG12" s="89"/>
      <c r="EH12" s="89"/>
      <c r="EI12" s="89"/>
      <c r="EJ12" s="89"/>
      <c r="EK12" s="89"/>
      <c r="EL12" s="89"/>
      <c r="EM12" s="89"/>
      <c r="EN12" s="89"/>
      <c r="EO12" s="89"/>
      <c r="EP12" s="89"/>
    </row>
    <row r="13" spans="1:146" s="87" customFormat="1" ht="11.25">
      <c r="C13" s="181"/>
      <c r="D13" s="181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27"/>
      <c r="Q13" s="110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  <c r="CB13" s="89"/>
      <c r="CC13" s="89"/>
      <c r="CD13" s="89"/>
      <c r="CE13" s="89"/>
      <c r="CF13" s="89"/>
      <c r="CG13" s="89"/>
      <c r="CH13" s="89"/>
      <c r="CI13" s="89"/>
      <c r="CJ13" s="89"/>
      <c r="CK13" s="89"/>
      <c r="CL13" s="89"/>
      <c r="CM13" s="89"/>
      <c r="CN13" s="89"/>
      <c r="CO13" s="89"/>
      <c r="CP13" s="89"/>
      <c r="CQ13" s="89"/>
      <c r="CR13" s="89"/>
      <c r="CS13" s="89"/>
      <c r="CT13" s="89"/>
      <c r="CU13" s="89"/>
      <c r="CV13" s="89"/>
      <c r="CW13" s="89"/>
      <c r="CX13" s="89"/>
      <c r="CY13" s="89"/>
      <c r="CZ13" s="89"/>
      <c r="DA13" s="89"/>
      <c r="DB13" s="89"/>
      <c r="DC13" s="89"/>
      <c r="DD13" s="89"/>
      <c r="DE13" s="89"/>
      <c r="DF13" s="89"/>
      <c r="DG13" s="89"/>
      <c r="DH13" s="89"/>
      <c r="DI13" s="89"/>
      <c r="DJ13" s="89"/>
      <c r="DK13" s="89"/>
      <c r="DL13" s="89"/>
      <c r="DM13" s="89"/>
      <c r="DN13" s="89"/>
      <c r="DO13" s="89"/>
      <c r="DP13" s="89"/>
      <c r="DQ13" s="89"/>
      <c r="DR13" s="89"/>
      <c r="DS13" s="89"/>
      <c r="DT13" s="89"/>
      <c r="DU13" s="89"/>
      <c r="DV13" s="89"/>
      <c r="DW13" s="89"/>
      <c r="DX13" s="89"/>
      <c r="DY13" s="89"/>
      <c r="DZ13" s="89"/>
      <c r="EA13" s="89"/>
      <c r="EB13" s="89"/>
      <c r="EC13" s="89"/>
      <c r="ED13" s="89"/>
      <c r="EE13" s="89"/>
      <c r="EF13" s="89"/>
      <c r="EG13" s="89"/>
      <c r="EH13" s="89"/>
      <c r="EI13" s="89"/>
      <c r="EJ13" s="89"/>
      <c r="EK13" s="89"/>
      <c r="EL13" s="89"/>
      <c r="EM13" s="89"/>
      <c r="EN13" s="89"/>
      <c r="EO13" s="89"/>
      <c r="EP13" s="89"/>
    </row>
    <row r="14" spans="1:146" s="78" customFormat="1" ht="11.25">
      <c r="A14" s="87" t="str">
        <f>CONCATENATE($A$11,C14)</f>
        <v>Miscellaneous RidersRESIDENTIAL SERVICE</v>
      </c>
      <c r="B14" s="83" t="s">
        <v>9</v>
      </c>
      <c r="C14" s="78" t="s">
        <v>17</v>
      </c>
      <c r="D14" s="85" t="s">
        <v>4</v>
      </c>
      <c r="E14" s="124">
        <v>10.039999999999999</v>
      </c>
      <c r="F14" s="124">
        <v>4.07</v>
      </c>
      <c r="G14" s="124">
        <v>0.87</v>
      </c>
      <c r="H14" s="124">
        <v>-0.86</v>
      </c>
      <c r="I14" s="124">
        <v>0.85</v>
      </c>
      <c r="J14" s="124">
        <v>0</v>
      </c>
      <c r="K14" s="124">
        <v>0</v>
      </c>
      <c r="L14" s="124">
        <v>0</v>
      </c>
      <c r="M14" s="124">
        <v>0</v>
      </c>
      <c r="N14" s="124">
        <v>0.05</v>
      </c>
      <c r="O14" s="124">
        <v>0</v>
      </c>
      <c r="P14" s="124">
        <v>0</v>
      </c>
      <c r="Q14" s="90">
        <f>SUM(E14:P14)</f>
        <v>15.02</v>
      </c>
      <c r="R14" s="125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68"/>
      <c r="CL14" s="68"/>
      <c r="CM14" s="68"/>
      <c r="CN14" s="68"/>
      <c r="CO14" s="68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68"/>
      <c r="DA14" s="68"/>
      <c r="DB14" s="68"/>
      <c r="DC14" s="68"/>
      <c r="DD14" s="68"/>
      <c r="DE14" s="68"/>
      <c r="DF14" s="68"/>
      <c r="DG14" s="68"/>
      <c r="DH14" s="68"/>
      <c r="DI14" s="68"/>
      <c r="DJ14" s="68"/>
      <c r="DK14" s="68"/>
      <c r="DL14" s="68"/>
      <c r="DM14" s="68"/>
      <c r="DN14" s="68"/>
      <c r="DO14" s="68"/>
      <c r="DP14" s="68"/>
      <c r="DQ14" s="68"/>
      <c r="DR14" s="68"/>
      <c r="DS14" s="68"/>
      <c r="DT14" s="68"/>
      <c r="DU14" s="68"/>
      <c r="DV14" s="68"/>
      <c r="DW14" s="68"/>
      <c r="DX14" s="68"/>
      <c r="DY14" s="68"/>
      <c r="DZ14" s="68"/>
      <c r="EA14" s="68"/>
      <c r="EB14" s="68"/>
      <c r="EC14" s="68"/>
      <c r="ED14" s="68"/>
      <c r="EE14" s="68"/>
      <c r="EF14" s="68"/>
      <c r="EG14" s="68"/>
      <c r="EH14" s="68"/>
      <c r="EI14" s="68"/>
      <c r="EJ14" s="68"/>
      <c r="EK14" s="68"/>
      <c r="EL14" s="68"/>
      <c r="EM14" s="68"/>
      <c r="EN14" s="68"/>
      <c r="EO14" s="68"/>
      <c r="EP14" s="68"/>
    </row>
    <row r="15" spans="1:146" s="78" customFormat="1" ht="11.25">
      <c r="A15" s="87" t="str">
        <f t="shared" ref="A15:A38" si="0">CONCATENATE($A$11,C15)</f>
        <v>Miscellaneous Riders</v>
      </c>
      <c r="D15" s="85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93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/>
      <c r="DY15" s="68"/>
      <c r="DZ15" s="68"/>
      <c r="EA15" s="68"/>
      <c r="EB15" s="68"/>
      <c r="EC15" s="68"/>
      <c r="ED15" s="68"/>
      <c r="EE15" s="68"/>
      <c r="EF15" s="68"/>
      <c r="EG15" s="68"/>
      <c r="EH15" s="68"/>
      <c r="EI15" s="68"/>
      <c r="EJ15" s="68"/>
      <c r="EK15" s="68"/>
      <c r="EL15" s="68"/>
      <c r="EM15" s="68"/>
      <c r="EN15" s="68"/>
      <c r="EO15" s="68"/>
      <c r="EP15" s="68"/>
    </row>
    <row r="16" spans="1:146" s="78" customFormat="1" ht="11.25">
      <c r="A16" s="87" t="str">
        <f t="shared" si="0"/>
        <v>Miscellaneous RidersSECONDARY &lt; 10 kW</v>
      </c>
      <c r="B16" s="83">
        <v>2</v>
      </c>
      <c r="C16" s="78" t="s">
        <v>150</v>
      </c>
      <c r="D16" s="85" t="s">
        <v>4</v>
      </c>
      <c r="E16" s="124">
        <v>40.809999999999995</v>
      </c>
      <c r="F16" s="124">
        <v>12.240000000000002</v>
      </c>
      <c r="G16" s="124">
        <v>5.43</v>
      </c>
      <c r="H16" s="124">
        <v>-3.7500000000000004</v>
      </c>
      <c r="I16" s="124">
        <v>0.06</v>
      </c>
      <c r="J16" s="124">
        <v>0</v>
      </c>
      <c r="K16" s="124">
        <v>0</v>
      </c>
      <c r="L16" s="124">
        <v>0</v>
      </c>
      <c r="M16" s="124">
        <v>0</v>
      </c>
      <c r="N16" s="124">
        <v>0</v>
      </c>
      <c r="O16" s="124">
        <v>0</v>
      </c>
      <c r="P16" s="124">
        <v>0</v>
      </c>
      <c r="Q16" s="93">
        <f>SUM(E16:P16)</f>
        <v>54.79</v>
      </c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  <c r="CO16" s="68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68"/>
      <c r="DA16" s="68"/>
      <c r="DB16" s="68"/>
      <c r="DC16" s="68"/>
      <c r="DD16" s="68"/>
      <c r="DE16" s="68"/>
      <c r="DF16" s="68"/>
      <c r="DG16" s="68"/>
      <c r="DH16" s="68"/>
      <c r="DI16" s="68"/>
      <c r="DJ16" s="68"/>
      <c r="DK16" s="68"/>
      <c r="DL16" s="68"/>
      <c r="DM16" s="68"/>
      <c r="DN16" s="68"/>
      <c r="DO16" s="68"/>
      <c r="DP16" s="68"/>
      <c r="DQ16" s="68"/>
      <c r="DR16" s="68"/>
      <c r="DS16" s="68"/>
      <c r="DT16" s="68"/>
      <c r="DU16" s="68"/>
      <c r="DV16" s="68"/>
      <c r="DW16" s="68"/>
      <c r="DX16" s="68"/>
      <c r="DY16" s="68"/>
      <c r="DZ16" s="68"/>
      <c r="EA16" s="68"/>
      <c r="EB16" s="68"/>
      <c r="EC16" s="68"/>
      <c r="ED16" s="68"/>
      <c r="EE16" s="68"/>
      <c r="EF16" s="68"/>
      <c r="EG16" s="68"/>
      <c r="EH16" s="68"/>
      <c r="EI16" s="68"/>
      <c r="EJ16" s="68"/>
      <c r="EK16" s="68"/>
      <c r="EL16" s="68"/>
      <c r="EM16" s="68"/>
      <c r="EN16" s="68"/>
      <c r="EO16" s="68"/>
      <c r="EP16" s="68"/>
    </row>
    <row r="17" spans="1:146" s="78" customFormat="1" ht="11.25">
      <c r="A17" s="87" t="str">
        <f t="shared" si="0"/>
        <v>Miscellaneous Riders</v>
      </c>
      <c r="B17" s="83"/>
      <c r="D17" s="85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93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68"/>
      <c r="BY17" s="68"/>
      <c r="BZ17" s="68"/>
      <c r="CA17" s="68"/>
      <c r="CB17" s="68"/>
      <c r="CC17" s="68"/>
      <c r="CD17" s="68"/>
      <c r="CE17" s="68"/>
      <c r="CF17" s="68"/>
      <c r="CG17" s="68"/>
      <c r="CH17" s="68"/>
      <c r="CI17" s="68"/>
      <c r="CJ17" s="68"/>
      <c r="CK17" s="68"/>
      <c r="CL17" s="68"/>
      <c r="CM17" s="68"/>
      <c r="CN17" s="68"/>
      <c r="CO17" s="68"/>
      <c r="CP17" s="68"/>
      <c r="CQ17" s="68"/>
      <c r="CR17" s="68"/>
      <c r="CS17" s="68"/>
      <c r="CT17" s="68"/>
      <c r="CU17" s="68"/>
      <c r="CV17" s="68"/>
      <c r="CW17" s="68"/>
      <c r="CX17" s="68"/>
      <c r="CY17" s="68"/>
      <c r="CZ17" s="68"/>
      <c r="DA17" s="68"/>
      <c r="DB17" s="68"/>
      <c r="DC17" s="68"/>
      <c r="DD17" s="68"/>
      <c r="DE17" s="68"/>
      <c r="DF17" s="68"/>
      <c r="DG17" s="68"/>
      <c r="DH17" s="68"/>
      <c r="DI17" s="68"/>
      <c r="DJ17" s="68"/>
      <c r="DK17" s="68"/>
      <c r="DL17" s="68"/>
      <c r="DM17" s="68"/>
      <c r="DN17" s="68"/>
      <c r="DO17" s="68"/>
      <c r="DP17" s="68"/>
      <c r="DQ17" s="68"/>
      <c r="DR17" s="68"/>
      <c r="DS17" s="68"/>
      <c r="DT17" s="68"/>
      <c r="DU17" s="68"/>
      <c r="DV17" s="68"/>
      <c r="DW17" s="68"/>
      <c r="DX17" s="68"/>
      <c r="DY17" s="68"/>
      <c r="DZ17" s="68"/>
      <c r="EA17" s="68"/>
      <c r="EB17" s="68"/>
      <c r="EC17" s="68"/>
      <c r="ED17" s="68"/>
      <c r="EE17" s="68"/>
      <c r="EF17" s="68"/>
      <c r="EG17" s="68"/>
      <c r="EH17" s="68"/>
      <c r="EI17" s="68"/>
      <c r="EJ17" s="68"/>
      <c r="EK17" s="68"/>
      <c r="EL17" s="68"/>
      <c r="EM17" s="68"/>
      <c r="EN17" s="68"/>
      <c r="EO17" s="68"/>
      <c r="EP17" s="68"/>
    </row>
    <row r="18" spans="1:146" s="78" customFormat="1" ht="11.25">
      <c r="A18" s="87" t="str">
        <f t="shared" si="0"/>
        <v>Miscellaneous RidersSECONDARY &gt; 10 kW NCP</v>
      </c>
      <c r="B18" s="83">
        <v>3</v>
      </c>
      <c r="C18" s="87" t="s">
        <v>81</v>
      </c>
      <c r="D18" s="74" t="s">
        <v>4</v>
      </c>
      <c r="E18" s="124">
        <v>-8.39</v>
      </c>
      <c r="F18" s="124">
        <v>-0.42000000000000004</v>
      </c>
      <c r="G18" s="124">
        <v>-1.41</v>
      </c>
      <c r="H18" s="124">
        <v>0</v>
      </c>
      <c r="I18" s="124">
        <v>0.03</v>
      </c>
      <c r="J18" s="124">
        <v>0</v>
      </c>
      <c r="K18" s="124">
        <v>0</v>
      </c>
      <c r="L18" s="124">
        <v>0</v>
      </c>
      <c r="M18" s="124">
        <v>0</v>
      </c>
      <c r="N18" s="124">
        <v>0</v>
      </c>
      <c r="O18" s="124">
        <v>0</v>
      </c>
      <c r="P18" s="124">
        <v>0</v>
      </c>
      <c r="Q18" s="93">
        <f>SUM(E18:P18)</f>
        <v>-10.190000000000001</v>
      </c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68"/>
      <c r="DA18" s="68"/>
      <c r="DB18" s="68"/>
      <c r="DC18" s="68"/>
      <c r="DD18" s="68"/>
      <c r="DE18" s="68"/>
      <c r="DF18" s="68"/>
      <c r="DG18" s="68"/>
      <c r="DH18" s="68"/>
      <c r="DI18" s="68"/>
      <c r="DJ18" s="68"/>
      <c r="DK18" s="68"/>
      <c r="DL18" s="68"/>
      <c r="DM18" s="68"/>
      <c r="DN18" s="68"/>
      <c r="DO18" s="68"/>
      <c r="DP18" s="68"/>
      <c r="DQ18" s="68"/>
      <c r="DR18" s="68"/>
      <c r="DS18" s="68"/>
      <c r="DT18" s="68"/>
      <c r="DU18" s="68"/>
      <c r="DV18" s="68"/>
      <c r="DW18" s="68"/>
      <c r="DX18" s="68"/>
      <c r="DY18" s="68"/>
      <c r="DZ18" s="68"/>
      <c r="EA18" s="68"/>
      <c r="EB18" s="68"/>
      <c r="EC18" s="68"/>
      <c r="ED18" s="68"/>
      <c r="EE18" s="68"/>
      <c r="EF18" s="68"/>
      <c r="EG18" s="68"/>
      <c r="EH18" s="68"/>
      <c r="EI18" s="68"/>
      <c r="EJ18" s="68"/>
      <c r="EK18" s="68"/>
      <c r="EL18" s="68"/>
      <c r="EM18" s="68"/>
      <c r="EN18" s="68"/>
      <c r="EO18" s="68"/>
      <c r="EP18" s="68"/>
    </row>
    <row r="19" spans="1:146" s="78" customFormat="1" ht="11.25">
      <c r="A19" s="87" t="str">
        <f t="shared" si="0"/>
        <v>Miscellaneous RidersSECONDARY &gt; 10 kW 4CP</v>
      </c>
      <c r="B19" s="83">
        <v>4</v>
      </c>
      <c r="C19" s="87" t="s">
        <v>85</v>
      </c>
      <c r="D19" s="74" t="s">
        <v>4</v>
      </c>
      <c r="E19" s="149">
        <v>0</v>
      </c>
      <c r="F19" s="149">
        <v>0</v>
      </c>
      <c r="G19" s="149">
        <v>0</v>
      </c>
      <c r="H19" s="149">
        <v>0</v>
      </c>
      <c r="I19" s="149">
        <v>0</v>
      </c>
      <c r="J19" s="149">
        <v>0</v>
      </c>
      <c r="K19" s="149">
        <v>0</v>
      </c>
      <c r="L19" s="149">
        <v>0</v>
      </c>
      <c r="M19" s="149">
        <v>0</v>
      </c>
      <c r="N19" s="149">
        <v>0</v>
      </c>
      <c r="O19" s="149">
        <v>0</v>
      </c>
      <c r="P19" s="149">
        <v>0</v>
      </c>
      <c r="Q19" s="149">
        <v>0</v>
      </c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  <c r="DO19" s="68"/>
      <c r="DP19" s="68"/>
      <c r="DQ19" s="68"/>
      <c r="DR19" s="68"/>
      <c r="DS19" s="68"/>
      <c r="DT19" s="68"/>
      <c r="DU19" s="68"/>
      <c r="DV19" s="68"/>
      <c r="DW19" s="68"/>
      <c r="DX19" s="68"/>
      <c r="DY19" s="68"/>
      <c r="DZ19" s="68"/>
      <c r="EA19" s="68"/>
      <c r="EB19" s="68"/>
      <c r="EC19" s="68"/>
      <c r="ED19" s="68"/>
      <c r="EE19" s="68"/>
      <c r="EF19" s="68"/>
      <c r="EG19" s="68"/>
      <c r="EH19" s="68"/>
      <c r="EI19" s="68"/>
      <c r="EJ19" s="68"/>
      <c r="EK19" s="68"/>
      <c r="EL19" s="68"/>
      <c r="EM19" s="68"/>
      <c r="EN19" s="68"/>
      <c r="EO19" s="68"/>
      <c r="EP19" s="68"/>
    </row>
    <row r="20" spans="1:146" s="78" customFormat="1" ht="11.25">
      <c r="A20" s="87" t="str">
        <f t="shared" si="0"/>
        <v>Miscellaneous RidersTOTAL SECONDARY &gt; 10 kW</v>
      </c>
      <c r="B20" s="83">
        <v>5</v>
      </c>
      <c r="C20" s="96" t="s">
        <v>18</v>
      </c>
      <c r="D20" s="85"/>
      <c r="E20" s="231">
        <f>SUM(E18:E19)</f>
        <v>-8.39</v>
      </c>
      <c r="F20" s="231">
        <f t="shared" ref="F20:Q20" si="1">SUM(F18:F19)</f>
        <v>-0.42000000000000004</v>
      </c>
      <c r="G20" s="231">
        <f t="shared" si="1"/>
        <v>-1.41</v>
      </c>
      <c r="H20" s="231">
        <f t="shared" si="1"/>
        <v>0</v>
      </c>
      <c r="I20" s="231">
        <f t="shared" si="1"/>
        <v>0.03</v>
      </c>
      <c r="J20" s="231">
        <f t="shared" si="1"/>
        <v>0</v>
      </c>
      <c r="K20" s="231">
        <f t="shared" si="1"/>
        <v>0</v>
      </c>
      <c r="L20" s="231">
        <f t="shared" si="1"/>
        <v>0</v>
      </c>
      <c r="M20" s="231">
        <f t="shared" si="1"/>
        <v>0</v>
      </c>
      <c r="N20" s="231">
        <f t="shared" si="1"/>
        <v>0</v>
      </c>
      <c r="O20" s="231">
        <f t="shared" si="1"/>
        <v>0</v>
      </c>
      <c r="P20" s="231">
        <f t="shared" si="1"/>
        <v>0</v>
      </c>
      <c r="Q20" s="231">
        <f t="shared" si="1"/>
        <v>-10.190000000000001</v>
      </c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68"/>
      <c r="DA20" s="68"/>
      <c r="DB20" s="68"/>
      <c r="DC20" s="68"/>
      <c r="DD20" s="68"/>
      <c r="DE20" s="68"/>
      <c r="DF20" s="68"/>
      <c r="DG20" s="68"/>
      <c r="DH20" s="68"/>
      <c r="DI20" s="68"/>
      <c r="DJ20" s="68"/>
      <c r="DK20" s="68"/>
      <c r="DL20" s="68"/>
      <c r="DM20" s="68"/>
      <c r="DN20" s="68"/>
      <c r="DO20" s="68"/>
      <c r="DP20" s="68"/>
      <c r="DQ20" s="68"/>
      <c r="DR20" s="68"/>
      <c r="DS20" s="68"/>
      <c r="DT20" s="68"/>
      <c r="DU20" s="68"/>
      <c r="DV20" s="68"/>
      <c r="DW20" s="68"/>
      <c r="DX20" s="68"/>
      <c r="DY20" s="68"/>
      <c r="DZ20" s="68"/>
      <c r="EA20" s="68"/>
      <c r="EB20" s="68"/>
      <c r="EC20" s="68"/>
      <c r="ED20" s="68"/>
      <c r="EE20" s="68"/>
      <c r="EF20" s="68"/>
      <c r="EG20" s="68"/>
      <c r="EH20" s="68"/>
      <c r="EI20" s="68"/>
      <c r="EJ20" s="68"/>
      <c r="EK20" s="68"/>
      <c r="EL20" s="68"/>
      <c r="EM20" s="68"/>
      <c r="EN20" s="68"/>
      <c r="EO20" s="68"/>
      <c r="EP20" s="68"/>
    </row>
    <row r="21" spans="1:146" s="78" customFormat="1" ht="11.25">
      <c r="A21" s="87" t="str">
        <f t="shared" si="0"/>
        <v>Miscellaneous Riders</v>
      </c>
      <c r="C21" s="146"/>
      <c r="D21" s="85"/>
      <c r="E21" s="23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90"/>
      <c r="Q21" s="71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  <c r="BW21" s="68"/>
      <c r="BX21" s="68"/>
      <c r="BY21" s="68"/>
      <c r="BZ21" s="68"/>
      <c r="CA21" s="68"/>
      <c r="CB21" s="68"/>
      <c r="CC21" s="68"/>
      <c r="CD21" s="68"/>
      <c r="CE21" s="68"/>
      <c r="CF21" s="68"/>
      <c r="CG21" s="68"/>
      <c r="CH21" s="68"/>
      <c r="CI21" s="68"/>
      <c r="CJ21" s="68"/>
      <c r="CK21" s="68"/>
      <c r="CL21" s="68"/>
      <c r="CM21" s="68"/>
      <c r="CN21" s="68"/>
      <c r="CO21" s="68"/>
      <c r="CP21" s="68"/>
      <c r="CQ21" s="68"/>
      <c r="CR21" s="68"/>
      <c r="CS21" s="68"/>
      <c r="CT21" s="68"/>
      <c r="CU21" s="68"/>
      <c r="CV21" s="68"/>
      <c r="CW21" s="68"/>
      <c r="CX21" s="68"/>
      <c r="CY21" s="68"/>
      <c r="CZ21" s="68"/>
      <c r="DA21" s="68"/>
      <c r="DB21" s="68"/>
      <c r="DC21" s="68"/>
      <c r="DD21" s="68"/>
      <c r="DE21" s="68"/>
      <c r="DF21" s="68"/>
      <c r="DG21" s="68"/>
      <c r="DH21" s="68"/>
      <c r="DI21" s="68"/>
      <c r="DJ21" s="68"/>
      <c r="DK21" s="68"/>
      <c r="DL21" s="68"/>
      <c r="DM21" s="68"/>
      <c r="DN21" s="68"/>
      <c r="DO21" s="68"/>
      <c r="DP21" s="68"/>
      <c r="DQ21" s="68"/>
      <c r="DR21" s="68"/>
      <c r="DS21" s="68"/>
      <c r="DT21" s="68"/>
      <c r="DU21" s="68"/>
      <c r="DV21" s="68"/>
      <c r="DW21" s="68"/>
      <c r="DX21" s="68"/>
      <c r="DY21" s="68"/>
      <c r="DZ21" s="68"/>
      <c r="EA21" s="68"/>
      <c r="EB21" s="68"/>
      <c r="EC21" s="68"/>
      <c r="ED21" s="68"/>
      <c r="EE21" s="68"/>
      <c r="EF21" s="68"/>
      <c r="EG21" s="68"/>
      <c r="EH21" s="68"/>
      <c r="EI21" s="68"/>
      <c r="EJ21" s="68"/>
      <c r="EK21" s="68"/>
      <c r="EL21" s="68"/>
      <c r="EM21" s="68"/>
      <c r="EN21" s="68"/>
      <c r="EO21" s="68"/>
      <c r="EP21" s="68"/>
    </row>
    <row r="22" spans="1:146" s="78" customFormat="1" ht="11.25">
      <c r="A22" s="87" t="str">
        <f t="shared" si="0"/>
        <v>Miscellaneous RidersPRIMARY NCP</v>
      </c>
      <c r="B22" s="83">
        <v>6</v>
      </c>
      <c r="C22" s="87" t="s">
        <v>82</v>
      </c>
      <c r="D22" s="74" t="s">
        <v>5</v>
      </c>
      <c r="E22" s="124">
        <v>0</v>
      </c>
      <c r="F22" s="124">
        <v>0</v>
      </c>
      <c r="G22" s="124">
        <v>0</v>
      </c>
      <c r="H22" s="124">
        <v>0</v>
      </c>
      <c r="I22" s="124">
        <v>0</v>
      </c>
      <c r="J22" s="124">
        <v>0</v>
      </c>
      <c r="K22" s="124">
        <v>0</v>
      </c>
      <c r="L22" s="124">
        <v>0</v>
      </c>
      <c r="M22" s="124">
        <v>0</v>
      </c>
      <c r="N22" s="124">
        <v>0</v>
      </c>
      <c r="O22" s="124">
        <v>0</v>
      </c>
      <c r="P22" s="124">
        <v>0</v>
      </c>
      <c r="Q22" s="124">
        <f>SUM(E22:P22)</f>
        <v>0</v>
      </c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  <c r="CO22" s="68"/>
      <c r="CP22" s="68"/>
      <c r="CQ22" s="68"/>
      <c r="CR22" s="68"/>
      <c r="CS22" s="68"/>
      <c r="CT22" s="68"/>
      <c r="CU22" s="68"/>
      <c r="CV22" s="68"/>
      <c r="CW22" s="68"/>
      <c r="CX22" s="68"/>
      <c r="CY22" s="68"/>
      <c r="CZ22" s="68"/>
      <c r="DA22" s="68"/>
      <c r="DB22" s="68"/>
      <c r="DC22" s="68"/>
      <c r="DD22" s="68"/>
      <c r="DE22" s="68"/>
      <c r="DF22" s="68"/>
      <c r="DG22" s="68"/>
      <c r="DH22" s="68"/>
      <c r="DI22" s="68"/>
      <c r="DJ22" s="68"/>
      <c r="DK22" s="68"/>
      <c r="DL22" s="68"/>
      <c r="DM22" s="68"/>
      <c r="DN22" s="68"/>
      <c r="DO22" s="68"/>
      <c r="DP22" s="68"/>
      <c r="DQ22" s="68"/>
      <c r="DR22" s="68"/>
      <c r="DS22" s="68"/>
      <c r="DT22" s="68"/>
      <c r="DU22" s="68"/>
      <c r="DV22" s="68"/>
      <c r="DW22" s="68"/>
      <c r="DX22" s="68"/>
      <c r="DY22" s="68"/>
      <c r="DZ22" s="68"/>
      <c r="EA22" s="68"/>
      <c r="EB22" s="68"/>
      <c r="EC22" s="68"/>
      <c r="ED22" s="68"/>
      <c r="EE22" s="68"/>
      <c r="EF22" s="68"/>
      <c r="EG22" s="68"/>
      <c r="EH22" s="68"/>
      <c r="EI22" s="68"/>
      <c r="EJ22" s="68"/>
      <c r="EK22" s="68"/>
      <c r="EL22" s="68"/>
      <c r="EM22" s="68"/>
      <c r="EN22" s="68"/>
      <c r="EO22" s="68"/>
      <c r="EP22" s="68"/>
    </row>
    <row r="23" spans="1:146" s="78" customFormat="1" ht="11.25">
      <c r="A23" s="87" t="str">
        <f t="shared" si="0"/>
        <v>Miscellaneous RidersPRIMARY 4CP</v>
      </c>
      <c r="B23" s="83">
        <v>7</v>
      </c>
      <c r="C23" s="87" t="s">
        <v>83</v>
      </c>
      <c r="D23" s="74" t="s">
        <v>5</v>
      </c>
      <c r="E23" s="124">
        <v>0</v>
      </c>
      <c r="F23" s="124">
        <v>0</v>
      </c>
      <c r="G23" s="124">
        <v>0</v>
      </c>
      <c r="H23" s="124">
        <v>0</v>
      </c>
      <c r="I23" s="124">
        <v>0</v>
      </c>
      <c r="J23" s="124">
        <v>0</v>
      </c>
      <c r="K23" s="124">
        <v>0</v>
      </c>
      <c r="L23" s="124">
        <v>0</v>
      </c>
      <c r="M23" s="124">
        <v>0</v>
      </c>
      <c r="N23" s="124">
        <v>0</v>
      </c>
      <c r="O23" s="124">
        <v>0</v>
      </c>
      <c r="P23" s="124">
        <v>0</v>
      </c>
      <c r="Q23" s="124">
        <f>SUM(E23:P23)</f>
        <v>0</v>
      </c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  <c r="EE23" s="68"/>
      <c r="EF23" s="68"/>
      <c r="EG23" s="68"/>
      <c r="EH23" s="68"/>
      <c r="EI23" s="68"/>
      <c r="EJ23" s="68"/>
      <c r="EK23" s="68"/>
      <c r="EL23" s="68"/>
      <c r="EM23" s="68"/>
      <c r="EN23" s="68"/>
      <c r="EO23" s="68"/>
      <c r="EP23" s="68"/>
    </row>
    <row r="24" spans="1:146" s="78" customFormat="1" ht="11.25">
      <c r="A24" s="87" t="str">
        <f t="shared" si="0"/>
        <v>Miscellaneous RidersPRIMARY SUB NCP</v>
      </c>
      <c r="B24" s="83">
        <v>8</v>
      </c>
      <c r="C24" s="87" t="s">
        <v>148</v>
      </c>
      <c r="D24" s="74" t="s">
        <v>5</v>
      </c>
      <c r="E24" s="124">
        <v>0</v>
      </c>
      <c r="F24" s="124">
        <v>0</v>
      </c>
      <c r="G24" s="124">
        <v>0</v>
      </c>
      <c r="H24" s="124">
        <v>0</v>
      </c>
      <c r="I24" s="124">
        <v>0</v>
      </c>
      <c r="J24" s="124">
        <v>0</v>
      </c>
      <c r="K24" s="124">
        <v>0</v>
      </c>
      <c r="L24" s="124">
        <v>0</v>
      </c>
      <c r="M24" s="124">
        <v>0</v>
      </c>
      <c r="N24" s="124">
        <v>0</v>
      </c>
      <c r="O24" s="124">
        <v>0</v>
      </c>
      <c r="P24" s="124">
        <v>0</v>
      </c>
      <c r="Q24" s="124">
        <f t="shared" ref="Q24:Q25" si="2">SUM(E24:P24)</f>
        <v>0</v>
      </c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  <c r="CO24" s="68"/>
      <c r="CP24" s="68"/>
      <c r="CQ24" s="68"/>
      <c r="CR24" s="68"/>
      <c r="CS24" s="68"/>
      <c r="CT24" s="68"/>
      <c r="CU24" s="68"/>
      <c r="CV24" s="68"/>
      <c r="CW24" s="68"/>
      <c r="CX24" s="68"/>
      <c r="CY24" s="68"/>
      <c r="CZ24" s="68"/>
      <c r="DA24" s="68"/>
      <c r="DB24" s="68"/>
      <c r="DC24" s="68"/>
      <c r="DD24" s="68"/>
      <c r="DE24" s="68"/>
      <c r="DF24" s="68"/>
      <c r="DG24" s="68"/>
      <c r="DH24" s="68"/>
      <c r="DI24" s="68"/>
      <c r="DJ24" s="68"/>
      <c r="DK24" s="68"/>
      <c r="DL24" s="68"/>
      <c r="DM24" s="68"/>
      <c r="DN24" s="68"/>
      <c r="DO24" s="68"/>
      <c r="DP24" s="68"/>
      <c r="DQ24" s="68"/>
      <c r="DR24" s="68"/>
      <c r="DS24" s="68"/>
      <c r="DT24" s="68"/>
      <c r="DU24" s="68"/>
      <c r="DV24" s="68"/>
      <c r="DW24" s="68"/>
      <c r="DX24" s="68"/>
      <c r="DY24" s="68"/>
      <c r="DZ24" s="68"/>
      <c r="EA24" s="68"/>
      <c r="EB24" s="68"/>
      <c r="EC24" s="68"/>
      <c r="ED24" s="68"/>
      <c r="EE24" s="68"/>
      <c r="EF24" s="68"/>
      <c r="EG24" s="68"/>
      <c r="EH24" s="68"/>
      <c r="EI24" s="68"/>
      <c r="EJ24" s="68"/>
      <c r="EK24" s="68"/>
      <c r="EL24" s="68"/>
      <c r="EM24" s="68"/>
      <c r="EN24" s="68"/>
      <c r="EO24" s="68"/>
      <c r="EP24" s="68"/>
    </row>
    <row r="25" spans="1:146" s="78" customFormat="1" ht="11.25">
      <c r="A25" s="87" t="str">
        <f t="shared" si="0"/>
        <v>Miscellaneous RidersPRIMARY SUB 4CP</v>
      </c>
      <c r="B25" s="83">
        <v>9</v>
      </c>
      <c r="C25" s="87" t="s">
        <v>149</v>
      </c>
      <c r="D25" s="74" t="s">
        <v>5</v>
      </c>
      <c r="E25" s="124">
        <v>0</v>
      </c>
      <c r="F25" s="124">
        <v>0</v>
      </c>
      <c r="G25" s="124">
        <v>0</v>
      </c>
      <c r="H25" s="124">
        <v>0</v>
      </c>
      <c r="I25" s="124">
        <v>0</v>
      </c>
      <c r="J25" s="124">
        <v>0</v>
      </c>
      <c r="K25" s="124">
        <v>0</v>
      </c>
      <c r="L25" s="124">
        <v>0</v>
      </c>
      <c r="M25" s="124">
        <v>0</v>
      </c>
      <c r="N25" s="124">
        <v>0</v>
      </c>
      <c r="O25" s="124">
        <v>0</v>
      </c>
      <c r="P25" s="124">
        <v>0</v>
      </c>
      <c r="Q25" s="124">
        <f t="shared" si="2"/>
        <v>0</v>
      </c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8"/>
      <c r="BU25" s="68"/>
      <c r="BV25" s="68"/>
      <c r="BW25" s="68"/>
      <c r="BX25" s="68"/>
      <c r="BY25" s="68"/>
      <c r="BZ25" s="68"/>
      <c r="CA25" s="68"/>
      <c r="CB25" s="68"/>
      <c r="CC25" s="68"/>
      <c r="CD25" s="68"/>
      <c r="CE25" s="68"/>
      <c r="CF25" s="68"/>
      <c r="CG25" s="68"/>
      <c r="CH25" s="68"/>
      <c r="CI25" s="68"/>
      <c r="CJ25" s="68"/>
      <c r="CK25" s="68"/>
      <c r="CL25" s="68"/>
      <c r="CM25" s="68"/>
      <c r="CN25" s="68"/>
      <c r="CO25" s="68"/>
      <c r="CP25" s="68"/>
      <c r="CQ25" s="68"/>
      <c r="CR25" s="68"/>
      <c r="CS25" s="68"/>
      <c r="CT25" s="68"/>
      <c r="CU25" s="68"/>
      <c r="CV25" s="68"/>
      <c r="CW25" s="68"/>
      <c r="CX25" s="68"/>
      <c r="CY25" s="68"/>
      <c r="CZ25" s="68"/>
      <c r="DA25" s="68"/>
      <c r="DB25" s="68"/>
      <c r="DC25" s="68"/>
      <c r="DD25" s="68"/>
      <c r="DE25" s="68"/>
      <c r="DF25" s="68"/>
      <c r="DG25" s="68"/>
      <c r="DH25" s="68"/>
      <c r="DI25" s="68"/>
      <c r="DJ25" s="68"/>
      <c r="DK25" s="68"/>
      <c r="DL25" s="68"/>
      <c r="DM25" s="68"/>
      <c r="DN25" s="68"/>
      <c r="DO25" s="68"/>
      <c r="DP25" s="68"/>
      <c r="DQ25" s="68"/>
      <c r="DR25" s="68"/>
      <c r="DS25" s="68"/>
      <c r="DT25" s="68"/>
      <c r="DU25" s="68"/>
      <c r="DV25" s="68"/>
      <c r="DW25" s="68"/>
      <c r="DX25" s="68"/>
      <c r="DY25" s="68"/>
      <c r="DZ25" s="68"/>
      <c r="EA25" s="68"/>
      <c r="EB25" s="68"/>
      <c r="EC25" s="68"/>
      <c r="ED25" s="68"/>
      <c r="EE25" s="68"/>
      <c r="EF25" s="68"/>
      <c r="EG25" s="68"/>
      <c r="EH25" s="68"/>
      <c r="EI25" s="68"/>
      <c r="EJ25" s="68"/>
      <c r="EK25" s="68"/>
      <c r="EL25" s="68"/>
      <c r="EM25" s="68"/>
      <c r="EN25" s="68"/>
      <c r="EO25" s="68"/>
      <c r="EP25" s="68"/>
    </row>
    <row r="26" spans="1:146" s="78" customFormat="1" ht="11.25">
      <c r="A26" s="87" t="str">
        <f t="shared" si="0"/>
        <v>Miscellaneous RidersTOTAL PRIMARY</v>
      </c>
      <c r="B26" s="83">
        <v>10</v>
      </c>
      <c r="C26" s="78" t="s">
        <v>19</v>
      </c>
      <c r="D26" s="74"/>
      <c r="E26" s="233">
        <f>SUM(E22:E25)</f>
        <v>0</v>
      </c>
      <c r="F26" s="233">
        <f t="shared" ref="F26:Q26" si="3">SUM(F22:F25)</f>
        <v>0</v>
      </c>
      <c r="G26" s="233">
        <f t="shared" si="3"/>
        <v>0</v>
      </c>
      <c r="H26" s="233">
        <f t="shared" si="3"/>
        <v>0</v>
      </c>
      <c r="I26" s="233">
        <f t="shared" si="3"/>
        <v>0</v>
      </c>
      <c r="J26" s="233">
        <f t="shared" si="3"/>
        <v>0</v>
      </c>
      <c r="K26" s="233">
        <f t="shared" si="3"/>
        <v>0</v>
      </c>
      <c r="L26" s="233">
        <f t="shared" si="3"/>
        <v>0</v>
      </c>
      <c r="M26" s="233">
        <f t="shared" si="3"/>
        <v>0</v>
      </c>
      <c r="N26" s="233">
        <f t="shared" si="3"/>
        <v>0</v>
      </c>
      <c r="O26" s="233">
        <f t="shared" si="3"/>
        <v>0</v>
      </c>
      <c r="P26" s="233">
        <f t="shared" si="3"/>
        <v>0</v>
      </c>
      <c r="Q26" s="233">
        <f t="shared" si="3"/>
        <v>0</v>
      </c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68"/>
      <c r="BV26" s="68"/>
      <c r="BW26" s="68"/>
      <c r="BX26" s="68"/>
      <c r="BY26" s="68"/>
      <c r="BZ26" s="68"/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68"/>
      <c r="CM26" s="68"/>
      <c r="CN26" s="68"/>
      <c r="CO26" s="68"/>
      <c r="CP26" s="68"/>
      <c r="CQ26" s="68"/>
      <c r="CR26" s="68"/>
      <c r="CS26" s="68"/>
      <c r="CT26" s="68"/>
      <c r="CU26" s="68"/>
      <c r="CV26" s="68"/>
      <c r="CW26" s="68"/>
      <c r="CX26" s="68"/>
      <c r="CY26" s="68"/>
      <c r="CZ26" s="68"/>
      <c r="DA26" s="68"/>
      <c r="DB26" s="68"/>
      <c r="DC26" s="68"/>
      <c r="DD26" s="68"/>
      <c r="DE26" s="68"/>
      <c r="DF26" s="68"/>
      <c r="DG26" s="68"/>
      <c r="DH26" s="68"/>
      <c r="DI26" s="68"/>
      <c r="DJ26" s="68"/>
      <c r="DK26" s="68"/>
      <c r="DL26" s="68"/>
      <c r="DM26" s="68"/>
      <c r="DN26" s="68"/>
      <c r="DO26" s="68"/>
      <c r="DP26" s="68"/>
      <c r="DQ26" s="68"/>
      <c r="DR26" s="68"/>
      <c r="DS26" s="68"/>
      <c r="DT26" s="68"/>
      <c r="DU26" s="68"/>
      <c r="DV26" s="68"/>
      <c r="DW26" s="68"/>
      <c r="DX26" s="68"/>
      <c r="DY26" s="68"/>
      <c r="DZ26" s="68"/>
      <c r="EA26" s="68"/>
      <c r="EB26" s="68"/>
      <c r="EC26" s="68"/>
      <c r="ED26" s="68"/>
      <c r="EE26" s="68"/>
      <c r="EF26" s="68"/>
      <c r="EG26" s="68"/>
      <c r="EH26" s="68"/>
      <c r="EI26" s="68"/>
      <c r="EJ26" s="68"/>
      <c r="EK26" s="68"/>
      <c r="EL26" s="68"/>
      <c r="EM26" s="68"/>
      <c r="EN26" s="68"/>
      <c r="EO26" s="68"/>
      <c r="EP26" s="68"/>
    </row>
    <row r="27" spans="1:146" s="78" customFormat="1" ht="11.25">
      <c r="A27" s="87" t="str">
        <f t="shared" si="0"/>
        <v>Miscellaneous Riders</v>
      </c>
      <c r="B27" s="83"/>
      <c r="D27" s="74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3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  <c r="DO27" s="68"/>
      <c r="DP27" s="68"/>
      <c r="DQ27" s="68"/>
      <c r="DR27" s="68"/>
      <c r="DS27" s="68"/>
      <c r="DT27" s="68"/>
      <c r="DU27" s="68"/>
      <c r="DV27" s="68"/>
      <c r="DW27" s="68"/>
      <c r="DX27" s="68"/>
      <c r="DY27" s="68"/>
      <c r="DZ27" s="68"/>
      <c r="EA27" s="68"/>
      <c r="EB27" s="68"/>
      <c r="EC27" s="68"/>
      <c r="ED27" s="68"/>
      <c r="EE27" s="68"/>
      <c r="EF27" s="68"/>
      <c r="EG27" s="68"/>
      <c r="EH27" s="68"/>
      <c r="EI27" s="68"/>
      <c r="EJ27" s="68"/>
      <c r="EK27" s="68"/>
      <c r="EL27" s="68"/>
      <c r="EM27" s="68"/>
      <c r="EN27" s="68"/>
      <c r="EO27" s="68"/>
      <c r="EP27" s="68"/>
    </row>
    <row r="28" spans="1:146" s="78" customFormat="1" ht="11.25">
      <c r="A28" s="87" t="str">
        <f t="shared" si="0"/>
        <v xml:space="preserve">Miscellaneous RidersTRANSMISSION </v>
      </c>
      <c r="B28" s="83">
        <v>11</v>
      </c>
      <c r="C28" s="96" t="s">
        <v>86</v>
      </c>
      <c r="D28" s="74" t="s">
        <v>6</v>
      </c>
      <c r="E28" s="124">
        <v>0</v>
      </c>
      <c r="F28" s="124">
        <v>0</v>
      </c>
      <c r="G28" s="124">
        <v>0</v>
      </c>
      <c r="H28" s="124">
        <v>0</v>
      </c>
      <c r="I28" s="124">
        <v>0</v>
      </c>
      <c r="J28" s="124">
        <v>0</v>
      </c>
      <c r="K28" s="124">
        <v>0</v>
      </c>
      <c r="L28" s="124">
        <v>0</v>
      </c>
      <c r="M28" s="124">
        <v>0</v>
      </c>
      <c r="N28" s="124">
        <v>0</v>
      </c>
      <c r="O28" s="124">
        <v>0</v>
      </c>
      <c r="P28" s="124">
        <v>0</v>
      </c>
      <c r="Q28" s="124">
        <f>SUM(E28:P28)</f>
        <v>0</v>
      </c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8"/>
      <c r="CF28" s="68"/>
      <c r="CG28" s="68"/>
      <c r="CH28" s="68"/>
      <c r="CI28" s="68"/>
      <c r="CJ28" s="68"/>
      <c r="CK28" s="68"/>
      <c r="CL28" s="68"/>
      <c r="CM28" s="68"/>
      <c r="CN28" s="68"/>
      <c r="CO28" s="68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68"/>
      <c r="DA28" s="68"/>
      <c r="DB28" s="68"/>
      <c r="DC28" s="68"/>
      <c r="DD28" s="68"/>
      <c r="DE28" s="68"/>
      <c r="DF28" s="68"/>
      <c r="DG28" s="68"/>
      <c r="DH28" s="68"/>
      <c r="DI28" s="68"/>
      <c r="DJ28" s="68"/>
      <c r="DK28" s="68"/>
      <c r="DL28" s="68"/>
      <c r="DM28" s="68"/>
      <c r="DN28" s="68"/>
      <c r="DO28" s="68"/>
      <c r="DP28" s="68"/>
      <c r="DQ28" s="68"/>
      <c r="DR28" s="68"/>
      <c r="DS28" s="68"/>
      <c r="DT28" s="68"/>
      <c r="DU28" s="68"/>
      <c r="DV28" s="68"/>
      <c r="DW28" s="68"/>
      <c r="DX28" s="68"/>
      <c r="DY28" s="68"/>
      <c r="DZ28" s="68"/>
      <c r="EA28" s="68"/>
      <c r="EB28" s="68"/>
      <c r="EC28" s="68"/>
      <c r="ED28" s="68"/>
      <c r="EE28" s="68"/>
      <c r="EF28" s="68"/>
      <c r="EG28" s="68"/>
      <c r="EH28" s="68"/>
      <c r="EI28" s="68"/>
      <c r="EJ28" s="68"/>
      <c r="EK28" s="68"/>
      <c r="EL28" s="68"/>
      <c r="EM28" s="68"/>
      <c r="EN28" s="68"/>
      <c r="EO28" s="68"/>
      <c r="EP28" s="68"/>
    </row>
    <row r="29" spans="1:146" s="78" customFormat="1" ht="11.25">
      <c r="A29" s="87" t="str">
        <f t="shared" si="0"/>
        <v>Miscellaneous Riders</v>
      </c>
      <c r="D29" s="85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68"/>
      <c r="BV29" s="68"/>
      <c r="BW29" s="68"/>
      <c r="BX29" s="68"/>
      <c r="BY29" s="68"/>
      <c r="BZ29" s="68"/>
      <c r="CA29" s="68"/>
      <c r="CB29" s="68"/>
      <c r="CC29" s="68"/>
      <c r="CD29" s="68"/>
      <c r="CE29" s="68"/>
      <c r="CF29" s="68"/>
      <c r="CG29" s="68"/>
      <c r="CH29" s="68"/>
      <c r="CI29" s="68"/>
      <c r="CJ29" s="68"/>
      <c r="CK29" s="68"/>
      <c r="CL29" s="68"/>
      <c r="CM29" s="68"/>
      <c r="CN29" s="68"/>
      <c r="CO29" s="68"/>
      <c r="CP29" s="68"/>
      <c r="CQ29" s="68"/>
      <c r="CR29" s="68"/>
      <c r="CS29" s="68"/>
      <c r="CT29" s="68"/>
      <c r="CU29" s="68"/>
      <c r="CV29" s="68"/>
      <c r="CW29" s="68"/>
      <c r="CX29" s="68"/>
      <c r="CY29" s="68"/>
      <c r="CZ29" s="68"/>
      <c r="DA29" s="68"/>
      <c r="DB29" s="68"/>
      <c r="DC29" s="68"/>
      <c r="DD29" s="68"/>
      <c r="DE29" s="68"/>
      <c r="DF29" s="68"/>
      <c r="DG29" s="68"/>
      <c r="DH29" s="68"/>
      <c r="DI29" s="68"/>
      <c r="DJ29" s="68"/>
      <c r="DK29" s="68"/>
      <c r="DL29" s="68"/>
      <c r="DM29" s="68"/>
      <c r="DN29" s="68"/>
      <c r="DO29" s="68"/>
      <c r="DP29" s="68"/>
      <c r="DQ29" s="68"/>
      <c r="DR29" s="68"/>
      <c r="DS29" s="68"/>
      <c r="DT29" s="68"/>
      <c r="DU29" s="68"/>
      <c r="DV29" s="68"/>
      <c r="DW29" s="68"/>
      <c r="DX29" s="68"/>
      <c r="DY29" s="68"/>
      <c r="DZ29" s="68"/>
      <c r="EA29" s="68"/>
      <c r="EB29" s="68"/>
      <c r="EC29" s="68"/>
      <c r="ED29" s="68"/>
      <c r="EE29" s="68"/>
      <c r="EF29" s="68"/>
      <c r="EG29" s="68"/>
      <c r="EH29" s="68"/>
      <c r="EI29" s="68"/>
      <c r="EJ29" s="68"/>
      <c r="EK29" s="68"/>
      <c r="EL29" s="68"/>
      <c r="EM29" s="68"/>
      <c r="EN29" s="68"/>
      <c r="EO29" s="68"/>
      <c r="EP29" s="68"/>
    </row>
    <row r="30" spans="1:146" s="78" customFormat="1" ht="11.25">
      <c r="A30" s="87" t="str">
        <f t="shared" si="0"/>
        <v>Miscellaneous RidersLIGHTING</v>
      </c>
      <c r="B30" s="83">
        <v>12</v>
      </c>
      <c r="C30" s="68" t="s">
        <v>21</v>
      </c>
      <c r="D30" s="74" t="s">
        <v>4</v>
      </c>
      <c r="E30" s="124">
        <v>0</v>
      </c>
      <c r="F30" s="124">
        <v>0</v>
      </c>
      <c r="G30" s="124">
        <v>0</v>
      </c>
      <c r="H30" s="124">
        <v>0</v>
      </c>
      <c r="I30" s="124">
        <v>0</v>
      </c>
      <c r="J30" s="124">
        <v>0</v>
      </c>
      <c r="K30" s="124">
        <v>0</v>
      </c>
      <c r="L30" s="124">
        <v>0</v>
      </c>
      <c r="M30" s="124">
        <v>0</v>
      </c>
      <c r="N30" s="124">
        <v>0</v>
      </c>
      <c r="O30" s="124">
        <v>0</v>
      </c>
      <c r="P30" s="124">
        <v>0</v>
      </c>
      <c r="Q30" s="124">
        <f>SUM(E30:P30)</f>
        <v>0</v>
      </c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8"/>
      <c r="CF30" s="68"/>
      <c r="CG30" s="68"/>
      <c r="CH30" s="68"/>
      <c r="CI30" s="68"/>
      <c r="CJ30" s="68"/>
      <c r="CK30" s="68"/>
      <c r="CL30" s="68"/>
      <c r="CM30" s="68"/>
      <c r="CN30" s="68"/>
      <c r="CO30" s="68"/>
      <c r="CP30" s="68"/>
      <c r="CQ30" s="68"/>
      <c r="CR30" s="68"/>
      <c r="CS30" s="68"/>
      <c r="CT30" s="68"/>
      <c r="CU30" s="68"/>
      <c r="CV30" s="68"/>
      <c r="CW30" s="68"/>
      <c r="CX30" s="68"/>
      <c r="CY30" s="68"/>
      <c r="CZ30" s="68"/>
      <c r="DA30" s="68"/>
      <c r="DB30" s="68"/>
      <c r="DC30" s="68"/>
      <c r="DD30" s="68"/>
      <c r="DE30" s="68"/>
      <c r="DF30" s="68"/>
      <c r="DG30" s="68"/>
      <c r="DH30" s="68"/>
      <c r="DI30" s="68"/>
      <c r="DJ30" s="68"/>
      <c r="DK30" s="68"/>
      <c r="DL30" s="68"/>
      <c r="DM30" s="68"/>
      <c r="DN30" s="68"/>
      <c r="DO30" s="68"/>
      <c r="DP30" s="68"/>
      <c r="DQ30" s="68"/>
      <c r="DR30" s="68"/>
      <c r="DS30" s="68"/>
      <c r="DT30" s="68"/>
      <c r="DU30" s="68"/>
      <c r="DV30" s="68"/>
      <c r="DW30" s="68"/>
      <c r="DX30" s="68"/>
      <c r="DY30" s="68"/>
      <c r="DZ30" s="68"/>
      <c r="EA30" s="68"/>
      <c r="EB30" s="68"/>
      <c r="EC30" s="68"/>
      <c r="ED30" s="68"/>
      <c r="EE30" s="68"/>
      <c r="EF30" s="68"/>
      <c r="EG30" s="68"/>
      <c r="EH30" s="68"/>
      <c r="EI30" s="68"/>
      <c r="EJ30" s="68"/>
      <c r="EK30" s="68"/>
      <c r="EL30" s="68"/>
      <c r="EM30" s="68"/>
      <c r="EN30" s="68"/>
      <c r="EO30" s="68"/>
      <c r="EP30" s="68"/>
    </row>
    <row r="31" spans="1:146" s="78" customFormat="1" ht="11.25">
      <c r="A31" s="87" t="str">
        <f t="shared" si="0"/>
        <v>Miscellaneous Riders</v>
      </c>
      <c r="B31" s="83"/>
      <c r="D31" s="85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90"/>
      <c r="Q31" s="71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68"/>
      <c r="EC31" s="68"/>
      <c r="ED31" s="68"/>
      <c r="EE31" s="68"/>
      <c r="EF31" s="68"/>
      <c r="EG31" s="68"/>
      <c r="EH31" s="68"/>
      <c r="EI31" s="68"/>
      <c r="EJ31" s="68"/>
      <c r="EK31" s="68"/>
      <c r="EL31" s="68"/>
      <c r="EM31" s="68"/>
      <c r="EN31" s="68"/>
      <c r="EO31" s="68"/>
      <c r="EP31" s="68"/>
    </row>
    <row r="32" spans="1:146" s="78" customFormat="1" ht="11.25">
      <c r="A32" s="87" t="str">
        <f t="shared" si="0"/>
        <v>Miscellaneous RidersTOTAL RETAIL</v>
      </c>
      <c r="B32" s="83">
        <v>13</v>
      </c>
      <c r="C32" s="114" t="s">
        <v>22</v>
      </c>
      <c r="D32" s="180"/>
      <c r="E32" s="234">
        <f>+E14+E16+E20+E26+E28+E30</f>
        <v>42.459999999999994</v>
      </c>
      <c r="F32" s="234">
        <f t="shared" ref="F32:Q32" si="4">+F14+F16+F20+F26+F28+F30</f>
        <v>15.890000000000002</v>
      </c>
      <c r="G32" s="234">
        <f t="shared" si="4"/>
        <v>4.8899999999999997</v>
      </c>
      <c r="H32" s="234">
        <f t="shared" si="4"/>
        <v>-4.6100000000000003</v>
      </c>
      <c r="I32" s="234">
        <f t="shared" si="4"/>
        <v>0.94</v>
      </c>
      <c r="J32" s="234">
        <f t="shared" si="4"/>
        <v>0</v>
      </c>
      <c r="K32" s="234">
        <f t="shared" si="4"/>
        <v>0</v>
      </c>
      <c r="L32" s="234">
        <f t="shared" si="4"/>
        <v>0</v>
      </c>
      <c r="M32" s="234">
        <f t="shared" si="4"/>
        <v>0</v>
      </c>
      <c r="N32" s="234">
        <f t="shared" si="4"/>
        <v>0.05</v>
      </c>
      <c r="O32" s="234">
        <f t="shared" si="4"/>
        <v>0</v>
      </c>
      <c r="P32" s="234">
        <f t="shared" si="4"/>
        <v>0</v>
      </c>
      <c r="Q32" s="234">
        <f t="shared" si="4"/>
        <v>59.620000000000005</v>
      </c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8"/>
      <c r="BM32" s="68"/>
      <c r="BN32" s="68"/>
      <c r="BO32" s="68"/>
      <c r="BP32" s="68"/>
      <c r="BQ32" s="68"/>
      <c r="BR32" s="68"/>
      <c r="BS32" s="68"/>
      <c r="BT32" s="68"/>
      <c r="BU32" s="68"/>
      <c r="BV32" s="68"/>
      <c r="BW32" s="68"/>
      <c r="BX32" s="68"/>
      <c r="BY32" s="68"/>
      <c r="BZ32" s="68"/>
      <c r="CA32" s="68"/>
      <c r="CB32" s="68"/>
      <c r="CC32" s="68"/>
      <c r="CD32" s="68"/>
      <c r="CE32" s="68"/>
      <c r="CF32" s="68"/>
      <c r="CG32" s="68"/>
      <c r="CH32" s="68"/>
      <c r="CI32" s="68"/>
      <c r="CJ32" s="68"/>
      <c r="CK32" s="68"/>
      <c r="CL32" s="68"/>
      <c r="CM32" s="68"/>
      <c r="CN32" s="68"/>
      <c r="CO32" s="68"/>
      <c r="CP32" s="68"/>
      <c r="CQ32" s="68"/>
      <c r="CR32" s="68"/>
      <c r="CS32" s="68"/>
      <c r="CT32" s="68"/>
      <c r="CU32" s="68"/>
      <c r="CV32" s="68"/>
      <c r="CW32" s="68"/>
      <c r="CX32" s="68"/>
      <c r="CY32" s="68"/>
      <c r="CZ32" s="68"/>
      <c r="DA32" s="68"/>
      <c r="DB32" s="68"/>
      <c r="DC32" s="68"/>
      <c r="DD32" s="68"/>
      <c r="DE32" s="68"/>
      <c r="DF32" s="68"/>
      <c r="DG32" s="68"/>
      <c r="DH32" s="68"/>
      <c r="DI32" s="68"/>
      <c r="DJ32" s="68"/>
      <c r="DK32" s="68"/>
      <c r="DL32" s="68"/>
      <c r="DM32" s="68"/>
      <c r="DN32" s="68"/>
      <c r="DO32" s="68"/>
      <c r="DP32" s="68"/>
      <c r="DQ32" s="68"/>
      <c r="DR32" s="68"/>
      <c r="DS32" s="68"/>
      <c r="DT32" s="68"/>
      <c r="DU32" s="68"/>
      <c r="DV32" s="68"/>
      <c r="DW32" s="68"/>
      <c r="DX32" s="68"/>
      <c r="DY32" s="68"/>
      <c r="DZ32" s="68"/>
      <c r="EA32" s="68"/>
      <c r="EB32" s="68"/>
      <c r="EC32" s="68"/>
      <c r="ED32" s="68"/>
      <c r="EE32" s="68"/>
      <c r="EF32" s="68"/>
      <c r="EG32" s="68"/>
      <c r="EH32" s="68"/>
      <c r="EI32" s="68"/>
      <c r="EJ32" s="68"/>
      <c r="EK32" s="68"/>
      <c r="EL32" s="68"/>
      <c r="EM32" s="68"/>
      <c r="EN32" s="68"/>
      <c r="EO32" s="68"/>
      <c r="EP32" s="68"/>
    </row>
    <row r="33" spans="1:146" s="78" customFormat="1" ht="11.25">
      <c r="A33" s="87" t="str">
        <f t="shared" si="0"/>
        <v>Miscellaneous Riders</v>
      </c>
      <c r="C33" s="180"/>
      <c r="D33" s="180"/>
      <c r="E33" s="231"/>
      <c r="F33" s="231"/>
      <c r="G33" s="231"/>
      <c r="H33" s="231"/>
      <c r="I33" s="231"/>
      <c r="J33" s="231"/>
      <c r="K33" s="231"/>
      <c r="L33" s="231"/>
      <c r="M33" s="231"/>
      <c r="N33" s="231"/>
      <c r="O33" s="231"/>
      <c r="P33" s="90"/>
      <c r="Q33" s="93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8"/>
      <c r="DA33" s="68"/>
      <c r="DB33" s="68"/>
      <c r="DC33" s="68"/>
      <c r="DD33" s="68"/>
      <c r="DE33" s="68"/>
      <c r="DF33" s="68"/>
      <c r="DG33" s="68"/>
      <c r="DH33" s="68"/>
      <c r="DI33" s="68"/>
      <c r="DJ33" s="68"/>
      <c r="DK33" s="68"/>
      <c r="DL33" s="68"/>
      <c r="DM33" s="68"/>
      <c r="DN33" s="68"/>
      <c r="DO33" s="68"/>
      <c r="DP33" s="68"/>
      <c r="DQ33" s="68"/>
      <c r="DR33" s="68"/>
      <c r="DS33" s="68"/>
      <c r="DT33" s="68"/>
      <c r="DU33" s="68"/>
      <c r="DV33" s="68"/>
      <c r="DW33" s="68"/>
      <c r="DX33" s="68"/>
      <c r="DY33" s="68"/>
      <c r="DZ33" s="68"/>
      <c r="EA33" s="68"/>
      <c r="EB33" s="68"/>
      <c r="EC33" s="68"/>
      <c r="ED33" s="68"/>
      <c r="EE33" s="68"/>
      <c r="EF33" s="68"/>
      <c r="EG33" s="68"/>
      <c r="EH33" s="68"/>
      <c r="EI33" s="68"/>
      <c r="EJ33" s="68"/>
      <c r="EK33" s="68"/>
      <c r="EL33" s="68"/>
      <c r="EM33" s="68"/>
      <c r="EN33" s="68"/>
      <c r="EO33" s="68"/>
      <c r="EP33" s="68"/>
    </row>
    <row r="34" spans="1:146" s="78" customFormat="1" ht="11.25">
      <c r="A34" s="87" t="str">
        <f t="shared" si="0"/>
        <v>Miscellaneous Riders</v>
      </c>
      <c r="B34" s="83">
        <v>12</v>
      </c>
      <c r="C34" s="89"/>
      <c r="D34" s="7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03"/>
      <c r="R34" s="89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BV34" s="68"/>
      <c r="BW34" s="68"/>
      <c r="BX34" s="68"/>
      <c r="BY34" s="68"/>
      <c r="BZ34" s="68"/>
      <c r="CA34" s="68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68"/>
      <c r="CM34" s="68"/>
      <c r="CN34" s="68"/>
      <c r="CO34" s="68"/>
      <c r="CP34" s="68"/>
      <c r="CQ34" s="68"/>
      <c r="CR34" s="68"/>
      <c r="CS34" s="68"/>
      <c r="CT34" s="68"/>
      <c r="CU34" s="68"/>
      <c r="CV34" s="68"/>
      <c r="CW34" s="68"/>
      <c r="CX34" s="68"/>
      <c r="CY34" s="68"/>
      <c r="CZ34" s="68"/>
      <c r="DA34" s="68"/>
      <c r="DB34" s="68"/>
      <c r="DC34" s="68"/>
      <c r="DD34" s="68"/>
      <c r="DE34" s="68"/>
      <c r="DF34" s="68"/>
      <c r="DG34" s="68"/>
      <c r="DH34" s="68"/>
      <c r="DI34" s="68"/>
      <c r="DJ34" s="68"/>
      <c r="DK34" s="68"/>
      <c r="DL34" s="68"/>
      <c r="DM34" s="68"/>
      <c r="DN34" s="68"/>
      <c r="DO34" s="68"/>
      <c r="DP34" s="68"/>
      <c r="DQ34" s="68"/>
      <c r="DR34" s="68"/>
      <c r="DS34" s="68"/>
      <c r="DT34" s="68"/>
      <c r="DU34" s="68"/>
      <c r="DV34" s="68"/>
      <c r="DW34" s="68"/>
      <c r="DX34" s="68"/>
      <c r="DY34" s="68"/>
      <c r="DZ34" s="68"/>
      <c r="EA34" s="68"/>
      <c r="EB34" s="68"/>
      <c r="EC34" s="68"/>
      <c r="ED34" s="68"/>
      <c r="EE34" s="68"/>
      <c r="EF34" s="68"/>
      <c r="EG34" s="68"/>
      <c r="EH34" s="68"/>
      <c r="EI34" s="68"/>
      <c r="EJ34" s="68"/>
      <c r="EK34" s="68"/>
      <c r="EL34" s="68"/>
      <c r="EM34" s="68"/>
      <c r="EN34" s="68"/>
      <c r="EO34" s="68"/>
      <c r="EP34" s="68"/>
    </row>
    <row r="35" spans="1:146" s="78" customFormat="1" ht="11.25">
      <c r="A35" s="87" t="str">
        <f t="shared" si="0"/>
        <v>Miscellaneous Riders</v>
      </c>
      <c r="B35" s="83">
        <v>13</v>
      </c>
      <c r="C35" s="89"/>
      <c r="D35" s="7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03"/>
      <c r="R35" s="133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68"/>
      <c r="DD35" s="68"/>
      <c r="DE35" s="68"/>
      <c r="DF35" s="68"/>
      <c r="DG35" s="68"/>
      <c r="DH35" s="68"/>
      <c r="DI35" s="68"/>
      <c r="DJ35" s="68"/>
      <c r="DK35" s="68"/>
      <c r="DL35" s="68"/>
      <c r="DM35" s="68"/>
      <c r="DN35" s="68"/>
      <c r="DO35" s="68"/>
      <c r="DP35" s="68"/>
      <c r="DQ35" s="68"/>
      <c r="DR35" s="68"/>
      <c r="DS35" s="68"/>
      <c r="DT35" s="68"/>
      <c r="DU35" s="68"/>
      <c r="DV35" s="68"/>
      <c r="DW35" s="68"/>
      <c r="DX35" s="68"/>
      <c r="DY35" s="68"/>
      <c r="DZ35" s="68"/>
      <c r="EA35" s="68"/>
      <c r="EB35" s="68"/>
      <c r="EC35" s="68"/>
      <c r="ED35" s="68"/>
      <c r="EE35" s="68"/>
      <c r="EF35" s="68"/>
      <c r="EG35" s="68"/>
      <c r="EH35" s="68"/>
      <c r="EI35" s="68"/>
      <c r="EJ35" s="68"/>
      <c r="EK35" s="68"/>
      <c r="EL35" s="68"/>
      <c r="EM35" s="68"/>
      <c r="EN35" s="68"/>
      <c r="EO35" s="68"/>
      <c r="EP35" s="68"/>
    </row>
    <row r="36" spans="1:146" s="78" customFormat="1" ht="11.25">
      <c r="A36" s="87" t="str">
        <f t="shared" si="0"/>
        <v>Miscellaneous Riders</v>
      </c>
      <c r="B36" s="83">
        <v>14</v>
      </c>
      <c r="C36" s="114"/>
      <c r="D36" s="180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24"/>
      <c r="Q36" s="103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  <c r="BW36" s="68"/>
      <c r="BX36" s="68"/>
      <c r="BY36" s="68"/>
      <c r="BZ36" s="68"/>
      <c r="CA36" s="68"/>
      <c r="CB36" s="68"/>
      <c r="CC36" s="68"/>
      <c r="CD36" s="68"/>
      <c r="CE36" s="68"/>
      <c r="CF36" s="68"/>
      <c r="CG36" s="68"/>
      <c r="CH36" s="68"/>
      <c r="CI36" s="68"/>
      <c r="CJ36" s="68"/>
      <c r="CK36" s="68"/>
      <c r="CL36" s="68"/>
      <c r="CM36" s="68"/>
      <c r="CN36" s="68"/>
      <c r="CO36" s="68"/>
      <c r="CP36" s="68"/>
      <c r="CQ36" s="68"/>
      <c r="CR36" s="68"/>
      <c r="CS36" s="68"/>
      <c r="CT36" s="68"/>
      <c r="CU36" s="68"/>
      <c r="CV36" s="68"/>
      <c r="CW36" s="68"/>
      <c r="CX36" s="68"/>
      <c r="CY36" s="68"/>
      <c r="CZ36" s="68"/>
      <c r="DA36" s="68"/>
      <c r="DB36" s="68"/>
      <c r="DC36" s="68"/>
      <c r="DD36" s="68"/>
      <c r="DE36" s="68"/>
      <c r="DF36" s="68"/>
      <c r="DG36" s="68"/>
      <c r="DH36" s="68"/>
      <c r="DI36" s="68"/>
      <c r="DJ36" s="68"/>
      <c r="DK36" s="68"/>
      <c r="DL36" s="68"/>
      <c r="DM36" s="68"/>
      <c r="DN36" s="68"/>
      <c r="DO36" s="68"/>
      <c r="DP36" s="68"/>
      <c r="DQ36" s="68"/>
      <c r="DR36" s="68"/>
      <c r="DS36" s="68"/>
      <c r="DT36" s="68"/>
      <c r="DU36" s="68"/>
      <c r="DV36" s="68"/>
      <c r="DW36" s="68"/>
      <c r="DX36" s="68"/>
      <c r="DY36" s="68"/>
      <c r="DZ36" s="68"/>
      <c r="EA36" s="68"/>
      <c r="EB36" s="68"/>
      <c r="EC36" s="68"/>
      <c r="ED36" s="68"/>
      <c r="EE36" s="68"/>
      <c r="EF36" s="68"/>
      <c r="EG36" s="68"/>
      <c r="EH36" s="68"/>
      <c r="EI36" s="68"/>
      <c r="EJ36" s="68"/>
      <c r="EK36" s="68"/>
      <c r="EL36" s="68"/>
      <c r="EM36" s="68"/>
      <c r="EN36" s="68"/>
      <c r="EO36" s="68"/>
      <c r="EP36" s="68"/>
    </row>
    <row r="37" spans="1:146" s="78" customFormat="1" ht="11.25">
      <c r="A37" s="87" t="str">
        <f t="shared" si="0"/>
        <v>Miscellaneous Riders</v>
      </c>
      <c r="B37" s="83"/>
      <c r="D37" s="116"/>
      <c r="E37" s="231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90"/>
      <c r="Q37" s="71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U37" s="68"/>
      <c r="BV37" s="68"/>
      <c r="BW37" s="68"/>
      <c r="BX37" s="68"/>
      <c r="BY37" s="68"/>
      <c r="BZ37" s="68"/>
      <c r="CA37" s="68"/>
      <c r="CB37" s="68"/>
      <c r="CC37" s="68"/>
      <c r="CD37" s="68"/>
      <c r="CE37" s="68"/>
      <c r="CF37" s="68"/>
      <c r="CG37" s="68"/>
      <c r="CH37" s="68"/>
      <c r="CI37" s="68"/>
      <c r="CJ37" s="68"/>
      <c r="CK37" s="68"/>
      <c r="CL37" s="68"/>
      <c r="CM37" s="68"/>
      <c r="CN37" s="68"/>
      <c r="CO37" s="68"/>
      <c r="CP37" s="68"/>
      <c r="CQ37" s="68"/>
      <c r="CR37" s="68"/>
      <c r="CS37" s="68"/>
      <c r="CT37" s="68"/>
      <c r="CU37" s="68"/>
      <c r="CV37" s="68"/>
      <c r="CW37" s="68"/>
      <c r="CX37" s="68"/>
      <c r="CY37" s="68"/>
      <c r="CZ37" s="68"/>
      <c r="DA37" s="68"/>
      <c r="DB37" s="68"/>
      <c r="DC37" s="68"/>
      <c r="DD37" s="68"/>
      <c r="DE37" s="68"/>
      <c r="DF37" s="68"/>
      <c r="DG37" s="68"/>
      <c r="DH37" s="68"/>
      <c r="DI37" s="68"/>
      <c r="DJ37" s="68"/>
      <c r="DK37" s="68"/>
      <c r="DL37" s="68"/>
      <c r="DM37" s="68"/>
      <c r="DN37" s="68"/>
      <c r="DO37" s="68"/>
      <c r="DP37" s="68"/>
      <c r="DQ37" s="68"/>
      <c r="DR37" s="68"/>
      <c r="DS37" s="68"/>
      <c r="DT37" s="68"/>
      <c r="DU37" s="68"/>
      <c r="DV37" s="68"/>
      <c r="DW37" s="68"/>
      <c r="DX37" s="68"/>
      <c r="DY37" s="68"/>
      <c r="DZ37" s="68"/>
      <c r="EA37" s="68"/>
      <c r="EB37" s="68"/>
      <c r="EC37" s="68"/>
      <c r="ED37" s="68"/>
      <c r="EE37" s="68"/>
      <c r="EF37" s="68"/>
      <c r="EG37" s="68"/>
      <c r="EH37" s="68"/>
      <c r="EI37" s="68"/>
      <c r="EJ37" s="68"/>
      <c r="EK37" s="68"/>
      <c r="EL37" s="68"/>
      <c r="EM37" s="68"/>
      <c r="EN37" s="68"/>
      <c r="EO37" s="68"/>
      <c r="EP37" s="68"/>
    </row>
    <row r="38" spans="1:146" s="78" customFormat="1" ht="12" thickBot="1">
      <c r="A38" s="87" t="str">
        <f t="shared" si="0"/>
        <v xml:space="preserve">Miscellaneous RidersTOTAL </v>
      </c>
      <c r="B38" s="83">
        <v>15</v>
      </c>
      <c r="C38" s="147" t="s">
        <v>95</v>
      </c>
      <c r="D38" s="179"/>
      <c r="E38" s="117">
        <v>42.459999999999994</v>
      </c>
      <c r="F38" s="117">
        <v>15.890000000000002</v>
      </c>
      <c r="G38" s="117">
        <v>4.8899999999999997</v>
      </c>
      <c r="H38" s="117">
        <v>-4.6100000000000003</v>
      </c>
      <c r="I38" s="117">
        <v>0.94</v>
      </c>
      <c r="J38" s="117">
        <v>0</v>
      </c>
      <c r="K38" s="117">
        <v>0</v>
      </c>
      <c r="L38" s="117">
        <v>0</v>
      </c>
      <c r="M38" s="117">
        <v>0</v>
      </c>
      <c r="N38" s="117">
        <v>0.05</v>
      </c>
      <c r="O38" s="117">
        <v>0</v>
      </c>
      <c r="P38" s="117">
        <v>0</v>
      </c>
      <c r="Q38" s="117">
        <v>59.61999999999999</v>
      </c>
      <c r="R38" s="12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68"/>
      <c r="BN38" s="68"/>
      <c r="BO38" s="68"/>
      <c r="BP38" s="68"/>
      <c r="BQ38" s="68"/>
      <c r="BR38" s="68"/>
      <c r="BS38" s="68"/>
      <c r="BT38" s="68"/>
      <c r="BU38" s="68"/>
      <c r="BV38" s="68"/>
      <c r="BW38" s="68"/>
      <c r="BX38" s="68"/>
      <c r="BY38" s="68"/>
      <c r="BZ38" s="68"/>
      <c r="CA38" s="68"/>
      <c r="CB38" s="68"/>
      <c r="CC38" s="68"/>
      <c r="CD38" s="68"/>
      <c r="CE38" s="68"/>
      <c r="CF38" s="68"/>
      <c r="CG38" s="68"/>
      <c r="CH38" s="68"/>
      <c r="CI38" s="68"/>
      <c r="CJ38" s="68"/>
      <c r="CK38" s="68"/>
      <c r="CL38" s="68"/>
      <c r="CM38" s="68"/>
      <c r="CN38" s="68"/>
      <c r="CO38" s="68"/>
      <c r="CP38" s="68"/>
      <c r="CQ38" s="68"/>
      <c r="CR38" s="68"/>
      <c r="CS38" s="68"/>
      <c r="CT38" s="68"/>
      <c r="CU38" s="68"/>
      <c r="CV38" s="68"/>
      <c r="CW38" s="68"/>
      <c r="CX38" s="68"/>
      <c r="CY38" s="68"/>
      <c r="CZ38" s="68"/>
      <c r="DA38" s="68"/>
      <c r="DB38" s="68"/>
      <c r="DC38" s="68"/>
      <c r="DD38" s="68"/>
      <c r="DE38" s="68"/>
      <c r="DF38" s="68"/>
      <c r="DG38" s="68"/>
      <c r="DH38" s="68"/>
      <c r="DI38" s="68"/>
      <c r="DJ38" s="68"/>
      <c r="DK38" s="68"/>
      <c r="DL38" s="68"/>
      <c r="DM38" s="68"/>
      <c r="DN38" s="68"/>
      <c r="DO38" s="68"/>
      <c r="DP38" s="68"/>
      <c r="DQ38" s="68"/>
      <c r="DR38" s="68"/>
      <c r="DS38" s="68"/>
      <c r="DT38" s="68"/>
      <c r="DU38" s="68"/>
      <c r="DV38" s="68"/>
      <c r="DW38" s="68"/>
      <c r="DX38" s="68"/>
      <c r="DY38" s="68"/>
      <c r="DZ38" s="68"/>
      <c r="EA38" s="68"/>
      <c r="EB38" s="68"/>
      <c r="EC38" s="68"/>
      <c r="ED38" s="68"/>
      <c r="EE38" s="68"/>
      <c r="EF38" s="68"/>
      <c r="EG38" s="68"/>
      <c r="EH38" s="68"/>
      <c r="EI38" s="68"/>
      <c r="EJ38" s="68"/>
      <c r="EK38" s="68"/>
      <c r="EL38" s="68"/>
      <c r="EM38" s="68"/>
      <c r="EN38" s="68"/>
      <c r="EO38" s="68"/>
      <c r="EP38" s="68"/>
    </row>
    <row r="39" spans="1:146" s="78" customFormat="1" ht="12.75" customHeight="1" thickTop="1">
      <c r="B39" s="83"/>
      <c r="C39" s="92"/>
      <c r="D39" s="179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76"/>
      <c r="R39" s="12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8"/>
      <c r="DA39" s="68"/>
      <c r="DB39" s="68"/>
      <c r="DC39" s="68"/>
      <c r="DD39" s="68"/>
      <c r="DE39" s="68"/>
      <c r="DF39" s="68"/>
      <c r="DG39" s="68"/>
      <c r="DH39" s="68"/>
      <c r="DI39" s="68"/>
      <c r="DJ39" s="68"/>
      <c r="DK39" s="68"/>
      <c r="DL39" s="68"/>
      <c r="DM39" s="68"/>
      <c r="DN39" s="68"/>
      <c r="DO39" s="68"/>
      <c r="DP39" s="68"/>
      <c r="DQ39" s="68"/>
      <c r="DR39" s="68"/>
      <c r="DS39" s="68"/>
      <c r="DT39" s="68"/>
      <c r="DU39" s="68"/>
      <c r="DV39" s="68"/>
      <c r="DW39" s="68"/>
      <c r="DX39" s="68"/>
      <c r="DY39" s="68"/>
      <c r="DZ39" s="68"/>
      <c r="EA39" s="68"/>
      <c r="EB39" s="68"/>
      <c r="EC39" s="68"/>
      <c r="ED39" s="68"/>
      <c r="EE39" s="68"/>
      <c r="EF39" s="68"/>
      <c r="EG39" s="68"/>
      <c r="EH39" s="68"/>
      <c r="EI39" s="68"/>
      <c r="EJ39" s="68"/>
      <c r="EK39" s="68"/>
      <c r="EL39" s="68"/>
      <c r="EM39" s="68"/>
      <c r="EN39" s="68"/>
      <c r="EO39" s="68"/>
      <c r="EP39" s="68"/>
    </row>
    <row r="40" spans="1:146" s="87" customFormat="1" ht="11.25">
      <c r="A40" s="267" t="s">
        <v>304</v>
      </c>
      <c r="C40" s="345" t="s">
        <v>484</v>
      </c>
      <c r="D40" s="99"/>
      <c r="E40" s="228"/>
      <c r="F40" s="229"/>
      <c r="G40" s="229"/>
      <c r="H40" s="230"/>
      <c r="I40" s="231"/>
      <c r="J40" s="231"/>
      <c r="K40" s="231"/>
      <c r="L40" s="231"/>
      <c r="M40" s="231"/>
      <c r="N40" s="231"/>
      <c r="O40" s="231"/>
      <c r="P40" s="90"/>
      <c r="Q40" s="10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89"/>
      <c r="BK40" s="89"/>
      <c r="BL40" s="89"/>
      <c r="BM40" s="89"/>
      <c r="BN40" s="89"/>
      <c r="BO40" s="89"/>
      <c r="BP40" s="89"/>
      <c r="BQ40" s="89"/>
      <c r="BR40" s="89"/>
      <c r="BS40" s="89"/>
      <c r="BT40" s="89"/>
      <c r="BU40" s="89"/>
      <c r="BV40" s="89"/>
      <c r="BW40" s="89"/>
      <c r="BX40" s="89"/>
      <c r="BY40" s="89"/>
      <c r="BZ40" s="89"/>
      <c r="CA40" s="89"/>
      <c r="CB40" s="89"/>
      <c r="CC40" s="89"/>
      <c r="CD40" s="89"/>
      <c r="CE40" s="89"/>
      <c r="CF40" s="89"/>
      <c r="CG40" s="89"/>
      <c r="CH40" s="89"/>
      <c r="CI40" s="89"/>
      <c r="CJ40" s="89"/>
      <c r="CK40" s="89"/>
      <c r="CL40" s="89"/>
      <c r="CM40" s="89"/>
      <c r="CN40" s="89"/>
      <c r="CO40" s="89"/>
      <c r="CP40" s="89"/>
      <c r="CQ40" s="89"/>
      <c r="CR40" s="89"/>
      <c r="CS40" s="89"/>
      <c r="CT40" s="89"/>
      <c r="CU40" s="89"/>
      <c r="CV40" s="89"/>
      <c r="CW40" s="89"/>
      <c r="CX40" s="89"/>
      <c r="CY40" s="89"/>
      <c r="CZ40" s="89"/>
      <c r="DA40" s="89"/>
      <c r="DB40" s="89"/>
      <c r="DC40" s="89"/>
      <c r="DD40" s="89"/>
      <c r="DE40" s="89"/>
      <c r="DF40" s="89"/>
      <c r="DG40" s="89"/>
      <c r="DH40" s="89"/>
      <c r="DI40" s="89"/>
      <c r="DJ40" s="89"/>
      <c r="DK40" s="89"/>
      <c r="DL40" s="89"/>
      <c r="DM40" s="89"/>
      <c r="DN40" s="89"/>
      <c r="DO40" s="89"/>
      <c r="DP40" s="89"/>
      <c r="DQ40" s="89"/>
      <c r="DR40" s="89"/>
      <c r="DS40" s="89"/>
      <c r="DT40" s="89"/>
      <c r="DU40" s="89"/>
      <c r="DV40" s="89"/>
      <c r="DW40" s="89"/>
      <c r="DX40" s="89"/>
      <c r="DY40" s="89"/>
      <c r="DZ40" s="89"/>
      <c r="EA40" s="89"/>
      <c r="EB40" s="89"/>
      <c r="EC40" s="89"/>
      <c r="ED40" s="89"/>
      <c r="EE40" s="89"/>
      <c r="EF40" s="89"/>
      <c r="EG40" s="89"/>
      <c r="EH40" s="89"/>
      <c r="EI40" s="89"/>
      <c r="EJ40" s="89"/>
      <c r="EK40" s="89"/>
      <c r="EL40" s="89"/>
      <c r="EM40" s="89"/>
      <c r="EN40" s="89"/>
      <c r="EO40" s="89"/>
      <c r="EP40" s="89"/>
    </row>
    <row r="41" spans="1:146" s="87" customFormat="1" ht="11.25">
      <c r="B41" s="211" t="s">
        <v>8</v>
      </c>
      <c r="C41" s="213" t="s">
        <v>0</v>
      </c>
      <c r="D41" s="213" t="s">
        <v>7</v>
      </c>
      <c r="E41" s="232" t="s">
        <v>151</v>
      </c>
      <c r="F41" s="232" t="s">
        <v>152</v>
      </c>
      <c r="G41" s="232" t="s">
        <v>153</v>
      </c>
      <c r="H41" s="232" t="s">
        <v>154</v>
      </c>
      <c r="I41" s="232" t="s">
        <v>155</v>
      </c>
      <c r="J41" s="232" t="s">
        <v>156</v>
      </c>
      <c r="K41" s="232" t="s">
        <v>157</v>
      </c>
      <c r="L41" s="232" t="s">
        <v>158</v>
      </c>
      <c r="M41" s="232" t="s">
        <v>159</v>
      </c>
      <c r="N41" s="232" t="s">
        <v>160</v>
      </c>
      <c r="O41" s="232" t="s">
        <v>161</v>
      </c>
      <c r="P41" s="232" t="s">
        <v>162</v>
      </c>
      <c r="Q41" s="110" t="s">
        <v>2</v>
      </c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89"/>
      <c r="BM41" s="89"/>
      <c r="BN41" s="89"/>
      <c r="BO41" s="89"/>
      <c r="BP41" s="89"/>
      <c r="BQ41" s="89"/>
      <c r="BR41" s="89"/>
      <c r="BS41" s="89"/>
      <c r="BT41" s="89"/>
      <c r="BU41" s="89"/>
      <c r="BV41" s="89"/>
      <c r="BW41" s="89"/>
      <c r="BX41" s="89"/>
      <c r="BY41" s="89"/>
      <c r="BZ41" s="89"/>
      <c r="CA41" s="89"/>
      <c r="CB41" s="89"/>
      <c r="CC41" s="89"/>
      <c r="CD41" s="89"/>
      <c r="CE41" s="89"/>
      <c r="CF41" s="89"/>
      <c r="CG41" s="89"/>
      <c r="CH41" s="89"/>
      <c r="CI41" s="89"/>
      <c r="CJ41" s="89"/>
      <c r="CK41" s="89"/>
      <c r="CL41" s="89"/>
      <c r="CM41" s="89"/>
      <c r="CN41" s="89"/>
      <c r="CO41" s="89"/>
      <c r="CP41" s="89"/>
      <c r="CQ41" s="89"/>
      <c r="CR41" s="89"/>
      <c r="CS41" s="89"/>
      <c r="CT41" s="89"/>
      <c r="CU41" s="89"/>
      <c r="CV41" s="89"/>
      <c r="CW41" s="89"/>
      <c r="CX41" s="89"/>
      <c r="CY41" s="89"/>
      <c r="CZ41" s="89"/>
      <c r="DA41" s="89"/>
      <c r="DB41" s="89"/>
      <c r="DC41" s="89"/>
      <c r="DD41" s="89"/>
      <c r="DE41" s="89"/>
      <c r="DF41" s="89"/>
      <c r="DG41" s="89"/>
      <c r="DH41" s="89"/>
      <c r="DI41" s="89"/>
      <c r="DJ41" s="89"/>
      <c r="DK41" s="89"/>
      <c r="DL41" s="89"/>
      <c r="DM41" s="89"/>
      <c r="DN41" s="89"/>
      <c r="DO41" s="89"/>
      <c r="DP41" s="89"/>
      <c r="DQ41" s="89"/>
      <c r="DR41" s="89"/>
      <c r="DS41" s="89"/>
      <c r="DT41" s="89"/>
      <c r="DU41" s="89"/>
      <c r="DV41" s="89"/>
      <c r="DW41" s="89"/>
      <c r="DX41" s="89"/>
      <c r="DY41" s="89"/>
      <c r="DZ41" s="89"/>
      <c r="EA41" s="89"/>
      <c r="EB41" s="89"/>
      <c r="EC41" s="89"/>
      <c r="ED41" s="89"/>
      <c r="EE41" s="89"/>
      <c r="EF41" s="89"/>
      <c r="EG41" s="89"/>
      <c r="EH41" s="89"/>
      <c r="EI41" s="89"/>
      <c r="EJ41" s="89"/>
      <c r="EK41" s="89"/>
      <c r="EL41" s="89"/>
      <c r="EM41" s="89"/>
      <c r="EN41" s="89"/>
      <c r="EO41" s="89"/>
      <c r="EP41" s="89"/>
    </row>
    <row r="42" spans="1:146" s="87" customFormat="1" ht="11.25">
      <c r="C42" s="213"/>
      <c r="D42" s="213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27"/>
      <c r="Q42" s="110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89"/>
      <c r="BM42" s="89"/>
      <c r="BN42" s="89"/>
      <c r="BO42" s="89"/>
      <c r="BP42" s="89"/>
      <c r="BQ42" s="89"/>
      <c r="BR42" s="89"/>
      <c r="BS42" s="89"/>
      <c r="BT42" s="89"/>
      <c r="BU42" s="89"/>
      <c r="BV42" s="89"/>
      <c r="BW42" s="89"/>
      <c r="BX42" s="89"/>
      <c r="BY42" s="89"/>
      <c r="BZ42" s="89"/>
      <c r="CA42" s="89"/>
      <c r="CB42" s="89"/>
      <c r="CC42" s="89"/>
      <c r="CD42" s="89"/>
      <c r="CE42" s="89"/>
      <c r="CF42" s="89"/>
      <c r="CG42" s="89"/>
      <c r="CH42" s="89"/>
      <c r="CI42" s="89"/>
      <c r="CJ42" s="89"/>
      <c r="CK42" s="89"/>
      <c r="CL42" s="89"/>
      <c r="CM42" s="89"/>
      <c r="CN42" s="89"/>
      <c r="CO42" s="89"/>
      <c r="CP42" s="89"/>
      <c r="CQ42" s="89"/>
      <c r="CR42" s="89"/>
      <c r="CS42" s="89"/>
      <c r="CT42" s="89"/>
      <c r="CU42" s="89"/>
      <c r="CV42" s="89"/>
      <c r="CW42" s="89"/>
      <c r="CX42" s="89"/>
      <c r="CY42" s="89"/>
      <c r="CZ42" s="89"/>
      <c r="DA42" s="89"/>
      <c r="DB42" s="89"/>
      <c r="DC42" s="89"/>
      <c r="DD42" s="89"/>
      <c r="DE42" s="89"/>
      <c r="DF42" s="89"/>
      <c r="DG42" s="89"/>
      <c r="DH42" s="89"/>
      <c r="DI42" s="89"/>
      <c r="DJ42" s="89"/>
      <c r="DK42" s="89"/>
      <c r="DL42" s="89"/>
      <c r="DM42" s="89"/>
      <c r="DN42" s="89"/>
      <c r="DO42" s="89"/>
      <c r="DP42" s="89"/>
      <c r="DQ42" s="89"/>
      <c r="DR42" s="89"/>
      <c r="DS42" s="89"/>
      <c r="DT42" s="89"/>
      <c r="DU42" s="89"/>
      <c r="DV42" s="89"/>
      <c r="DW42" s="89"/>
      <c r="DX42" s="89"/>
      <c r="DY42" s="89"/>
      <c r="DZ42" s="89"/>
      <c r="EA42" s="89"/>
      <c r="EB42" s="89"/>
      <c r="EC42" s="89"/>
      <c r="ED42" s="89"/>
      <c r="EE42" s="89"/>
      <c r="EF42" s="89"/>
      <c r="EG42" s="89"/>
      <c r="EH42" s="89"/>
      <c r="EI42" s="89"/>
      <c r="EJ42" s="89"/>
      <c r="EK42" s="89"/>
      <c r="EL42" s="89"/>
      <c r="EM42" s="89"/>
      <c r="EN42" s="89"/>
      <c r="EO42" s="89"/>
      <c r="EP42" s="89"/>
    </row>
    <row r="43" spans="1:146" s="78" customFormat="1" ht="11.25">
      <c r="A43" s="87" t="str">
        <f>CONCATENATE($A$40,C43)</f>
        <v>Miscellaneous RidersRESIDENTIAL SERVICE</v>
      </c>
      <c r="B43" s="83" t="s">
        <v>9</v>
      </c>
      <c r="C43" s="78" t="s">
        <v>17</v>
      </c>
      <c r="D43" s="85" t="s">
        <v>4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f>SUM(E43:P43)</f>
        <v>0</v>
      </c>
      <c r="R43" s="125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8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</row>
    <row r="44" spans="1:146" s="78" customFormat="1" ht="11.25">
      <c r="A44" s="87" t="str">
        <f t="shared" ref="A44:A67" si="5">CONCATENATE($A$40,C44)</f>
        <v>Miscellaneous Riders</v>
      </c>
      <c r="D44" s="85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8"/>
      <c r="BS44" s="68"/>
      <c r="BT44" s="68"/>
      <c r="BU44" s="68"/>
      <c r="BV44" s="68"/>
      <c r="BW44" s="68"/>
      <c r="BX44" s="68"/>
      <c r="BY44" s="68"/>
      <c r="BZ44" s="68"/>
      <c r="CA44" s="68"/>
      <c r="CB44" s="68"/>
      <c r="CC44" s="68"/>
      <c r="CD44" s="68"/>
      <c r="CE44" s="68"/>
      <c r="CF44" s="68"/>
      <c r="CG44" s="68"/>
      <c r="CH44" s="68"/>
      <c r="CI44" s="68"/>
      <c r="CJ44" s="68"/>
      <c r="CK44" s="68"/>
      <c r="CL44" s="68"/>
      <c r="CM44" s="68"/>
      <c r="CN44" s="68"/>
      <c r="CO44" s="68"/>
      <c r="CP44" s="68"/>
      <c r="CQ44" s="68"/>
      <c r="CR44" s="68"/>
      <c r="CS44" s="68"/>
      <c r="CT44" s="68"/>
      <c r="CU44" s="68"/>
      <c r="CV44" s="68"/>
      <c r="CW44" s="68"/>
      <c r="CX44" s="68"/>
      <c r="CY44" s="68"/>
      <c r="CZ44" s="68"/>
      <c r="DA44" s="68"/>
      <c r="DB44" s="68"/>
      <c r="DC44" s="68"/>
      <c r="DD44" s="68"/>
      <c r="DE44" s="68"/>
      <c r="DF44" s="68"/>
      <c r="DG44" s="68"/>
      <c r="DH44" s="68"/>
      <c r="DI44" s="68"/>
      <c r="DJ44" s="68"/>
      <c r="DK44" s="68"/>
      <c r="DL44" s="68"/>
      <c r="DM44" s="68"/>
      <c r="DN44" s="68"/>
      <c r="DO44" s="68"/>
      <c r="DP44" s="68"/>
      <c r="DQ44" s="68"/>
      <c r="DR44" s="68"/>
      <c r="DS44" s="68"/>
      <c r="DT44" s="68"/>
      <c r="DU44" s="68"/>
      <c r="DV44" s="68"/>
      <c r="DW44" s="68"/>
      <c r="DX44" s="68"/>
      <c r="DY44" s="68"/>
      <c r="DZ44" s="68"/>
      <c r="EA44" s="68"/>
      <c r="EB44" s="68"/>
      <c r="EC44" s="68"/>
      <c r="ED44" s="68"/>
      <c r="EE44" s="68"/>
      <c r="EF44" s="68"/>
      <c r="EG44" s="68"/>
      <c r="EH44" s="68"/>
      <c r="EI44" s="68"/>
      <c r="EJ44" s="68"/>
      <c r="EK44" s="68"/>
      <c r="EL44" s="68"/>
      <c r="EM44" s="68"/>
      <c r="EN44" s="68"/>
      <c r="EO44" s="68"/>
      <c r="EP44" s="68"/>
    </row>
    <row r="45" spans="1:146" s="78" customFormat="1" ht="11.25">
      <c r="A45" s="87" t="str">
        <f t="shared" si="5"/>
        <v>Miscellaneous RidersSECONDARY &lt; 10 kW</v>
      </c>
      <c r="B45" s="83">
        <v>2</v>
      </c>
      <c r="C45" s="78" t="s">
        <v>150</v>
      </c>
      <c r="D45" s="85" t="s">
        <v>4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f>SUM(E45:P45)</f>
        <v>0</v>
      </c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8"/>
      <c r="CF45" s="68"/>
      <c r="CG45" s="68"/>
      <c r="CH45" s="68"/>
      <c r="CI45" s="68"/>
      <c r="CJ45" s="68"/>
      <c r="CK45" s="68"/>
      <c r="CL45" s="68"/>
      <c r="CM45" s="68"/>
      <c r="CN45" s="68"/>
      <c r="CO45" s="68"/>
      <c r="CP45" s="68"/>
      <c r="CQ45" s="68"/>
      <c r="CR45" s="68"/>
      <c r="CS45" s="68"/>
      <c r="CT45" s="68"/>
      <c r="CU45" s="68"/>
      <c r="CV45" s="68"/>
      <c r="CW45" s="68"/>
      <c r="CX45" s="68"/>
      <c r="CY45" s="68"/>
      <c r="CZ45" s="68"/>
      <c r="DA45" s="68"/>
      <c r="DB45" s="68"/>
      <c r="DC45" s="68"/>
      <c r="DD45" s="68"/>
      <c r="DE45" s="68"/>
      <c r="DF45" s="68"/>
      <c r="DG45" s="68"/>
      <c r="DH45" s="68"/>
      <c r="DI45" s="68"/>
      <c r="DJ45" s="68"/>
      <c r="DK45" s="68"/>
      <c r="DL45" s="68"/>
      <c r="DM45" s="68"/>
      <c r="DN45" s="68"/>
      <c r="DO45" s="68"/>
      <c r="DP45" s="68"/>
      <c r="DQ45" s="68"/>
      <c r="DR45" s="68"/>
      <c r="DS45" s="68"/>
      <c r="DT45" s="68"/>
      <c r="DU45" s="68"/>
      <c r="DV45" s="68"/>
      <c r="DW45" s="68"/>
      <c r="DX45" s="68"/>
      <c r="DY45" s="68"/>
      <c r="DZ45" s="68"/>
      <c r="EA45" s="68"/>
      <c r="EB45" s="68"/>
      <c r="EC45" s="68"/>
      <c r="ED45" s="68"/>
      <c r="EE45" s="68"/>
      <c r="EF45" s="68"/>
      <c r="EG45" s="68"/>
      <c r="EH45" s="68"/>
      <c r="EI45" s="68"/>
      <c r="EJ45" s="68"/>
      <c r="EK45" s="68"/>
      <c r="EL45" s="68"/>
      <c r="EM45" s="68"/>
      <c r="EN45" s="68"/>
      <c r="EO45" s="68"/>
      <c r="EP45" s="68"/>
    </row>
    <row r="46" spans="1:146" s="78" customFormat="1" ht="11.25">
      <c r="A46" s="87" t="str">
        <f t="shared" si="5"/>
        <v>Miscellaneous Riders</v>
      </c>
      <c r="B46" s="83"/>
      <c r="D46" s="85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  <c r="BW46" s="68"/>
      <c r="BX46" s="68"/>
      <c r="BY46" s="68"/>
      <c r="BZ46" s="68"/>
      <c r="CA46" s="68"/>
      <c r="CB46" s="68"/>
      <c r="CC46" s="68"/>
      <c r="CD46" s="68"/>
      <c r="CE46" s="68"/>
      <c r="CF46" s="68"/>
      <c r="CG46" s="68"/>
      <c r="CH46" s="68"/>
      <c r="CI46" s="68"/>
      <c r="CJ46" s="68"/>
      <c r="CK46" s="68"/>
      <c r="CL46" s="68"/>
      <c r="CM46" s="68"/>
      <c r="CN46" s="68"/>
      <c r="CO46" s="68"/>
      <c r="CP46" s="68"/>
      <c r="CQ46" s="68"/>
      <c r="CR46" s="68"/>
      <c r="CS46" s="68"/>
      <c r="CT46" s="68"/>
      <c r="CU46" s="68"/>
      <c r="CV46" s="68"/>
      <c r="CW46" s="68"/>
      <c r="CX46" s="68"/>
      <c r="CY46" s="68"/>
      <c r="CZ46" s="68"/>
      <c r="DA46" s="68"/>
      <c r="DB46" s="68"/>
      <c r="DC46" s="68"/>
      <c r="DD46" s="68"/>
      <c r="DE46" s="68"/>
      <c r="DF46" s="68"/>
      <c r="DG46" s="68"/>
      <c r="DH46" s="68"/>
      <c r="DI46" s="68"/>
      <c r="DJ46" s="68"/>
      <c r="DK46" s="68"/>
      <c r="DL46" s="68"/>
      <c r="DM46" s="68"/>
      <c r="DN46" s="68"/>
      <c r="DO46" s="68"/>
      <c r="DP46" s="68"/>
      <c r="DQ46" s="68"/>
      <c r="DR46" s="68"/>
      <c r="DS46" s="68"/>
      <c r="DT46" s="68"/>
      <c r="DU46" s="68"/>
      <c r="DV46" s="68"/>
      <c r="DW46" s="68"/>
      <c r="DX46" s="68"/>
      <c r="DY46" s="68"/>
      <c r="DZ46" s="68"/>
      <c r="EA46" s="68"/>
      <c r="EB46" s="68"/>
      <c r="EC46" s="68"/>
      <c r="ED46" s="68"/>
      <c r="EE46" s="68"/>
      <c r="EF46" s="68"/>
      <c r="EG46" s="68"/>
      <c r="EH46" s="68"/>
      <c r="EI46" s="68"/>
      <c r="EJ46" s="68"/>
      <c r="EK46" s="68"/>
      <c r="EL46" s="68"/>
      <c r="EM46" s="68"/>
      <c r="EN46" s="68"/>
      <c r="EO46" s="68"/>
      <c r="EP46" s="68"/>
    </row>
    <row r="47" spans="1:146" s="78" customFormat="1" ht="11.25">
      <c r="A47" s="87" t="str">
        <f t="shared" si="5"/>
        <v>Miscellaneous RidersSECONDARY &gt; 10 kW NCP</v>
      </c>
      <c r="B47" s="83">
        <v>3</v>
      </c>
      <c r="C47" s="87" t="s">
        <v>81</v>
      </c>
      <c r="D47" s="74" t="s">
        <v>4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  <c r="P47" s="90">
        <v>0</v>
      </c>
      <c r="Q47" s="90">
        <f>SUM(E47:P47)</f>
        <v>0</v>
      </c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  <c r="BW47" s="68"/>
      <c r="BX47" s="68"/>
      <c r="BY47" s="68"/>
      <c r="BZ47" s="68"/>
      <c r="CA47" s="68"/>
      <c r="CB47" s="68"/>
      <c r="CC47" s="68"/>
      <c r="CD47" s="68"/>
      <c r="CE47" s="68"/>
      <c r="CF47" s="68"/>
      <c r="CG47" s="68"/>
      <c r="CH47" s="68"/>
      <c r="CI47" s="68"/>
      <c r="CJ47" s="68"/>
      <c r="CK47" s="68"/>
      <c r="CL47" s="68"/>
      <c r="CM47" s="68"/>
      <c r="CN47" s="68"/>
      <c r="CO47" s="68"/>
      <c r="CP47" s="68"/>
      <c r="CQ47" s="68"/>
      <c r="CR47" s="68"/>
      <c r="CS47" s="68"/>
      <c r="CT47" s="68"/>
      <c r="CU47" s="68"/>
      <c r="CV47" s="68"/>
      <c r="CW47" s="68"/>
      <c r="CX47" s="68"/>
      <c r="CY47" s="68"/>
      <c r="CZ47" s="68"/>
      <c r="DA47" s="68"/>
      <c r="DB47" s="68"/>
      <c r="DC47" s="68"/>
      <c r="DD47" s="68"/>
      <c r="DE47" s="68"/>
      <c r="DF47" s="68"/>
      <c r="DG47" s="68"/>
      <c r="DH47" s="68"/>
      <c r="DI47" s="68"/>
      <c r="DJ47" s="68"/>
      <c r="DK47" s="68"/>
      <c r="DL47" s="68"/>
      <c r="DM47" s="68"/>
      <c r="DN47" s="68"/>
      <c r="DO47" s="68"/>
      <c r="DP47" s="68"/>
      <c r="DQ47" s="68"/>
      <c r="DR47" s="68"/>
      <c r="DS47" s="68"/>
      <c r="DT47" s="68"/>
      <c r="DU47" s="68"/>
      <c r="DV47" s="68"/>
      <c r="DW47" s="68"/>
      <c r="DX47" s="68"/>
      <c r="DY47" s="68"/>
      <c r="DZ47" s="68"/>
      <c r="EA47" s="68"/>
      <c r="EB47" s="68"/>
      <c r="EC47" s="68"/>
      <c r="ED47" s="68"/>
      <c r="EE47" s="68"/>
      <c r="EF47" s="68"/>
      <c r="EG47" s="68"/>
      <c r="EH47" s="68"/>
      <c r="EI47" s="68"/>
      <c r="EJ47" s="68"/>
      <c r="EK47" s="68"/>
      <c r="EL47" s="68"/>
      <c r="EM47" s="68"/>
      <c r="EN47" s="68"/>
      <c r="EO47" s="68"/>
      <c r="EP47" s="68"/>
    </row>
    <row r="48" spans="1:146" s="78" customFormat="1" ht="11.25">
      <c r="A48" s="87" t="str">
        <f t="shared" si="5"/>
        <v>Miscellaneous RidersSECONDARY &gt; 10 kW 4CP</v>
      </c>
      <c r="B48" s="83">
        <v>4</v>
      </c>
      <c r="C48" s="87" t="s">
        <v>85</v>
      </c>
      <c r="D48" s="74" t="s">
        <v>4</v>
      </c>
      <c r="E48" s="149">
        <v>0</v>
      </c>
      <c r="F48" s="149">
        <v>0</v>
      </c>
      <c r="G48" s="149">
        <v>0</v>
      </c>
      <c r="H48" s="149">
        <v>0</v>
      </c>
      <c r="I48" s="149">
        <v>0</v>
      </c>
      <c r="J48" s="149">
        <v>0</v>
      </c>
      <c r="K48" s="149">
        <v>0</v>
      </c>
      <c r="L48" s="149">
        <v>0</v>
      </c>
      <c r="M48" s="149">
        <v>0</v>
      </c>
      <c r="N48" s="149">
        <v>0</v>
      </c>
      <c r="O48" s="149">
        <v>0</v>
      </c>
      <c r="P48" s="149">
        <v>0</v>
      </c>
      <c r="Q48" s="149">
        <f>SUM(E48:P48)</f>
        <v>0</v>
      </c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  <c r="BW48" s="68"/>
      <c r="BX48" s="68"/>
      <c r="BY48" s="68"/>
      <c r="BZ48" s="68"/>
      <c r="CA48" s="68"/>
      <c r="CB48" s="68"/>
      <c r="CC48" s="68"/>
      <c r="CD48" s="68"/>
      <c r="CE48" s="68"/>
      <c r="CF48" s="68"/>
      <c r="CG48" s="68"/>
      <c r="CH48" s="68"/>
      <c r="CI48" s="68"/>
      <c r="CJ48" s="68"/>
      <c r="CK48" s="68"/>
      <c r="CL48" s="68"/>
      <c r="CM48" s="68"/>
      <c r="CN48" s="68"/>
      <c r="CO48" s="68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8"/>
      <c r="DA48" s="68"/>
      <c r="DB48" s="68"/>
      <c r="DC48" s="68"/>
      <c r="DD48" s="68"/>
      <c r="DE48" s="68"/>
      <c r="DF48" s="68"/>
      <c r="DG48" s="68"/>
      <c r="DH48" s="68"/>
      <c r="DI48" s="68"/>
      <c r="DJ48" s="68"/>
      <c r="DK48" s="68"/>
      <c r="DL48" s="68"/>
      <c r="DM48" s="68"/>
      <c r="DN48" s="68"/>
      <c r="DO48" s="68"/>
      <c r="DP48" s="68"/>
      <c r="DQ48" s="68"/>
      <c r="DR48" s="68"/>
      <c r="DS48" s="68"/>
      <c r="DT48" s="68"/>
      <c r="DU48" s="68"/>
      <c r="DV48" s="68"/>
      <c r="DW48" s="68"/>
      <c r="DX48" s="68"/>
      <c r="DY48" s="68"/>
      <c r="DZ48" s="68"/>
      <c r="EA48" s="68"/>
      <c r="EB48" s="68"/>
      <c r="EC48" s="68"/>
      <c r="ED48" s="68"/>
      <c r="EE48" s="68"/>
      <c r="EF48" s="68"/>
      <c r="EG48" s="68"/>
      <c r="EH48" s="68"/>
      <c r="EI48" s="68"/>
      <c r="EJ48" s="68"/>
      <c r="EK48" s="68"/>
      <c r="EL48" s="68"/>
      <c r="EM48" s="68"/>
      <c r="EN48" s="68"/>
      <c r="EO48" s="68"/>
      <c r="EP48" s="68"/>
    </row>
    <row r="49" spans="1:146" s="78" customFormat="1" ht="11.25">
      <c r="A49" s="87" t="str">
        <f t="shared" si="5"/>
        <v>Miscellaneous RidersTOTAL SECONDARY &gt; 10 kW</v>
      </c>
      <c r="B49" s="83">
        <v>5</v>
      </c>
      <c r="C49" s="96" t="s">
        <v>18</v>
      </c>
      <c r="D49" s="85"/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94">
        <v>0</v>
      </c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8"/>
      <c r="BU49" s="68"/>
      <c r="BV49" s="68"/>
      <c r="BW49" s="68"/>
      <c r="BX49" s="68"/>
      <c r="BY49" s="68"/>
      <c r="BZ49" s="68"/>
      <c r="CA49" s="68"/>
      <c r="CB49" s="68"/>
      <c r="CC49" s="68"/>
      <c r="CD49" s="68"/>
      <c r="CE49" s="68"/>
      <c r="CF49" s="68"/>
      <c r="CG49" s="68"/>
      <c r="CH49" s="68"/>
      <c r="CI49" s="68"/>
      <c r="CJ49" s="68"/>
      <c r="CK49" s="68"/>
      <c r="CL49" s="68"/>
      <c r="CM49" s="68"/>
      <c r="CN49" s="68"/>
      <c r="CO49" s="68"/>
      <c r="CP49" s="68"/>
      <c r="CQ49" s="68"/>
      <c r="CR49" s="68"/>
      <c r="CS49" s="68"/>
      <c r="CT49" s="68"/>
      <c r="CU49" s="68"/>
      <c r="CV49" s="68"/>
      <c r="CW49" s="68"/>
      <c r="CX49" s="68"/>
      <c r="CY49" s="68"/>
      <c r="CZ49" s="68"/>
      <c r="DA49" s="68"/>
      <c r="DB49" s="68"/>
      <c r="DC49" s="68"/>
      <c r="DD49" s="68"/>
      <c r="DE49" s="68"/>
      <c r="DF49" s="68"/>
      <c r="DG49" s="68"/>
      <c r="DH49" s="68"/>
      <c r="DI49" s="68"/>
      <c r="DJ49" s="68"/>
      <c r="DK49" s="68"/>
      <c r="DL49" s="68"/>
      <c r="DM49" s="68"/>
      <c r="DN49" s="68"/>
      <c r="DO49" s="68"/>
      <c r="DP49" s="68"/>
      <c r="DQ49" s="68"/>
      <c r="DR49" s="68"/>
      <c r="DS49" s="68"/>
      <c r="DT49" s="68"/>
      <c r="DU49" s="68"/>
      <c r="DV49" s="68"/>
      <c r="DW49" s="68"/>
      <c r="DX49" s="68"/>
      <c r="DY49" s="68"/>
      <c r="DZ49" s="68"/>
      <c r="EA49" s="68"/>
      <c r="EB49" s="68"/>
      <c r="EC49" s="68"/>
      <c r="ED49" s="68"/>
      <c r="EE49" s="68"/>
      <c r="EF49" s="68"/>
      <c r="EG49" s="68"/>
      <c r="EH49" s="68"/>
      <c r="EI49" s="68"/>
      <c r="EJ49" s="68"/>
      <c r="EK49" s="68"/>
      <c r="EL49" s="68"/>
      <c r="EM49" s="68"/>
      <c r="EN49" s="68"/>
      <c r="EO49" s="68"/>
      <c r="EP49" s="68"/>
    </row>
    <row r="50" spans="1:146" s="78" customFormat="1" ht="11.25">
      <c r="A50" s="87" t="str">
        <f t="shared" si="5"/>
        <v>Miscellaneous Riders</v>
      </c>
      <c r="C50" s="146"/>
      <c r="D50" s="85"/>
      <c r="E50" s="231"/>
      <c r="F50" s="231"/>
      <c r="G50" s="231"/>
      <c r="H50" s="231"/>
      <c r="I50" s="231"/>
      <c r="J50" s="231"/>
      <c r="K50" s="231"/>
      <c r="L50" s="231"/>
      <c r="M50" s="231"/>
      <c r="N50" s="231"/>
      <c r="O50" s="231"/>
      <c r="P50" s="90"/>
      <c r="Q50" s="71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68"/>
      <c r="BM50" s="68"/>
      <c r="BN50" s="68"/>
      <c r="BO50" s="68"/>
      <c r="BP50" s="68"/>
      <c r="BQ50" s="68"/>
      <c r="BR50" s="68"/>
      <c r="BS50" s="68"/>
      <c r="BT50" s="68"/>
      <c r="BU50" s="68"/>
      <c r="BV50" s="68"/>
      <c r="BW50" s="68"/>
      <c r="BX50" s="68"/>
      <c r="BY50" s="68"/>
      <c r="BZ50" s="68"/>
      <c r="CA50" s="68"/>
      <c r="CB50" s="68"/>
      <c r="CC50" s="68"/>
      <c r="CD50" s="68"/>
      <c r="CE50" s="68"/>
      <c r="CF50" s="68"/>
      <c r="CG50" s="68"/>
      <c r="CH50" s="68"/>
      <c r="CI50" s="68"/>
      <c r="CJ50" s="68"/>
      <c r="CK50" s="68"/>
      <c r="CL50" s="68"/>
      <c r="CM50" s="68"/>
      <c r="CN50" s="68"/>
      <c r="CO50" s="68"/>
      <c r="CP50" s="68"/>
      <c r="CQ50" s="68"/>
      <c r="CR50" s="68"/>
      <c r="CS50" s="68"/>
      <c r="CT50" s="68"/>
      <c r="CU50" s="68"/>
      <c r="CV50" s="68"/>
      <c r="CW50" s="68"/>
      <c r="CX50" s="68"/>
      <c r="CY50" s="68"/>
      <c r="CZ50" s="68"/>
      <c r="DA50" s="68"/>
      <c r="DB50" s="68"/>
      <c r="DC50" s="68"/>
      <c r="DD50" s="68"/>
      <c r="DE50" s="68"/>
      <c r="DF50" s="68"/>
      <c r="DG50" s="68"/>
      <c r="DH50" s="68"/>
      <c r="DI50" s="68"/>
      <c r="DJ50" s="68"/>
      <c r="DK50" s="68"/>
      <c r="DL50" s="68"/>
      <c r="DM50" s="68"/>
      <c r="DN50" s="68"/>
      <c r="DO50" s="68"/>
      <c r="DP50" s="68"/>
      <c r="DQ50" s="68"/>
      <c r="DR50" s="68"/>
      <c r="DS50" s="68"/>
      <c r="DT50" s="68"/>
      <c r="DU50" s="68"/>
      <c r="DV50" s="68"/>
      <c r="DW50" s="68"/>
      <c r="DX50" s="68"/>
      <c r="DY50" s="68"/>
      <c r="DZ50" s="68"/>
      <c r="EA50" s="68"/>
      <c r="EB50" s="68"/>
      <c r="EC50" s="68"/>
      <c r="ED50" s="68"/>
      <c r="EE50" s="68"/>
      <c r="EF50" s="68"/>
      <c r="EG50" s="68"/>
      <c r="EH50" s="68"/>
      <c r="EI50" s="68"/>
      <c r="EJ50" s="68"/>
      <c r="EK50" s="68"/>
      <c r="EL50" s="68"/>
      <c r="EM50" s="68"/>
      <c r="EN50" s="68"/>
      <c r="EO50" s="68"/>
      <c r="EP50" s="68"/>
    </row>
    <row r="51" spans="1:146" s="78" customFormat="1" ht="11.25">
      <c r="A51" s="87" t="str">
        <f t="shared" si="5"/>
        <v>Miscellaneous RidersPRIMARY NCP</v>
      </c>
      <c r="B51" s="83">
        <v>6</v>
      </c>
      <c r="C51" s="87" t="s">
        <v>82</v>
      </c>
      <c r="D51" s="74" t="s">
        <v>5</v>
      </c>
      <c r="E51" s="90">
        <v>0</v>
      </c>
      <c r="F51" s="90">
        <v>0</v>
      </c>
      <c r="G51" s="90">
        <v>0</v>
      </c>
      <c r="H51" s="90">
        <v>0</v>
      </c>
      <c r="I51" s="90">
        <v>0</v>
      </c>
      <c r="J51" s="90">
        <v>0</v>
      </c>
      <c r="K51" s="90">
        <v>0</v>
      </c>
      <c r="L51" s="90">
        <v>0</v>
      </c>
      <c r="M51" s="90">
        <v>0</v>
      </c>
      <c r="N51" s="90">
        <v>0</v>
      </c>
      <c r="O51" s="90">
        <v>0</v>
      </c>
      <c r="P51" s="90">
        <v>0</v>
      </c>
      <c r="Q51" s="90">
        <f>SUM(E51:P51)</f>
        <v>0</v>
      </c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  <c r="BM51" s="68"/>
      <c r="BN51" s="68"/>
      <c r="BO51" s="68"/>
      <c r="BP51" s="68"/>
      <c r="BQ51" s="68"/>
      <c r="BR51" s="68"/>
      <c r="BS51" s="68"/>
      <c r="BT51" s="68"/>
      <c r="BU51" s="68"/>
      <c r="BV51" s="68"/>
      <c r="BW51" s="68"/>
      <c r="BX51" s="68"/>
      <c r="BY51" s="68"/>
      <c r="BZ51" s="68"/>
      <c r="CA51" s="68"/>
      <c r="CB51" s="68"/>
      <c r="CC51" s="68"/>
      <c r="CD51" s="68"/>
      <c r="CE51" s="68"/>
      <c r="CF51" s="68"/>
      <c r="CG51" s="68"/>
      <c r="CH51" s="68"/>
      <c r="CI51" s="68"/>
      <c r="CJ51" s="68"/>
      <c r="CK51" s="68"/>
      <c r="CL51" s="68"/>
      <c r="CM51" s="68"/>
      <c r="CN51" s="68"/>
      <c r="CO51" s="68"/>
      <c r="CP51" s="68"/>
      <c r="CQ51" s="68"/>
      <c r="CR51" s="68"/>
      <c r="CS51" s="68"/>
      <c r="CT51" s="68"/>
      <c r="CU51" s="68"/>
      <c r="CV51" s="68"/>
      <c r="CW51" s="68"/>
      <c r="CX51" s="68"/>
      <c r="CY51" s="68"/>
      <c r="CZ51" s="68"/>
      <c r="DA51" s="68"/>
      <c r="DB51" s="68"/>
      <c r="DC51" s="68"/>
      <c r="DD51" s="68"/>
      <c r="DE51" s="68"/>
      <c r="DF51" s="68"/>
      <c r="DG51" s="68"/>
      <c r="DH51" s="68"/>
      <c r="DI51" s="68"/>
      <c r="DJ51" s="68"/>
      <c r="DK51" s="68"/>
      <c r="DL51" s="68"/>
      <c r="DM51" s="68"/>
      <c r="DN51" s="68"/>
      <c r="DO51" s="68"/>
      <c r="DP51" s="68"/>
      <c r="DQ51" s="68"/>
      <c r="DR51" s="68"/>
      <c r="DS51" s="68"/>
      <c r="DT51" s="68"/>
      <c r="DU51" s="68"/>
      <c r="DV51" s="68"/>
      <c r="DW51" s="68"/>
      <c r="DX51" s="68"/>
      <c r="DY51" s="68"/>
      <c r="DZ51" s="68"/>
      <c r="EA51" s="68"/>
      <c r="EB51" s="68"/>
      <c r="EC51" s="68"/>
      <c r="ED51" s="68"/>
      <c r="EE51" s="68"/>
      <c r="EF51" s="68"/>
      <c r="EG51" s="68"/>
      <c r="EH51" s="68"/>
      <c r="EI51" s="68"/>
      <c r="EJ51" s="68"/>
      <c r="EK51" s="68"/>
      <c r="EL51" s="68"/>
      <c r="EM51" s="68"/>
      <c r="EN51" s="68"/>
      <c r="EO51" s="68"/>
      <c r="EP51" s="68"/>
    </row>
    <row r="52" spans="1:146" s="78" customFormat="1" ht="11.25">
      <c r="A52" s="87" t="str">
        <f t="shared" si="5"/>
        <v>Miscellaneous RidersPRIMARY 4CP</v>
      </c>
      <c r="B52" s="83">
        <v>7</v>
      </c>
      <c r="C52" s="87" t="s">
        <v>83</v>
      </c>
      <c r="D52" s="74" t="s">
        <v>5</v>
      </c>
      <c r="E52" s="90">
        <v>0</v>
      </c>
      <c r="F52" s="90">
        <v>0</v>
      </c>
      <c r="G52" s="90">
        <v>0</v>
      </c>
      <c r="H52" s="90">
        <v>0</v>
      </c>
      <c r="I52" s="90">
        <v>0</v>
      </c>
      <c r="J52" s="90">
        <v>0</v>
      </c>
      <c r="K52" s="90">
        <v>0</v>
      </c>
      <c r="L52" s="90">
        <v>0</v>
      </c>
      <c r="M52" s="90">
        <v>0</v>
      </c>
      <c r="N52" s="90">
        <v>0</v>
      </c>
      <c r="O52" s="90">
        <v>0</v>
      </c>
      <c r="P52" s="90">
        <v>0</v>
      </c>
      <c r="Q52" s="90">
        <f>SUM(E52:P52)</f>
        <v>0</v>
      </c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  <c r="BM52" s="68"/>
      <c r="BN52" s="68"/>
      <c r="BO52" s="68"/>
      <c r="BP52" s="68"/>
      <c r="BQ52" s="68"/>
      <c r="BR52" s="68"/>
      <c r="BS52" s="68"/>
      <c r="BT52" s="68"/>
      <c r="BU52" s="68"/>
      <c r="BV52" s="68"/>
      <c r="BW52" s="68"/>
      <c r="BX52" s="68"/>
      <c r="BY52" s="68"/>
      <c r="BZ52" s="68"/>
      <c r="CA52" s="68"/>
      <c r="CB52" s="68"/>
      <c r="CC52" s="68"/>
      <c r="CD52" s="68"/>
      <c r="CE52" s="68"/>
      <c r="CF52" s="68"/>
      <c r="CG52" s="68"/>
      <c r="CH52" s="68"/>
      <c r="CI52" s="68"/>
      <c r="CJ52" s="68"/>
      <c r="CK52" s="68"/>
      <c r="CL52" s="68"/>
      <c r="CM52" s="68"/>
      <c r="CN52" s="68"/>
      <c r="CO52" s="68"/>
      <c r="CP52" s="68"/>
      <c r="CQ52" s="68"/>
      <c r="CR52" s="68"/>
      <c r="CS52" s="68"/>
      <c r="CT52" s="68"/>
      <c r="CU52" s="68"/>
      <c r="CV52" s="68"/>
      <c r="CW52" s="68"/>
      <c r="CX52" s="68"/>
      <c r="CY52" s="68"/>
      <c r="CZ52" s="68"/>
      <c r="DA52" s="68"/>
      <c r="DB52" s="68"/>
      <c r="DC52" s="68"/>
      <c r="DD52" s="68"/>
      <c r="DE52" s="68"/>
      <c r="DF52" s="68"/>
      <c r="DG52" s="68"/>
      <c r="DH52" s="68"/>
      <c r="DI52" s="68"/>
      <c r="DJ52" s="68"/>
      <c r="DK52" s="68"/>
      <c r="DL52" s="68"/>
      <c r="DM52" s="68"/>
      <c r="DN52" s="68"/>
      <c r="DO52" s="68"/>
      <c r="DP52" s="68"/>
      <c r="DQ52" s="68"/>
      <c r="DR52" s="68"/>
      <c r="DS52" s="68"/>
      <c r="DT52" s="68"/>
      <c r="DU52" s="68"/>
      <c r="DV52" s="68"/>
      <c r="DW52" s="68"/>
      <c r="DX52" s="68"/>
      <c r="DY52" s="68"/>
      <c r="DZ52" s="68"/>
      <c r="EA52" s="68"/>
      <c r="EB52" s="68"/>
      <c r="EC52" s="68"/>
      <c r="ED52" s="68"/>
      <c r="EE52" s="68"/>
      <c r="EF52" s="68"/>
      <c r="EG52" s="68"/>
      <c r="EH52" s="68"/>
      <c r="EI52" s="68"/>
      <c r="EJ52" s="68"/>
      <c r="EK52" s="68"/>
      <c r="EL52" s="68"/>
      <c r="EM52" s="68"/>
      <c r="EN52" s="68"/>
      <c r="EO52" s="68"/>
      <c r="EP52" s="68"/>
    </row>
    <row r="53" spans="1:146" s="78" customFormat="1" ht="11.25">
      <c r="A53" s="87" t="str">
        <f t="shared" si="5"/>
        <v>Miscellaneous RidersPRIMARY SUB NCP</v>
      </c>
      <c r="B53" s="83">
        <v>8</v>
      </c>
      <c r="C53" s="87" t="s">
        <v>148</v>
      </c>
      <c r="D53" s="74" t="s">
        <v>5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f>SUM(Q51:Q52)</f>
        <v>0</v>
      </c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  <c r="BW53" s="68"/>
      <c r="BX53" s="68"/>
      <c r="BY53" s="68"/>
      <c r="BZ53" s="68"/>
      <c r="CA53" s="68"/>
      <c r="CB53" s="68"/>
      <c r="CC53" s="68"/>
      <c r="CD53" s="68"/>
      <c r="CE53" s="68"/>
      <c r="CF53" s="68"/>
      <c r="CG53" s="68"/>
      <c r="CH53" s="68"/>
      <c r="CI53" s="68"/>
      <c r="CJ53" s="68"/>
      <c r="CK53" s="68"/>
      <c r="CL53" s="68"/>
      <c r="CM53" s="68"/>
      <c r="CN53" s="68"/>
      <c r="CO53" s="68"/>
      <c r="CP53" s="68"/>
      <c r="CQ53" s="68"/>
      <c r="CR53" s="68"/>
      <c r="CS53" s="68"/>
      <c r="CT53" s="68"/>
      <c r="CU53" s="68"/>
      <c r="CV53" s="68"/>
      <c r="CW53" s="68"/>
      <c r="CX53" s="68"/>
      <c r="CY53" s="68"/>
      <c r="CZ53" s="68"/>
      <c r="DA53" s="68"/>
      <c r="DB53" s="68"/>
      <c r="DC53" s="68"/>
      <c r="DD53" s="68"/>
      <c r="DE53" s="68"/>
      <c r="DF53" s="68"/>
      <c r="DG53" s="68"/>
      <c r="DH53" s="68"/>
      <c r="DI53" s="68"/>
      <c r="DJ53" s="68"/>
      <c r="DK53" s="68"/>
      <c r="DL53" s="68"/>
      <c r="DM53" s="68"/>
      <c r="DN53" s="68"/>
      <c r="DO53" s="68"/>
      <c r="DP53" s="68"/>
      <c r="DQ53" s="68"/>
      <c r="DR53" s="68"/>
      <c r="DS53" s="68"/>
      <c r="DT53" s="68"/>
      <c r="DU53" s="68"/>
      <c r="DV53" s="68"/>
      <c r="DW53" s="68"/>
      <c r="DX53" s="68"/>
      <c r="DY53" s="68"/>
      <c r="DZ53" s="68"/>
      <c r="EA53" s="68"/>
      <c r="EB53" s="68"/>
      <c r="EC53" s="68"/>
      <c r="ED53" s="68"/>
      <c r="EE53" s="68"/>
      <c r="EF53" s="68"/>
      <c r="EG53" s="68"/>
      <c r="EH53" s="68"/>
      <c r="EI53" s="68"/>
      <c r="EJ53" s="68"/>
      <c r="EK53" s="68"/>
      <c r="EL53" s="68"/>
      <c r="EM53" s="68"/>
      <c r="EN53" s="68"/>
      <c r="EO53" s="68"/>
      <c r="EP53" s="68"/>
    </row>
    <row r="54" spans="1:146" s="78" customFormat="1" ht="11.25">
      <c r="A54" s="87" t="str">
        <f t="shared" si="5"/>
        <v>Miscellaneous RidersPRIMARY SUB 4CP</v>
      </c>
      <c r="B54" s="83">
        <v>9</v>
      </c>
      <c r="C54" s="87" t="s">
        <v>149</v>
      </c>
      <c r="D54" s="74" t="s">
        <v>5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f>SUM(E54:P54)</f>
        <v>0</v>
      </c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8"/>
      <c r="BK54" s="68"/>
      <c r="BL54" s="68"/>
      <c r="BM54" s="68"/>
      <c r="BN54" s="68"/>
      <c r="BO54" s="68"/>
      <c r="BP54" s="68"/>
      <c r="BQ54" s="68"/>
      <c r="BR54" s="68"/>
      <c r="BS54" s="68"/>
      <c r="BT54" s="68"/>
      <c r="BU54" s="68"/>
      <c r="BV54" s="68"/>
      <c r="BW54" s="68"/>
      <c r="BX54" s="68"/>
      <c r="BY54" s="68"/>
      <c r="BZ54" s="68"/>
      <c r="CA54" s="68"/>
      <c r="CB54" s="68"/>
      <c r="CC54" s="68"/>
      <c r="CD54" s="68"/>
      <c r="CE54" s="68"/>
      <c r="CF54" s="68"/>
      <c r="CG54" s="68"/>
      <c r="CH54" s="68"/>
      <c r="CI54" s="68"/>
      <c r="CJ54" s="68"/>
      <c r="CK54" s="68"/>
      <c r="CL54" s="68"/>
      <c r="CM54" s="68"/>
      <c r="CN54" s="68"/>
      <c r="CO54" s="68"/>
      <c r="CP54" s="68"/>
      <c r="CQ54" s="68"/>
      <c r="CR54" s="68"/>
      <c r="CS54" s="68"/>
      <c r="CT54" s="68"/>
      <c r="CU54" s="68"/>
      <c r="CV54" s="68"/>
      <c r="CW54" s="68"/>
      <c r="CX54" s="68"/>
      <c r="CY54" s="68"/>
      <c r="CZ54" s="68"/>
      <c r="DA54" s="68"/>
      <c r="DB54" s="68"/>
      <c r="DC54" s="68"/>
      <c r="DD54" s="68"/>
      <c r="DE54" s="68"/>
      <c r="DF54" s="68"/>
      <c r="DG54" s="68"/>
      <c r="DH54" s="68"/>
      <c r="DI54" s="68"/>
      <c r="DJ54" s="68"/>
      <c r="DK54" s="68"/>
      <c r="DL54" s="68"/>
      <c r="DM54" s="68"/>
      <c r="DN54" s="68"/>
      <c r="DO54" s="68"/>
      <c r="DP54" s="68"/>
      <c r="DQ54" s="68"/>
      <c r="DR54" s="68"/>
      <c r="DS54" s="68"/>
      <c r="DT54" s="68"/>
      <c r="DU54" s="68"/>
      <c r="DV54" s="68"/>
      <c r="DW54" s="68"/>
      <c r="DX54" s="68"/>
      <c r="DY54" s="68"/>
      <c r="DZ54" s="68"/>
      <c r="EA54" s="68"/>
      <c r="EB54" s="68"/>
      <c r="EC54" s="68"/>
      <c r="ED54" s="68"/>
      <c r="EE54" s="68"/>
      <c r="EF54" s="68"/>
      <c r="EG54" s="68"/>
      <c r="EH54" s="68"/>
      <c r="EI54" s="68"/>
      <c r="EJ54" s="68"/>
      <c r="EK54" s="68"/>
      <c r="EL54" s="68"/>
      <c r="EM54" s="68"/>
      <c r="EN54" s="68"/>
      <c r="EO54" s="68"/>
      <c r="EP54" s="68"/>
    </row>
    <row r="55" spans="1:146" s="78" customFormat="1" ht="11.25">
      <c r="A55" s="87" t="str">
        <f t="shared" si="5"/>
        <v>Miscellaneous RidersTOTAL PRIMARY</v>
      </c>
      <c r="B55" s="83">
        <v>10</v>
      </c>
      <c r="C55" s="78" t="s">
        <v>19</v>
      </c>
      <c r="D55" s="74"/>
      <c r="E55" s="233">
        <f>SUM(E51:E54)</f>
        <v>0</v>
      </c>
      <c r="F55" s="233">
        <f t="shared" ref="F55:Q55" si="6">SUM(F51:F54)</f>
        <v>0</v>
      </c>
      <c r="G55" s="233">
        <f t="shared" si="6"/>
        <v>0</v>
      </c>
      <c r="H55" s="233">
        <f t="shared" si="6"/>
        <v>0</v>
      </c>
      <c r="I55" s="233">
        <f t="shared" si="6"/>
        <v>0</v>
      </c>
      <c r="J55" s="233">
        <f t="shared" si="6"/>
        <v>0</v>
      </c>
      <c r="K55" s="233">
        <f t="shared" si="6"/>
        <v>0</v>
      </c>
      <c r="L55" s="233">
        <f t="shared" si="6"/>
        <v>0</v>
      </c>
      <c r="M55" s="233">
        <f t="shared" si="6"/>
        <v>0</v>
      </c>
      <c r="N55" s="233">
        <f t="shared" si="6"/>
        <v>0</v>
      </c>
      <c r="O55" s="233">
        <f t="shared" si="6"/>
        <v>0</v>
      </c>
      <c r="P55" s="233">
        <f t="shared" si="6"/>
        <v>0</v>
      </c>
      <c r="Q55" s="233">
        <f t="shared" si="6"/>
        <v>0</v>
      </c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/>
      <c r="BU55" s="68"/>
      <c r="BV55" s="68"/>
      <c r="BW55" s="68"/>
      <c r="BX55" s="68"/>
      <c r="BY55" s="68"/>
      <c r="BZ55" s="68"/>
      <c r="CA55" s="68"/>
      <c r="CB55" s="68"/>
      <c r="CC55" s="68"/>
      <c r="CD55" s="68"/>
      <c r="CE55" s="68"/>
      <c r="CF55" s="68"/>
      <c r="CG55" s="68"/>
      <c r="CH55" s="68"/>
      <c r="CI55" s="68"/>
      <c r="CJ55" s="68"/>
      <c r="CK55" s="68"/>
      <c r="CL55" s="68"/>
      <c r="CM55" s="68"/>
      <c r="CN55" s="68"/>
      <c r="CO55" s="68"/>
      <c r="CP55" s="68"/>
      <c r="CQ55" s="68"/>
      <c r="CR55" s="68"/>
      <c r="CS55" s="68"/>
      <c r="CT55" s="68"/>
      <c r="CU55" s="68"/>
      <c r="CV55" s="68"/>
      <c r="CW55" s="68"/>
      <c r="CX55" s="68"/>
      <c r="CY55" s="68"/>
      <c r="CZ55" s="68"/>
      <c r="DA55" s="68"/>
      <c r="DB55" s="68"/>
      <c r="DC55" s="68"/>
      <c r="DD55" s="68"/>
      <c r="DE55" s="68"/>
      <c r="DF55" s="68"/>
      <c r="DG55" s="68"/>
      <c r="DH55" s="68"/>
      <c r="DI55" s="68"/>
      <c r="DJ55" s="68"/>
      <c r="DK55" s="68"/>
      <c r="DL55" s="68"/>
      <c r="DM55" s="68"/>
      <c r="DN55" s="68"/>
      <c r="DO55" s="68"/>
      <c r="DP55" s="68"/>
      <c r="DQ55" s="68"/>
      <c r="DR55" s="68"/>
      <c r="DS55" s="68"/>
      <c r="DT55" s="68"/>
      <c r="DU55" s="68"/>
      <c r="DV55" s="68"/>
      <c r="DW55" s="68"/>
      <c r="DX55" s="68"/>
      <c r="DY55" s="68"/>
      <c r="DZ55" s="68"/>
      <c r="EA55" s="68"/>
      <c r="EB55" s="68"/>
      <c r="EC55" s="68"/>
      <c r="ED55" s="68"/>
      <c r="EE55" s="68"/>
      <c r="EF55" s="68"/>
      <c r="EG55" s="68"/>
      <c r="EH55" s="68"/>
      <c r="EI55" s="68"/>
      <c r="EJ55" s="68"/>
      <c r="EK55" s="68"/>
      <c r="EL55" s="68"/>
      <c r="EM55" s="68"/>
      <c r="EN55" s="68"/>
      <c r="EO55" s="68"/>
      <c r="EP55" s="68"/>
    </row>
    <row r="56" spans="1:146" s="78" customFormat="1" ht="11.25">
      <c r="A56" s="87" t="str">
        <f t="shared" si="5"/>
        <v>Miscellaneous Riders</v>
      </c>
      <c r="B56" s="83"/>
      <c r="D56" s="74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3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8"/>
      <c r="BU56" s="68"/>
      <c r="BV56" s="68"/>
      <c r="BW56" s="68"/>
      <c r="BX56" s="68"/>
      <c r="BY56" s="68"/>
      <c r="BZ56" s="68"/>
      <c r="CA56" s="68"/>
      <c r="CB56" s="68"/>
      <c r="CC56" s="68"/>
      <c r="CD56" s="68"/>
      <c r="CE56" s="68"/>
      <c r="CF56" s="68"/>
      <c r="CG56" s="68"/>
      <c r="CH56" s="68"/>
      <c r="CI56" s="68"/>
      <c r="CJ56" s="68"/>
      <c r="CK56" s="68"/>
      <c r="CL56" s="68"/>
      <c r="CM56" s="68"/>
      <c r="CN56" s="68"/>
      <c r="CO56" s="68"/>
      <c r="CP56" s="68"/>
      <c r="CQ56" s="68"/>
      <c r="CR56" s="68"/>
      <c r="CS56" s="68"/>
      <c r="CT56" s="68"/>
      <c r="CU56" s="68"/>
      <c r="CV56" s="68"/>
      <c r="CW56" s="68"/>
      <c r="CX56" s="68"/>
      <c r="CY56" s="68"/>
      <c r="CZ56" s="68"/>
      <c r="DA56" s="68"/>
      <c r="DB56" s="68"/>
      <c r="DC56" s="68"/>
      <c r="DD56" s="68"/>
      <c r="DE56" s="68"/>
      <c r="DF56" s="68"/>
      <c r="DG56" s="68"/>
      <c r="DH56" s="68"/>
      <c r="DI56" s="68"/>
      <c r="DJ56" s="68"/>
      <c r="DK56" s="68"/>
      <c r="DL56" s="68"/>
      <c r="DM56" s="68"/>
      <c r="DN56" s="68"/>
      <c r="DO56" s="68"/>
      <c r="DP56" s="68"/>
      <c r="DQ56" s="68"/>
      <c r="DR56" s="68"/>
      <c r="DS56" s="68"/>
      <c r="DT56" s="68"/>
      <c r="DU56" s="68"/>
      <c r="DV56" s="68"/>
      <c r="DW56" s="68"/>
      <c r="DX56" s="68"/>
      <c r="DY56" s="68"/>
      <c r="DZ56" s="68"/>
      <c r="EA56" s="68"/>
      <c r="EB56" s="68"/>
      <c r="EC56" s="68"/>
      <c r="ED56" s="68"/>
      <c r="EE56" s="68"/>
      <c r="EF56" s="68"/>
      <c r="EG56" s="68"/>
      <c r="EH56" s="68"/>
      <c r="EI56" s="68"/>
      <c r="EJ56" s="68"/>
      <c r="EK56" s="68"/>
      <c r="EL56" s="68"/>
      <c r="EM56" s="68"/>
      <c r="EN56" s="68"/>
      <c r="EO56" s="68"/>
      <c r="EP56" s="68"/>
    </row>
    <row r="57" spans="1:146" s="78" customFormat="1" ht="11.25">
      <c r="A57" s="87" t="str">
        <f t="shared" si="5"/>
        <v xml:space="preserve">Miscellaneous RidersTRANSMISSION </v>
      </c>
      <c r="B57" s="83">
        <v>11</v>
      </c>
      <c r="C57" s="96" t="s">
        <v>86</v>
      </c>
      <c r="D57" s="74" t="s">
        <v>6</v>
      </c>
      <c r="E57" s="90">
        <v>-470</v>
      </c>
      <c r="F57" s="90">
        <v>-410</v>
      </c>
      <c r="G57" s="90">
        <v>-410</v>
      </c>
      <c r="H57" s="90">
        <v>-380</v>
      </c>
      <c r="I57" s="90">
        <v>-440</v>
      </c>
      <c r="J57" s="90">
        <v>-380</v>
      </c>
      <c r="K57" s="90">
        <v>-380</v>
      </c>
      <c r="L57" s="90">
        <v>-560</v>
      </c>
      <c r="M57" s="90">
        <v>-440</v>
      </c>
      <c r="N57" s="90">
        <v>-456</v>
      </c>
      <c r="O57" s="90">
        <v>-560</v>
      </c>
      <c r="P57" s="90">
        <v>-380</v>
      </c>
      <c r="Q57" s="93">
        <f>SUM(E57:P57)</f>
        <v>-5266</v>
      </c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  <c r="BW57" s="68"/>
      <c r="BX57" s="68"/>
      <c r="BY57" s="68"/>
      <c r="BZ57" s="68"/>
      <c r="CA57" s="68"/>
      <c r="CB57" s="68"/>
      <c r="CC57" s="68"/>
      <c r="CD57" s="68"/>
      <c r="CE57" s="68"/>
      <c r="CF57" s="68"/>
      <c r="CG57" s="68"/>
      <c r="CH57" s="68"/>
      <c r="CI57" s="68"/>
      <c r="CJ57" s="68"/>
      <c r="CK57" s="68"/>
      <c r="CL57" s="68"/>
      <c r="CM57" s="68"/>
      <c r="CN57" s="68"/>
      <c r="CO57" s="68"/>
      <c r="CP57" s="68"/>
      <c r="CQ57" s="68"/>
      <c r="CR57" s="68"/>
      <c r="CS57" s="68"/>
      <c r="CT57" s="68"/>
      <c r="CU57" s="68"/>
      <c r="CV57" s="68"/>
      <c r="CW57" s="68"/>
      <c r="CX57" s="68"/>
      <c r="CY57" s="68"/>
      <c r="CZ57" s="68"/>
      <c r="DA57" s="68"/>
      <c r="DB57" s="68"/>
      <c r="DC57" s="68"/>
      <c r="DD57" s="68"/>
      <c r="DE57" s="68"/>
      <c r="DF57" s="68"/>
      <c r="DG57" s="68"/>
      <c r="DH57" s="68"/>
      <c r="DI57" s="68"/>
      <c r="DJ57" s="68"/>
      <c r="DK57" s="68"/>
      <c r="DL57" s="68"/>
      <c r="DM57" s="68"/>
      <c r="DN57" s="68"/>
      <c r="DO57" s="68"/>
      <c r="DP57" s="68"/>
      <c r="DQ57" s="68"/>
      <c r="DR57" s="68"/>
      <c r="DS57" s="68"/>
      <c r="DT57" s="68"/>
      <c r="DU57" s="68"/>
      <c r="DV57" s="68"/>
      <c r="DW57" s="68"/>
      <c r="DX57" s="68"/>
      <c r="DY57" s="68"/>
      <c r="DZ57" s="68"/>
      <c r="EA57" s="68"/>
      <c r="EB57" s="68"/>
      <c r="EC57" s="68"/>
      <c r="ED57" s="68"/>
      <c r="EE57" s="68"/>
      <c r="EF57" s="68"/>
      <c r="EG57" s="68"/>
      <c r="EH57" s="68"/>
      <c r="EI57" s="68"/>
      <c r="EJ57" s="68"/>
      <c r="EK57" s="68"/>
      <c r="EL57" s="68"/>
      <c r="EM57" s="68"/>
      <c r="EN57" s="68"/>
      <c r="EO57" s="68"/>
      <c r="EP57" s="68"/>
    </row>
    <row r="58" spans="1:146" s="78" customFormat="1" ht="11.25">
      <c r="A58" s="87" t="str">
        <f t="shared" si="5"/>
        <v>Miscellaneous Riders</v>
      </c>
      <c r="D58" s="85"/>
      <c r="E58" s="231"/>
      <c r="F58" s="231"/>
      <c r="G58" s="231"/>
      <c r="H58" s="231"/>
      <c r="I58" s="231"/>
      <c r="J58" s="231"/>
      <c r="K58" s="231"/>
      <c r="L58" s="231"/>
      <c r="M58" s="231"/>
      <c r="N58" s="231"/>
      <c r="O58" s="231"/>
      <c r="P58" s="231"/>
      <c r="Q58" s="71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68"/>
      <c r="BU58" s="68"/>
      <c r="BV58" s="68"/>
      <c r="BW58" s="68"/>
      <c r="BX58" s="68"/>
      <c r="BY58" s="68"/>
      <c r="BZ58" s="68"/>
      <c r="CA58" s="68"/>
      <c r="CB58" s="68"/>
      <c r="CC58" s="68"/>
      <c r="CD58" s="68"/>
      <c r="CE58" s="68"/>
      <c r="CF58" s="68"/>
      <c r="CG58" s="68"/>
      <c r="CH58" s="68"/>
      <c r="CI58" s="68"/>
      <c r="CJ58" s="68"/>
      <c r="CK58" s="68"/>
      <c r="CL58" s="68"/>
      <c r="CM58" s="68"/>
      <c r="CN58" s="68"/>
      <c r="CO58" s="68"/>
      <c r="CP58" s="68"/>
      <c r="CQ58" s="68"/>
      <c r="CR58" s="68"/>
      <c r="CS58" s="68"/>
      <c r="CT58" s="68"/>
      <c r="CU58" s="68"/>
      <c r="CV58" s="68"/>
      <c r="CW58" s="68"/>
      <c r="CX58" s="68"/>
      <c r="CY58" s="68"/>
      <c r="CZ58" s="68"/>
      <c r="DA58" s="68"/>
      <c r="DB58" s="68"/>
      <c r="DC58" s="68"/>
      <c r="DD58" s="68"/>
      <c r="DE58" s="68"/>
      <c r="DF58" s="68"/>
      <c r="DG58" s="68"/>
      <c r="DH58" s="68"/>
      <c r="DI58" s="68"/>
      <c r="DJ58" s="68"/>
      <c r="DK58" s="68"/>
      <c r="DL58" s="68"/>
      <c r="DM58" s="68"/>
      <c r="DN58" s="68"/>
      <c r="DO58" s="68"/>
      <c r="DP58" s="68"/>
      <c r="DQ58" s="68"/>
      <c r="DR58" s="68"/>
      <c r="DS58" s="68"/>
      <c r="DT58" s="68"/>
      <c r="DU58" s="68"/>
      <c r="DV58" s="68"/>
      <c r="DW58" s="68"/>
      <c r="DX58" s="68"/>
      <c r="DY58" s="68"/>
      <c r="DZ58" s="68"/>
      <c r="EA58" s="68"/>
      <c r="EB58" s="68"/>
      <c r="EC58" s="68"/>
      <c r="ED58" s="68"/>
      <c r="EE58" s="68"/>
      <c r="EF58" s="68"/>
      <c r="EG58" s="68"/>
      <c r="EH58" s="68"/>
      <c r="EI58" s="68"/>
      <c r="EJ58" s="68"/>
      <c r="EK58" s="68"/>
      <c r="EL58" s="68"/>
      <c r="EM58" s="68"/>
      <c r="EN58" s="68"/>
      <c r="EO58" s="68"/>
      <c r="EP58" s="68"/>
    </row>
    <row r="59" spans="1:146" s="78" customFormat="1" ht="11.25">
      <c r="A59" s="87" t="str">
        <f t="shared" si="5"/>
        <v>Miscellaneous RidersLIGHTING</v>
      </c>
      <c r="B59" s="83">
        <v>12</v>
      </c>
      <c r="C59" s="68" t="s">
        <v>21</v>
      </c>
      <c r="D59" s="74" t="s">
        <v>4</v>
      </c>
      <c r="E59" s="236">
        <v>0</v>
      </c>
      <c r="F59" s="236">
        <v>0</v>
      </c>
      <c r="G59" s="236">
        <v>0</v>
      </c>
      <c r="H59" s="236">
        <v>0</v>
      </c>
      <c r="I59" s="236">
        <v>0</v>
      </c>
      <c r="J59" s="236">
        <v>0</v>
      </c>
      <c r="K59" s="236">
        <v>0</v>
      </c>
      <c r="L59" s="236">
        <v>0</v>
      </c>
      <c r="M59" s="236">
        <v>0</v>
      </c>
      <c r="N59" s="236">
        <v>0</v>
      </c>
      <c r="O59" s="236">
        <v>0</v>
      </c>
      <c r="P59" s="236">
        <v>0</v>
      </c>
      <c r="Q59" s="93">
        <f>SUM(E59:P59)</f>
        <v>0</v>
      </c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  <c r="BM59" s="68"/>
      <c r="BN59" s="68"/>
      <c r="BO59" s="68"/>
      <c r="BP59" s="68"/>
      <c r="BQ59" s="68"/>
      <c r="BR59" s="68"/>
      <c r="BS59" s="68"/>
      <c r="BT59" s="68"/>
      <c r="BU59" s="68"/>
      <c r="BV59" s="68"/>
      <c r="BW59" s="68"/>
      <c r="BX59" s="68"/>
      <c r="BY59" s="68"/>
      <c r="BZ59" s="68"/>
      <c r="CA59" s="68"/>
      <c r="CB59" s="68"/>
      <c r="CC59" s="68"/>
      <c r="CD59" s="68"/>
      <c r="CE59" s="68"/>
      <c r="CF59" s="68"/>
      <c r="CG59" s="68"/>
      <c r="CH59" s="68"/>
      <c r="CI59" s="68"/>
      <c r="CJ59" s="68"/>
      <c r="CK59" s="68"/>
      <c r="CL59" s="68"/>
      <c r="CM59" s="68"/>
      <c r="CN59" s="68"/>
      <c r="CO59" s="68"/>
      <c r="CP59" s="68"/>
      <c r="CQ59" s="68"/>
      <c r="CR59" s="68"/>
      <c r="CS59" s="68"/>
      <c r="CT59" s="68"/>
      <c r="CU59" s="68"/>
      <c r="CV59" s="68"/>
      <c r="CW59" s="68"/>
      <c r="CX59" s="68"/>
      <c r="CY59" s="68"/>
      <c r="CZ59" s="68"/>
      <c r="DA59" s="68"/>
      <c r="DB59" s="68"/>
      <c r="DC59" s="68"/>
      <c r="DD59" s="68"/>
      <c r="DE59" s="68"/>
      <c r="DF59" s="68"/>
      <c r="DG59" s="68"/>
      <c r="DH59" s="68"/>
      <c r="DI59" s="68"/>
      <c r="DJ59" s="68"/>
      <c r="DK59" s="68"/>
      <c r="DL59" s="68"/>
      <c r="DM59" s="68"/>
      <c r="DN59" s="68"/>
      <c r="DO59" s="68"/>
      <c r="DP59" s="68"/>
      <c r="DQ59" s="68"/>
      <c r="DR59" s="68"/>
      <c r="DS59" s="68"/>
      <c r="DT59" s="68"/>
      <c r="DU59" s="68"/>
      <c r="DV59" s="68"/>
      <c r="DW59" s="68"/>
      <c r="DX59" s="68"/>
      <c r="DY59" s="68"/>
      <c r="DZ59" s="68"/>
      <c r="EA59" s="68"/>
      <c r="EB59" s="68"/>
      <c r="EC59" s="68"/>
      <c r="ED59" s="68"/>
      <c r="EE59" s="68"/>
      <c r="EF59" s="68"/>
      <c r="EG59" s="68"/>
      <c r="EH59" s="68"/>
      <c r="EI59" s="68"/>
      <c r="EJ59" s="68"/>
      <c r="EK59" s="68"/>
      <c r="EL59" s="68"/>
      <c r="EM59" s="68"/>
      <c r="EN59" s="68"/>
      <c r="EO59" s="68"/>
      <c r="EP59" s="68"/>
    </row>
    <row r="60" spans="1:146" s="78" customFormat="1" ht="11.25">
      <c r="A60" s="87" t="str">
        <f t="shared" si="5"/>
        <v>Miscellaneous Riders</v>
      </c>
      <c r="B60" s="83"/>
      <c r="D60" s="85"/>
      <c r="E60" s="231"/>
      <c r="F60" s="231"/>
      <c r="G60" s="231"/>
      <c r="H60" s="231"/>
      <c r="I60" s="231"/>
      <c r="J60" s="231"/>
      <c r="K60" s="231"/>
      <c r="L60" s="231"/>
      <c r="M60" s="231"/>
      <c r="N60" s="231"/>
      <c r="O60" s="231"/>
      <c r="P60" s="90"/>
      <c r="Q60" s="71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68"/>
      <c r="BP60" s="68"/>
      <c r="BQ60" s="68"/>
      <c r="BR60" s="68"/>
      <c r="BS60" s="68"/>
      <c r="BT60" s="68"/>
      <c r="BU60" s="68"/>
      <c r="BV60" s="68"/>
      <c r="BW60" s="68"/>
      <c r="BX60" s="68"/>
      <c r="BY60" s="68"/>
      <c r="BZ60" s="68"/>
      <c r="CA60" s="68"/>
      <c r="CB60" s="68"/>
      <c r="CC60" s="68"/>
      <c r="CD60" s="68"/>
      <c r="CE60" s="68"/>
      <c r="CF60" s="68"/>
      <c r="CG60" s="68"/>
      <c r="CH60" s="68"/>
      <c r="CI60" s="68"/>
      <c r="CJ60" s="68"/>
      <c r="CK60" s="68"/>
      <c r="CL60" s="68"/>
      <c r="CM60" s="68"/>
      <c r="CN60" s="68"/>
      <c r="CO60" s="68"/>
      <c r="CP60" s="68"/>
      <c r="CQ60" s="68"/>
      <c r="CR60" s="68"/>
      <c r="CS60" s="68"/>
      <c r="CT60" s="68"/>
      <c r="CU60" s="68"/>
      <c r="CV60" s="68"/>
      <c r="CW60" s="68"/>
      <c r="CX60" s="68"/>
      <c r="CY60" s="68"/>
      <c r="CZ60" s="68"/>
      <c r="DA60" s="68"/>
      <c r="DB60" s="68"/>
      <c r="DC60" s="68"/>
      <c r="DD60" s="68"/>
      <c r="DE60" s="68"/>
      <c r="DF60" s="68"/>
      <c r="DG60" s="68"/>
      <c r="DH60" s="68"/>
      <c r="DI60" s="68"/>
      <c r="DJ60" s="68"/>
      <c r="DK60" s="68"/>
      <c r="DL60" s="68"/>
      <c r="DM60" s="68"/>
      <c r="DN60" s="68"/>
      <c r="DO60" s="68"/>
      <c r="DP60" s="68"/>
      <c r="DQ60" s="68"/>
      <c r="DR60" s="68"/>
      <c r="DS60" s="68"/>
      <c r="DT60" s="68"/>
      <c r="DU60" s="68"/>
      <c r="DV60" s="68"/>
      <c r="DW60" s="68"/>
      <c r="DX60" s="68"/>
      <c r="DY60" s="68"/>
      <c r="DZ60" s="68"/>
      <c r="EA60" s="68"/>
      <c r="EB60" s="68"/>
      <c r="EC60" s="68"/>
      <c r="ED60" s="68"/>
      <c r="EE60" s="68"/>
      <c r="EF60" s="68"/>
      <c r="EG60" s="68"/>
      <c r="EH60" s="68"/>
      <c r="EI60" s="68"/>
      <c r="EJ60" s="68"/>
      <c r="EK60" s="68"/>
      <c r="EL60" s="68"/>
      <c r="EM60" s="68"/>
      <c r="EN60" s="68"/>
      <c r="EO60" s="68"/>
      <c r="EP60" s="68"/>
    </row>
    <row r="61" spans="1:146" s="78" customFormat="1" ht="11.25">
      <c r="A61" s="87" t="str">
        <f t="shared" si="5"/>
        <v>Miscellaneous RidersTOTAL RETAIL</v>
      </c>
      <c r="B61" s="83">
        <v>13</v>
      </c>
      <c r="C61" s="114" t="s">
        <v>22</v>
      </c>
      <c r="D61" s="212"/>
      <c r="E61" s="234">
        <f>+E43+E45+E49+E55+E57+E59</f>
        <v>-470</v>
      </c>
      <c r="F61" s="234">
        <f t="shared" ref="F61:Q61" si="7">+F43+F45+F49+F55+F57+F59</f>
        <v>-410</v>
      </c>
      <c r="G61" s="234">
        <f t="shared" si="7"/>
        <v>-410</v>
      </c>
      <c r="H61" s="234">
        <f t="shared" si="7"/>
        <v>-380</v>
      </c>
      <c r="I61" s="234">
        <f t="shared" si="7"/>
        <v>-440</v>
      </c>
      <c r="J61" s="234">
        <f t="shared" si="7"/>
        <v>-380</v>
      </c>
      <c r="K61" s="234">
        <f t="shared" si="7"/>
        <v>-380</v>
      </c>
      <c r="L61" s="234">
        <f t="shared" si="7"/>
        <v>-560</v>
      </c>
      <c r="M61" s="234">
        <f t="shared" si="7"/>
        <v>-440</v>
      </c>
      <c r="N61" s="234">
        <f t="shared" si="7"/>
        <v>-456</v>
      </c>
      <c r="O61" s="234">
        <f t="shared" si="7"/>
        <v>-560</v>
      </c>
      <c r="P61" s="234">
        <f t="shared" si="7"/>
        <v>-380</v>
      </c>
      <c r="Q61" s="234">
        <f t="shared" si="7"/>
        <v>-5266</v>
      </c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  <c r="BM61" s="68"/>
      <c r="BN61" s="68"/>
      <c r="BO61" s="68"/>
      <c r="BP61" s="68"/>
      <c r="BQ61" s="68"/>
      <c r="BR61" s="68"/>
      <c r="BS61" s="68"/>
      <c r="BT61" s="68"/>
      <c r="BU61" s="68"/>
      <c r="BV61" s="68"/>
      <c r="BW61" s="68"/>
      <c r="BX61" s="68"/>
      <c r="BY61" s="68"/>
      <c r="BZ61" s="68"/>
      <c r="CA61" s="68"/>
      <c r="CB61" s="68"/>
      <c r="CC61" s="68"/>
      <c r="CD61" s="68"/>
      <c r="CE61" s="68"/>
      <c r="CF61" s="68"/>
      <c r="CG61" s="68"/>
      <c r="CH61" s="68"/>
      <c r="CI61" s="68"/>
      <c r="CJ61" s="68"/>
      <c r="CK61" s="68"/>
      <c r="CL61" s="68"/>
      <c r="CM61" s="68"/>
      <c r="CN61" s="68"/>
      <c r="CO61" s="68"/>
      <c r="CP61" s="68"/>
      <c r="CQ61" s="68"/>
      <c r="CR61" s="68"/>
      <c r="CS61" s="68"/>
      <c r="CT61" s="68"/>
      <c r="CU61" s="68"/>
      <c r="CV61" s="68"/>
      <c r="CW61" s="68"/>
      <c r="CX61" s="68"/>
      <c r="CY61" s="68"/>
      <c r="CZ61" s="68"/>
      <c r="DA61" s="68"/>
      <c r="DB61" s="68"/>
      <c r="DC61" s="68"/>
      <c r="DD61" s="68"/>
      <c r="DE61" s="68"/>
      <c r="DF61" s="68"/>
      <c r="DG61" s="68"/>
      <c r="DH61" s="68"/>
      <c r="DI61" s="68"/>
      <c r="DJ61" s="68"/>
      <c r="DK61" s="68"/>
      <c r="DL61" s="68"/>
      <c r="DM61" s="68"/>
      <c r="DN61" s="68"/>
      <c r="DO61" s="68"/>
      <c r="DP61" s="68"/>
      <c r="DQ61" s="68"/>
      <c r="DR61" s="68"/>
      <c r="DS61" s="68"/>
      <c r="DT61" s="68"/>
      <c r="DU61" s="68"/>
      <c r="DV61" s="68"/>
      <c r="DW61" s="68"/>
      <c r="DX61" s="68"/>
      <c r="DY61" s="68"/>
      <c r="DZ61" s="68"/>
      <c r="EA61" s="68"/>
      <c r="EB61" s="68"/>
      <c r="EC61" s="68"/>
      <c r="ED61" s="68"/>
      <c r="EE61" s="68"/>
      <c r="EF61" s="68"/>
      <c r="EG61" s="68"/>
      <c r="EH61" s="68"/>
      <c r="EI61" s="68"/>
      <c r="EJ61" s="68"/>
      <c r="EK61" s="68"/>
      <c r="EL61" s="68"/>
      <c r="EM61" s="68"/>
      <c r="EN61" s="68"/>
      <c r="EO61" s="68"/>
      <c r="EP61" s="68"/>
    </row>
    <row r="62" spans="1:146" s="78" customFormat="1" ht="11.25">
      <c r="A62" s="87" t="str">
        <f t="shared" si="5"/>
        <v>Miscellaneous Riders</v>
      </c>
      <c r="C62" s="212"/>
      <c r="D62" s="212"/>
      <c r="E62" s="231"/>
      <c r="F62" s="231"/>
      <c r="G62" s="231"/>
      <c r="H62" s="231"/>
      <c r="I62" s="231"/>
      <c r="J62" s="231"/>
      <c r="K62" s="231"/>
      <c r="L62" s="231"/>
      <c r="M62" s="231"/>
      <c r="N62" s="231"/>
      <c r="O62" s="231"/>
      <c r="P62" s="90"/>
      <c r="Q62" s="93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  <c r="BL62" s="68"/>
      <c r="BM62" s="68"/>
      <c r="BN62" s="68"/>
      <c r="BO62" s="68"/>
      <c r="BP62" s="68"/>
      <c r="BQ62" s="68"/>
      <c r="BR62" s="68"/>
      <c r="BS62" s="68"/>
      <c r="BT62" s="68"/>
      <c r="BU62" s="68"/>
      <c r="BV62" s="68"/>
      <c r="BW62" s="68"/>
      <c r="BX62" s="68"/>
      <c r="BY62" s="68"/>
      <c r="BZ62" s="68"/>
      <c r="CA62" s="68"/>
      <c r="CB62" s="68"/>
      <c r="CC62" s="68"/>
      <c r="CD62" s="68"/>
      <c r="CE62" s="68"/>
      <c r="CF62" s="68"/>
      <c r="CG62" s="68"/>
      <c r="CH62" s="68"/>
      <c r="CI62" s="68"/>
      <c r="CJ62" s="68"/>
      <c r="CK62" s="68"/>
      <c r="CL62" s="68"/>
      <c r="CM62" s="68"/>
      <c r="CN62" s="68"/>
      <c r="CO62" s="68"/>
      <c r="CP62" s="68"/>
      <c r="CQ62" s="68"/>
      <c r="CR62" s="68"/>
      <c r="CS62" s="68"/>
      <c r="CT62" s="68"/>
      <c r="CU62" s="68"/>
      <c r="CV62" s="68"/>
      <c r="CW62" s="68"/>
      <c r="CX62" s="68"/>
      <c r="CY62" s="68"/>
      <c r="CZ62" s="68"/>
      <c r="DA62" s="68"/>
      <c r="DB62" s="68"/>
      <c r="DC62" s="68"/>
      <c r="DD62" s="68"/>
      <c r="DE62" s="68"/>
      <c r="DF62" s="68"/>
      <c r="DG62" s="68"/>
      <c r="DH62" s="68"/>
      <c r="DI62" s="68"/>
      <c r="DJ62" s="68"/>
      <c r="DK62" s="68"/>
      <c r="DL62" s="68"/>
      <c r="DM62" s="68"/>
      <c r="DN62" s="68"/>
      <c r="DO62" s="68"/>
      <c r="DP62" s="68"/>
      <c r="DQ62" s="68"/>
      <c r="DR62" s="68"/>
      <c r="DS62" s="68"/>
      <c r="DT62" s="68"/>
      <c r="DU62" s="68"/>
      <c r="DV62" s="68"/>
      <c r="DW62" s="68"/>
      <c r="DX62" s="68"/>
      <c r="DY62" s="68"/>
      <c r="DZ62" s="68"/>
      <c r="EA62" s="68"/>
      <c r="EB62" s="68"/>
      <c r="EC62" s="68"/>
      <c r="ED62" s="68"/>
      <c r="EE62" s="68"/>
      <c r="EF62" s="68"/>
      <c r="EG62" s="68"/>
      <c r="EH62" s="68"/>
      <c r="EI62" s="68"/>
      <c r="EJ62" s="68"/>
      <c r="EK62" s="68"/>
      <c r="EL62" s="68"/>
      <c r="EM62" s="68"/>
      <c r="EN62" s="68"/>
      <c r="EO62" s="68"/>
      <c r="EP62" s="68"/>
    </row>
    <row r="63" spans="1:146" s="78" customFormat="1" ht="11.25">
      <c r="A63" s="87" t="str">
        <f t="shared" si="5"/>
        <v>Miscellaneous Riders</v>
      </c>
      <c r="B63" s="83">
        <v>12</v>
      </c>
      <c r="C63" s="89"/>
      <c r="D63" s="7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03"/>
      <c r="R63" s="89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68"/>
      <c r="BK63" s="68"/>
      <c r="BL63" s="68"/>
      <c r="BM63" s="68"/>
      <c r="BN63" s="68"/>
      <c r="BO63" s="68"/>
      <c r="BP63" s="68"/>
      <c r="BQ63" s="68"/>
      <c r="BR63" s="68"/>
      <c r="BS63" s="68"/>
      <c r="BT63" s="68"/>
      <c r="BU63" s="68"/>
      <c r="BV63" s="68"/>
      <c r="BW63" s="68"/>
      <c r="BX63" s="68"/>
      <c r="BY63" s="68"/>
      <c r="BZ63" s="68"/>
      <c r="CA63" s="68"/>
      <c r="CB63" s="68"/>
      <c r="CC63" s="68"/>
      <c r="CD63" s="68"/>
      <c r="CE63" s="68"/>
      <c r="CF63" s="68"/>
      <c r="CG63" s="68"/>
      <c r="CH63" s="68"/>
      <c r="CI63" s="68"/>
      <c r="CJ63" s="68"/>
      <c r="CK63" s="68"/>
      <c r="CL63" s="68"/>
      <c r="CM63" s="68"/>
      <c r="CN63" s="68"/>
      <c r="CO63" s="68"/>
      <c r="CP63" s="68"/>
      <c r="CQ63" s="68"/>
      <c r="CR63" s="68"/>
      <c r="CS63" s="68"/>
      <c r="CT63" s="68"/>
      <c r="CU63" s="68"/>
      <c r="CV63" s="68"/>
      <c r="CW63" s="68"/>
      <c r="CX63" s="68"/>
      <c r="CY63" s="68"/>
      <c r="CZ63" s="68"/>
      <c r="DA63" s="68"/>
      <c r="DB63" s="68"/>
      <c r="DC63" s="68"/>
      <c r="DD63" s="68"/>
      <c r="DE63" s="68"/>
      <c r="DF63" s="68"/>
      <c r="DG63" s="68"/>
      <c r="DH63" s="68"/>
      <c r="DI63" s="68"/>
      <c r="DJ63" s="68"/>
      <c r="DK63" s="68"/>
      <c r="DL63" s="68"/>
      <c r="DM63" s="68"/>
      <c r="DN63" s="68"/>
      <c r="DO63" s="68"/>
      <c r="DP63" s="68"/>
      <c r="DQ63" s="68"/>
      <c r="DR63" s="68"/>
      <c r="DS63" s="68"/>
      <c r="DT63" s="68"/>
      <c r="DU63" s="68"/>
      <c r="DV63" s="68"/>
      <c r="DW63" s="68"/>
      <c r="DX63" s="68"/>
      <c r="DY63" s="68"/>
      <c r="DZ63" s="68"/>
      <c r="EA63" s="68"/>
      <c r="EB63" s="68"/>
      <c r="EC63" s="68"/>
      <c r="ED63" s="68"/>
      <c r="EE63" s="68"/>
      <c r="EF63" s="68"/>
      <c r="EG63" s="68"/>
      <c r="EH63" s="68"/>
      <c r="EI63" s="68"/>
      <c r="EJ63" s="68"/>
      <c r="EK63" s="68"/>
      <c r="EL63" s="68"/>
      <c r="EM63" s="68"/>
      <c r="EN63" s="68"/>
      <c r="EO63" s="68"/>
      <c r="EP63" s="68"/>
    </row>
    <row r="64" spans="1:146" s="78" customFormat="1" ht="11.25">
      <c r="A64" s="87" t="str">
        <f t="shared" si="5"/>
        <v>Miscellaneous Riders</v>
      </c>
      <c r="B64" s="83">
        <v>13</v>
      </c>
      <c r="C64" s="89"/>
      <c r="D64" s="7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03"/>
      <c r="R64" s="133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  <c r="BL64" s="68"/>
      <c r="BM64" s="68"/>
      <c r="BN64" s="68"/>
      <c r="BO64" s="68"/>
      <c r="BP64" s="68"/>
      <c r="BQ64" s="68"/>
      <c r="BR64" s="68"/>
      <c r="BS64" s="68"/>
      <c r="BT64" s="68"/>
      <c r="BU64" s="68"/>
      <c r="BV64" s="68"/>
      <c r="BW64" s="68"/>
      <c r="BX64" s="68"/>
      <c r="BY64" s="68"/>
      <c r="BZ64" s="68"/>
      <c r="CA64" s="68"/>
      <c r="CB64" s="68"/>
      <c r="CC64" s="68"/>
      <c r="CD64" s="68"/>
      <c r="CE64" s="68"/>
      <c r="CF64" s="68"/>
      <c r="CG64" s="68"/>
      <c r="CH64" s="68"/>
      <c r="CI64" s="68"/>
      <c r="CJ64" s="68"/>
      <c r="CK64" s="68"/>
      <c r="CL64" s="68"/>
      <c r="CM64" s="68"/>
      <c r="CN64" s="68"/>
      <c r="CO64" s="68"/>
      <c r="CP64" s="68"/>
      <c r="CQ64" s="68"/>
      <c r="CR64" s="68"/>
      <c r="CS64" s="68"/>
      <c r="CT64" s="68"/>
      <c r="CU64" s="68"/>
      <c r="CV64" s="68"/>
      <c r="CW64" s="68"/>
      <c r="CX64" s="68"/>
      <c r="CY64" s="68"/>
      <c r="CZ64" s="68"/>
      <c r="DA64" s="68"/>
      <c r="DB64" s="68"/>
      <c r="DC64" s="68"/>
      <c r="DD64" s="68"/>
      <c r="DE64" s="68"/>
      <c r="DF64" s="68"/>
      <c r="DG64" s="68"/>
      <c r="DH64" s="68"/>
      <c r="DI64" s="68"/>
      <c r="DJ64" s="68"/>
      <c r="DK64" s="68"/>
      <c r="DL64" s="68"/>
      <c r="DM64" s="68"/>
      <c r="DN64" s="68"/>
      <c r="DO64" s="68"/>
      <c r="DP64" s="68"/>
      <c r="DQ64" s="68"/>
      <c r="DR64" s="68"/>
      <c r="DS64" s="68"/>
      <c r="DT64" s="68"/>
      <c r="DU64" s="68"/>
      <c r="DV64" s="68"/>
      <c r="DW64" s="68"/>
      <c r="DX64" s="68"/>
      <c r="DY64" s="68"/>
      <c r="DZ64" s="68"/>
      <c r="EA64" s="68"/>
      <c r="EB64" s="68"/>
      <c r="EC64" s="68"/>
      <c r="ED64" s="68"/>
      <c r="EE64" s="68"/>
      <c r="EF64" s="68"/>
      <c r="EG64" s="68"/>
      <c r="EH64" s="68"/>
      <c r="EI64" s="68"/>
      <c r="EJ64" s="68"/>
      <c r="EK64" s="68"/>
      <c r="EL64" s="68"/>
      <c r="EM64" s="68"/>
      <c r="EN64" s="68"/>
      <c r="EO64" s="68"/>
      <c r="EP64" s="68"/>
    </row>
    <row r="65" spans="1:146" s="78" customFormat="1" ht="11.25">
      <c r="A65" s="87" t="str">
        <f t="shared" si="5"/>
        <v>Miscellaneous Riders</v>
      </c>
      <c r="B65" s="83">
        <v>14</v>
      </c>
      <c r="C65" s="114"/>
      <c r="D65" s="212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24"/>
      <c r="Q65" s="103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68"/>
      <c r="BR65" s="68"/>
      <c r="BS65" s="68"/>
      <c r="BT65" s="68"/>
      <c r="BU65" s="68"/>
      <c r="BV65" s="68"/>
      <c r="BW65" s="68"/>
      <c r="BX65" s="68"/>
      <c r="BY65" s="68"/>
      <c r="BZ65" s="68"/>
      <c r="CA65" s="68"/>
      <c r="CB65" s="68"/>
      <c r="CC65" s="68"/>
      <c r="CD65" s="68"/>
      <c r="CE65" s="68"/>
      <c r="CF65" s="68"/>
      <c r="CG65" s="68"/>
      <c r="CH65" s="68"/>
      <c r="CI65" s="68"/>
      <c r="CJ65" s="68"/>
      <c r="CK65" s="68"/>
      <c r="CL65" s="68"/>
      <c r="CM65" s="68"/>
      <c r="CN65" s="68"/>
      <c r="CO65" s="68"/>
      <c r="CP65" s="68"/>
      <c r="CQ65" s="68"/>
      <c r="CR65" s="68"/>
      <c r="CS65" s="68"/>
      <c r="CT65" s="68"/>
      <c r="CU65" s="68"/>
      <c r="CV65" s="68"/>
      <c r="CW65" s="68"/>
      <c r="CX65" s="68"/>
      <c r="CY65" s="68"/>
      <c r="CZ65" s="68"/>
      <c r="DA65" s="68"/>
      <c r="DB65" s="68"/>
      <c r="DC65" s="68"/>
      <c r="DD65" s="68"/>
      <c r="DE65" s="68"/>
      <c r="DF65" s="68"/>
      <c r="DG65" s="68"/>
      <c r="DH65" s="68"/>
      <c r="DI65" s="68"/>
      <c r="DJ65" s="68"/>
      <c r="DK65" s="68"/>
      <c r="DL65" s="68"/>
      <c r="DM65" s="68"/>
      <c r="DN65" s="68"/>
      <c r="DO65" s="68"/>
      <c r="DP65" s="68"/>
      <c r="DQ65" s="68"/>
      <c r="DR65" s="68"/>
      <c r="DS65" s="68"/>
      <c r="DT65" s="68"/>
      <c r="DU65" s="68"/>
      <c r="DV65" s="68"/>
      <c r="DW65" s="68"/>
      <c r="DX65" s="68"/>
      <c r="DY65" s="68"/>
      <c r="DZ65" s="68"/>
      <c r="EA65" s="68"/>
      <c r="EB65" s="68"/>
      <c r="EC65" s="68"/>
      <c r="ED65" s="68"/>
      <c r="EE65" s="68"/>
      <c r="EF65" s="68"/>
      <c r="EG65" s="68"/>
      <c r="EH65" s="68"/>
      <c r="EI65" s="68"/>
      <c r="EJ65" s="68"/>
      <c r="EK65" s="68"/>
      <c r="EL65" s="68"/>
      <c r="EM65" s="68"/>
      <c r="EN65" s="68"/>
      <c r="EO65" s="68"/>
      <c r="EP65" s="68"/>
    </row>
    <row r="66" spans="1:146" s="78" customFormat="1" ht="11.25">
      <c r="A66" s="87" t="str">
        <f t="shared" si="5"/>
        <v>Miscellaneous Riders</v>
      </c>
      <c r="B66" s="83"/>
      <c r="D66" s="116"/>
      <c r="E66" s="231"/>
      <c r="F66" s="231"/>
      <c r="G66" s="231"/>
      <c r="H66" s="231"/>
      <c r="I66" s="231"/>
      <c r="J66" s="231"/>
      <c r="K66" s="231"/>
      <c r="L66" s="231"/>
      <c r="M66" s="231"/>
      <c r="N66" s="231"/>
      <c r="O66" s="231"/>
      <c r="P66" s="90"/>
      <c r="Q66" s="71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68"/>
      <c r="BK66" s="68"/>
      <c r="BL66" s="68"/>
      <c r="BM66" s="68"/>
      <c r="BN66" s="68"/>
      <c r="BO66" s="68"/>
      <c r="BP66" s="68"/>
      <c r="BQ66" s="68"/>
      <c r="BR66" s="68"/>
      <c r="BS66" s="68"/>
      <c r="BT66" s="68"/>
      <c r="BU66" s="68"/>
      <c r="BV66" s="68"/>
      <c r="BW66" s="68"/>
      <c r="BX66" s="68"/>
      <c r="BY66" s="68"/>
      <c r="BZ66" s="68"/>
      <c r="CA66" s="68"/>
      <c r="CB66" s="68"/>
      <c r="CC66" s="68"/>
      <c r="CD66" s="68"/>
      <c r="CE66" s="68"/>
      <c r="CF66" s="68"/>
      <c r="CG66" s="68"/>
      <c r="CH66" s="68"/>
      <c r="CI66" s="68"/>
      <c r="CJ66" s="68"/>
      <c r="CK66" s="68"/>
      <c r="CL66" s="68"/>
      <c r="CM66" s="68"/>
      <c r="CN66" s="68"/>
      <c r="CO66" s="68"/>
      <c r="CP66" s="68"/>
      <c r="CQ66" s="68"/>
      <c r="CR66" s="68"/>
      <c r="CS66" s="68"/>
      <c r="CT66" s="68"/>
      <c r="CU66" s="68"/>
      <c r="CV66" s="68"/>
      <c r="CW66" s="68"/>
      <c r="CX66" s="68"/>
      <c r="CY66" s="68"/>
      <c r="CZ66" s="68"/>
      <c r="DA66" s="68"/>
      <c r="DB66" s="68"/>
      <c r="DC66" s="68"/>
      <c r="DD66" s="68"/>
      <c r="DE66" s="68"/>
      <c r="DF66" s="68"/>
      <c r="DG66" s="68"/>
      <c r="DH66" s="68"/>
      <c r="DI66" s="68"/>
      <c r="DJ66" s="68"/>
      <c r="DK66" s="68"/>
      <c r="DL66" s="68"/>
      <c r="DM66" s="68"/>
      <c r="DN66" s="68"/>
      <c r="DO66" s="68"/>
      <c r="DP66" s="68"/>
      <c r="DQ66" s="68"/>
      <c r="DR66" s="68"/>
      <c r="DS66" s="68"/>
      <c r="DT66" s="68"/>
      <c r="DU66" s="68"/>
      <c r="DV66" s="68"/>
      <c r="DW66" s="68"/>
      <c r="DX66" s="68"/>
      <c r="DY66" s="68"/>
      <c r="DZ66" s="68"/>
      <c r="EA66" s="68"/>
      <c r="EB66" s="68"/>
      <c r="EC66" s="68"/>
      <c r="ED66" s="68"/>
      <c r="EE66" s="68"/>
      <c r="EF66" s="68"/>
      <c r="EG66" s="68"/>
      <c r="EH66" s="68"/>
      <c r="EI66" s="68"/>
      <c r="EJ66" s="68"/>
      <c r="EK66" s="68"/>
      <c r="EL66" s="68"/>
      <c r="EM66" s="68"/>
      <c r="EN66" s="68"/>
      <c r="EO66" s="68"/>
      <c r="EP66" s="68"/>
    </row>
    <row r="67" spans="1:146" s="78" customFormat="1" ht="12" thickBot="1">
      <c r="A67" s="87" t="str">
        <f t="shared" si="5"/>
        <v xml:space="preserve">Miscellaneous RidersTOTAL </v>
      </c>
      <c r="B67" s="83">
        <v>15</v>
      </c>
      <c r="C67" s="147" t="s">
        <v>95</v>
      </c>
      <c r="D67" s="211"/>
      <c r="E67" s="117">
        <v>-470</v>
      </c>
      <c r="F67" s="117">
        <v>-410</v>
      </c>
      <c r="G67" s="117">
        <v>-410</v>
      </c>
      <c r="H67" s="117">
        <v>-380</v>
      </c>
      <c r="I67" s="117">
        <v>-440</v>
      </c>
      <c r="J67" s="117">
        <v>-380</v>
      </c>
      <c r="K67" s="117">
        <v>-380</v>
      </c>
      <c r="L67" s="117">
        <v>-560</v>
      </c>
      <c r="M67" s="117">
        <v>-440</v>
      </c>
      <c r="N67" s="117">
        <v>-456</v>
      </c>
      <c r="O67" s="117">
        <v>-560</v>
      </c>
      <c r="P67" s="117">
        <v>-380</v>
      </c>
      <c r="Q67" s="117">
        <v>-5266</v>
      </c>
      <c r="R67" s="12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  <c r="BM67" s="68"/>
      <c r="BN67" s="68"/>
      <c r="BO67" s="68"/>
      <c r="BP67" s="68"/>
      <c r="BQ67" s="68"/>
      <c r="BR67" s="68"/>
      <c r="BS67" s="68"/>
      <c r="BT67" s="68"/>
      <c r="BU67" s="68"/>
      <c r="BV67" s="68"/>
      <c r="BW67" s="68"/>
      <c r="BX67" s="68"/>
      <c r="BY67" s="68"/>
      <c r="BZ67" s="68"/>
      <c r="CA67" s="68"/>
      <c r="CB67" s="68"/>
      <c r="CC67" s="68"/>
      <c r="CD67" s="68"/>
      <c r="CE67" s="68"/>
      <c r="CF67" s="68"/>
      <c r="CG67" s="68"/>
      <c r="CH67" s="68"/>
      <c r="CI67" s="68"/>
      <c r="CJ67" s="68"/>
      <c r="CK67" s="68"/>
      <c r="CL67" s="68"/>
      <c r="CM67" s="68"/>
      <c r="CN67" s="68"/>
      <c r="CO67" s="68"/>
      <c r="CP67" s="68"/>
      <c r="CQ67" s="68"/>
      <c r="CR67" s="68"/>
      <c r="CS67" s="68"/>
      <c r="CT67" s="68"/>
      <c r="CU67" s="68"/>
      <c r="CV67" s="68"/>
      <c r="CW67" s="68"/>
      <c r="CX67" s="68"/>
      <c r="CY67" s="68"/>
      <c r="CZ67" s="68"/>
      <c r="DA67" s="68"/>
      <c r="DB67" s="68"/>
      <c r="DC67" s="68"/>
      <c r="DD67" s="68"/>
      <c r="DE67" s="68"/>
      <c r="DF67" s="68"/>
      <c r="DG67" s="68"/>
      <c r="DH67" s="68"/>
      <c r="DI67" s="68"/>
      <c r="DJ67" s="68"/>
      <c r="DK67" s="68"/>
      <c r="DL67" s="68"/>
      <c r="DM67" s="68"/>
      <c r="DN67" s="68"/>
      <c r="DO67" s="68"/>
      <c r="DP67" s="68"/>
      <c r="DQ67" s="68"/>
      <c r="DR67" s="68"/>
      <c r="DS67" s="68"/>
      <c r="DT67" s="68"/>
      <c r="DU67" s="68"/>
      <c r="DV67" s="68"/>
      <c r="DW67" s="68"/>
      <c r="DX67" s="68"/>
      <c r="DY67" s="68"/>
      <c r="DZ67" s="68"/>
      <c r="EA67" s="68"/>
      <c r="EB67" s="68"/>
      <c r="EC67" s="68"/>
      <c r="ED67" s="68"/>
      <c r="EE67" s="68"/>
      <c r="EF67" s="68"/>
      <c r="EG67" s="68"/>
      <c r="EH67" s="68"/>
      <c r="EI67" s="68"/>
      <c r="EJ67" s="68"/>
      <c r="EK67" s="68"/>
      <c r="EL67" s="68"/>
      <c r="EM67" s="68"/>
      <c r="EN67" s="68"/>
      <c r="EO67" s="68"/>
      <c r="EP67" s="68"/>
    </row>
    <row r="68" spans="1:146" customFormat="1" ht="13.5" thickTop="1">
      <c r="E68" s="235"/>
      <c r="F68" s="235"/>
      <c r="G68" s="235"/>
      <c r="H68" s="235"/>
      <c r="I68" s="235"/>
      <c r="J68" s="235"/>
      <c r="K68" s="235"/>
      <c r="L68" s="235"/>
      <c r="M68" s="235"/>
      <c r="N68" s="235"/>
      <c r="O68" s="235"/>
      <c r="P68" s="235"/>
    </row>
    <row r="69" spans="1:146" s="87" customFormat="1" ht="11.25">
      <c r="C69" s="73" t="s">
        <v>163</v>
      </c>
      <c r="D69" s="99"/>
      <c r="E69" s="228"/>
      <c r="F69" s="229"/>
      <c r="G69" s="229"/>
      <c r="H69" s="230"/>
      <c r="I69" s="231"/>
      <c r="J69" s="231"/>
      <c r="K69" s="231"/>
      <c r="L69" s="231"/>
      <c r="M69" s="231"/>
      <c r="N69" s="231"/>
      <c r="O69" s="231"/>
      <c r="P69" s="90"/>
      <c r="Q69" s="10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  <c r="AP69" s="89"/>
      <c r="AQ69" s="89"/>
      <c r="AR69" s="89"/>
      <c r="AS69" s="89"/>
      <c r="AT69" s="89"/>
      <c r="AU69" s="89"/>
      <c r="AV69" s="89"/>
      <c r="AW69" s="89"/>
      <c r="AX69" s="89"/>
      <c r="AY69" s="89"/>
      <c r="AZ69" s="89"/>
      <c r="BA69" s="89"/>
      <c r="BB69" s="89"/>
      <c r="BC69" s="89"/>
      <c r="BD69" s="89"/>
      <c r="BE69" s="89"/>
      <c r="BF69" s="89"/>
      <c r="BG69" s="89"/>
      <c r="BH69" s="89"/>
      <c r="BI69" s="89"/>
      <c r="BJ69" s="89"/>
      <c r="BK69" s="89"/>
      <c r="BL69" s="89"/>
      <c r="BM69" s="89"/>
      <c r="BN69" s="89"/>
      <c r="BO69" s="89"/>
      <c r="BP69" s="89"/>
      <c r="BQ69" s="89"/>
      <c r="BR69" s="89"/>
      <c r="BS69" s="89"/>
      <c r="BT69" s="89"/>
      <c r="BU69" s="89"/>
      <c r="BV69" s="89"/>
      <c r="BW69" s="89"/>
      <c r="BX69" s="89"/>
      <c r="BY69" s="89"/>
      <c r="BZ69" s="89"/>
      <c r="CA69" s="89"/>
      <c r="CB69" s="89"/>
      <c r="CC69" s="89"/>
      <c r="CD69" s="89"/>
      <c r="CE69" s="89"/>
      <c r="CF69" s="89"/>
      <c r="CG69" s="89"/>
      <c r="CH69" s="89"/>
      <c r="CI69" s="89"/>
      <c r="CJ69" s="89"/>
      <c r="CK69" s="89"/>
      <c r="CL69" s="89"/>
      <c r="CM69" s="89"/>
      <c r="CN69" s="89"/>
      <c r="CO69" s="89"/>
      <c r="CP69" s="89"/>
      <c r="CQ69" s="89"/>
      <c r="CR69" s="89"/>
      <c r="CS69" s="89"/>
      <c r="CT69" s="89"/>
      <c r="CU69" s="89"/>
      <c r="CV69" s="89"/>
      <c r="CW69" s="89"/>
      <c r="CX69" s="89"/>
      <c r="CY69" s="89"/>
      <c r="CZ69" s="89"/>
      <c r="DA69" s="89"/>
      <c r="DB69" s="89"/>
      <c r="DC69" s="89"/>
      <c r="DD69" s="89"/>
      <c r="DE69" s="89"/>
      <c r="DF69" s="89"/>
      <c r="DG69" s="89"/>
      <c r="DH69" s="89"/>
      <c r="DI69" s="89"/>
      <c r="DJ69" s="89"/>
      <c r="DK69" s="89"/>
      <c r="DL69" s="89"/>
      <c r="DM69" s="89"/>
      <c r="DN69" s="89"/>
      <c r="DO69" s="89"/>
      <c r="DP69" s="89"/>
      <c r="DQ69" s="89"/>
      <c r="DR69" s="89"/>
      <c r="DS69" s="89"/>
      <c r="DT69" s="89"/>
      <c r="DU69" s="89"/>
      <c r="DV69" s="89"/>
      <c r="DW69" s="89"/>
      <c r="DX69" s="89"/>
      <c r="DY69" s="89"/>
      <c r="DZ69" s="89"/>
      <c r="EA69" s="89"/>
      <c r="EB69" s="89"/>
      <c r="EC69" s="89"/>
      <c r="ED69" s="89"/>
      <c r="EE69" s="89"/>
      <c r="EF69" s="89"/>
      <c r="EG69" s="89"/>
      <c r="EH69" s="89"/>
      <c r="EI69" s="89"/>
      <c r="EJ69" s="89"/>
      <c r="EK69" s="89"/>
      <c r="EL69" s="89"/>
      <c r="EM69" s="89"/>
      <c r="EN69" s="89"/>
      <c r="EO69" s="89"/>
      <c r="EP69" s="89"/>
    </row>
    <row r="70" spans="1:146" s="87" customFormat="1" ht="11.25">
      <c r="B70" s="211" t="s">
        <v>8</v>
      </c>
      <c r="C70" s="213" t="s">
        <v>0</v>
      </c>
      <c r="D70" s="213" t="s">
        <v>7</v>
      </c>
      <c r="E70" s="232" t="s">
        <v>151</v>
      </c>
      <c r="F70" s="232" t="s">
        <v>152</v>
      </c>
      <c r="G70" s="232" t="s">
        <v>153</v>
      </c>
      <c r="H70" s="232" t="s">
        <v>154</v>
      </c>
      <c r="I70" s="232" t="s">
        <v>155</v>
      </c>
      <c r="J70" s="232" t="s">
        <v>156</v>
      </c>
      <c r="K70" s="232" t="s">
        <v>157</v>
      </c>
      <c r="L70" s="232" t="s">
        <v>158</v>
      </c>
      <c r="M70" s="232" t="s">
        <v>159</v>
      </c>
      <c r="N70" s="232" t="s">
        <v>160</v>
      </c>
      <c r="O70" s="232" t="s">
        <v>161</v>
      </c>
      <c r="P70" s="232" t="s">
        <v>162</v>
      </c>
      <c r="Q70" s="110" t="s">
        <v>2</v>
      </c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9"/>
      <c r="AT70" s="89"/>
      <c r="AU70" s="89"/>
      <c r="AV70" s="89"/>
      <c r="AW70" s="89"/>
      <c r="AX70" s="89"/>
      <c r="AY70" s="89"/>
      <c r="AZ70" s="89"/>
      <c r="BA70" s="89"/>
      <c r="BB70" s="89"/>
      <c r="BC70" s="89"/>
      <c r="BD70" s="89"/>
      <c r="BE70" s="89"/>
      <c r="BF70" s="89"/>
      <c r="BG70" s="89"/>
      <c r="BH70" s="89"/>
      <c r="BI70" s="89"/>
      <c r="BJ70" s="89"/>
      <c r="BK70" s="89"/>
      <c r="BL70" s="89"/>
      <c r="BM70" s="89"/>
      <c r="BN70" s="89"/>
      <c r="BO70" s="89"/>
      <c r="BP70" s="89"/>
      <c r="BQ70" s="89"/>
      <c r="BR70" s="89"/>
      <c r="BS70" s="89"/>
      <c r="BT70" s="89"/>
      <c r="BU70" s="89"/>
      <c r="BV70" s="89"/>
      <c r="BW70" s="89"/>
      <c r="BX70" s="89"/>
      <c r="BY70" s="89"/>
      <c r="BZ70" s="89"/>
      <c r="CA70" s="89"/>
      <c r="CB70" s="89"/>
      <c r="CC70" s="89"/>
      <c r="CD70" s="89"/>
      <c r="CE70" s="89"/>
      <c r="CF70" s="89"/>
      <c r="CG70" s="89"/>
      <c r="CH70" s="89"/>
      <c r="CI70" s="89"/>
      <c r="CJ70" s="89"/>
      <c r="CK70" s="89"/>
      <c r="CL70" s="89"/>
      <c r="CM70" s="89"/>
      <c r="CN70" s="89"/>
      <c r="CO70" s="89"/>
      <c r="CP70" s="89"/>
      <c r="CQ70" s="89"/>
      <c r="CR70" s="89"/>
      <c r="CS70" s="89"/>
      <c r="CT70" s="89"/>
      <c r="CU70" s="89"/>
      <c r="CV70" s="89"/>
      <c r="CW70" s="89"/>
      <c r="CX70" s="89"/>
      <c r="CY70" s="89"/>
      <c r="CZ70" s="89"/>
      <c r="DA70" s="89"/>
      <c r="DB70" s="89"/>
      <c r="DC70" s="89"/>
      <c r="DD70" s="89"/>
      <c r="DE70" s="89"/>
      <c r="DF70" s="89"/>
      <c r="DG70" s="89"/>
      <c r="DH70" s="89"/>
      <c r="DI70" s="89"/>
      <c r="DJ70" s="89"/>
      <c r="DK70" s="89"/>
      <c r="DL70" s="89"/>
      <c r="DM70" s="89"/>
      <c r="DN70" s="89"/>
      <c r="DO70" s="89"/>
      <c r="DP70" s="89"/>
      <c r="DQ70" s="89"/>
      <c r="DR70" s="89"/>
      <c r="DS70" s="89"/>
      <c r="DT70" s="89"/>
      <c r="DU70" s="89"/>
      <c r="DV70" s="89"/>
      <c r="DW70" s="89"/>
      <c r="DX70" s="89"/>
      <c r="DY70" s="89"/>
      <c r="DZ70" s="89"/>
      <c r="EA70" s="89"/>
      <c r="EB70" s="89"/>
      <c r="EC70" s="89"/>
      <c r="ED70" s="89"/>
      <c r="EE70" s="89"/>
      <c r="EF70" s="89"/>
      <c r="EG70" s="89"/>
      <c r="EH70" s="89"/>
      <c r="EI70" s="89"/>
      <c r="EJ70" s="89"/>
      <c r="EK70" s="89"/>
      <c r="EL70" s="89"/>
      <c r="EM70" s="89"/>
      <c r="EN70" s="89"/>
      <c r="EO70" s="89"/>
      <c r="EP70" s="89"/>
    </row>
    <row r="71" spans="1:146" s="87" customFormat="1" ht="11.25">
      <c r="C71" s="213"/>
      <c r="D71" s="213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2"/>
      <c r="P71" s="227"/>
      <c r="Q71" s="110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9"/>
      <c r="BF71" s="89"/>
      <c r="BG71" s="89"/>
      <c r="BH71" s="89"/>
      <c r="BI71" s="89"/>
      <c r="BJ71" s="89"/>
      <c r="BK71" s="89"/>
      <c r="BL71" s="89"/>
      <c r="BM71" s="89"/>
      <c r="BN71" s="89"/>
      <c r="BO71" s="89"/>
      <c r="BP71" s="89"/>
      <c r="BQ71" s="89"/>
      <c r="BR71" s="89"/>
      <c r="BS71" s="89"/>
      <c r="BT71" s="89"/>
      <c r="BU71" s="89"/>
      <c r="BV71" s="89"/>
      <c r="BW71" s="89"/>
      <c r="BX71" s="89"/>
      <c r="BY71" s="89"/>
      <c r="BZ71" s="89"/>
      <c r="CA71" s="89"/>
      <c r="CB71" s="89"/>
      <c r="CC71" s="89"/>
      <c r="CD71" s="89"/>
      <c r="CE71" s="89"/>
      <c r="CF71" s="89"/>
      <c r="CG71" s="89"/>
      <c r="CH71" s="89"/>
      <c r="CI71" s="89"/>
      <c r="CJ71" s="89"/>
      <c r="CK71" s="89"/>
      <c r="CL71" s="89"/>
      <c r="CM71" s="89"/>
      <c r="CN71" s="89"/>
      <c r="CO71" s="89"/>
      <c r="CP71" s="89"/>
      <c r="CQ71" s="89"/>
      <c r="CR71" s="89"/>
      <c r="CS71" s="89"/>
      <c r="CT71" s="89"/>
      <c r="CU71" s="89"/>
      <c r="CV71" s="89"/>
      <c r="CW71" s="89"/>
      <c r="CX71" s="89"/>
      <c r="CY71" s="89"/>
      <c r="CZ71" s="89"/>
      <c r="DA71" s="89"/>
      <c r="DB71" s="89"/>
      <c r="DC71" s="89"/>
      <c r="DD71" s="89"/>
      <c r="DE71" s="89"/>
      <c r="DF71" s="89"/>
      <c r="DG71" s="89"/>
      <c r="DH71" s="89"/>
      <c r="DI71" s="89"/>
      <c r="DJ71" s="89"/>
      <c r="DK71" s="89"/>
      <c r="DL71" s="89"/>
      <c r="DM71" s="89"/>
      <c r="DN71" s="89"/>
      <c r="DO71" s="89"/>
      <c r="DP71" s="89"/>
      <c r="DQ71" s="89"/>
      <c r="DR71" s="89"/>
      <c r="DS71" s="89"/>
      <c r="DT71" s="89"/>
      <c r="DU71" s="89"/>
      <c r="DV71" s="89"/>
      <c r="DW71" s="89"/>
      <c r="DX71" s="89"/>
      <c r="DY71" s="89"/>
      <c r="DZ71" s="89"/>
      <c r="EA71" s="89"/>
      <c r="EB71" s="89"/>
      <c r="EC71" s="89"/>
      <c r="ED71" s="89"/>
      <c r="EE71" s="89"/>
      <c r="EF71" s="89"/>
      <c r="EG71" s="89"/>
      <c r="EH71" s="89"/>
      <c r="EI71" s="89"/>
      <c r="EJ71" s="89"/>
      <c r="EK71" s="89"/>
      <c r="EL71" s="89"/>
      <c r="EM71" s="89"/>
      <c r="EN71" s="89"/>
      <c r="EO71" s="89"/>
      <c r="EP71" s="89"/>
    </row>
    <row r="72" spans="1:146" s="78" customFormat="1" ht="11.25">
      <c r="A72" s="87" t="str">
        <f>CONCATENATE($C$69,C72)</f>
        <v>EECRRESIDENTIAL SERVICE</v>
      </c>
      <c r="B72" s="83" t="s">
        <v>9</v>
      </c>
      <c r="C72" s="78" t="s">
        <v>17</v>
      </c>
      <c r="D72" s="85" t="s">
        <v>4</v>
      </c>
      <c r="E72" s="124">
        <v>1238036.48</v>
      </c>
      <c r="F72" s="124">
        <v>955747.88</v>
      </c>
      <c r="G72" s="124">
        <v>1112249.43</v>
      </c>
      <c r="H72" s="124">
        <v>1192858.27</v>
      </c>
      <c r="I72" s="124">
        <v>1049851.93</v>
      </c>
      <c r="J72" s="124">
        <v>852214.80999999994</v>
      </c>
      <c r="K72" s="124">
        <v>839735.04</v>
      </c>
      <c r="L72" s="124">
        <v>916881.64999999991</v>
      </c>
      <c r="M72" s="124">
        <v>1238649.04</v>
      </c>
      <c r="N72" s="124">
        <v>1617749.3299999998</v>
      </c>
      <c r="O72" s="124">
        <v>1633966.15</v>
      </c>
      <c r="P72" s="124">
        <v>1584846.7000000002</v>
      </c>
      <c r="Q72" s="90">
        <f>SUM(E72:P72)</f>
        <v>14232786.710000001</v>
      </c>
      <c r="R72" s="125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/>
      <c r="BF72" s="68"/>
      <c r="BG72" s="68"/>
      <c r="BH72" s="68"/>
      <c r="BI72" s="68"/>
      <c r="BJ72" s="68"/>
      <c r="BK72" s="68"/>
      <c r="BL72" s="68"/>
      <c r="BM72" s="68"/>
      <c r="BN72" s="68"/>
      <c r="BO72" s="68"/>
      <c r="BP72" s="68"/>
      <c r="BQ72" s="68"/>
      <c r="BR72" s="68"/>
      <c r="BS72" s="68"/>
      <c r="BT72" s="68"/>
      <c r="BU72" s="68"/>
      <c r="BV72" s="68"/>
      <c r="BW72" s="68"/>
      <c r="BX72" s="68"/>
      <c r="BY72" s="68"/>
      <c r="BZ72" s="68"/>
      <c r="CA72" s="68"/>
      <c r="CB72" s="68"/>
      <c r="CC72" s="68"/>
      <c r="CD72" s="68"/>
      <c r="CE72" s="68"/>
      <c r="CF72" s="68"/>
      <c r="CG72" s="68"/>
      <c r="CH72" s="68"/>
      <c r="CI72" s="68"/>
      <c r="CJ72" s="68"/>
      <c r="CK72" s="68"/>
      <c r="CL72" s="68"/>
      <c r="CM72" s="68"/>
      <c r="CN72" s="68"/>
      <c r="CO72" s="68"/>
      <c r="CP72" s="68"/>
      <c r="CQ72" s="68"/>
      <c r="CR72" s="68"/>
      <c r="CS72" s="68"/>
      <c r="CT72" s="68"/>
      <c r="CU72" s="68"/>
      <c r="CV72" s="68"/>
      <c r="CW72" s="68"/>
      <c r="CX72" s="68"/>
      <c r="CY72" s="68"/>
      <c r="CZ72" s="68"/>
      <c r="DA72" s="68"/>
      <c r="DB72" s="68"/>
      <c r="DC72" s="68"/>
      <c r="DD72" s="68"/>
      <c r="DE72" s="68"/>
      <c r="DF72" s="68"/>
      <c r="DG72" s="68"/>
      <c r="DH72" s="68"/>
      <c r="DI72" s="68"/>
      <c r="DJ72" s="68"/>
      <c r="DK72" s="68"/>
      <c r="DL72" s="68"/>
      <c r="DM72" s="68"/>
      <c r="DN72" s="68"/>
      <c r="DO72" s="68"/>
      <c r="DP72" s="68"/>
      <c r="DQ72" s="68"/>
      <c r="DR72" s="68"/>
      <c r="DS72" s="68"/>
      <c r="DT72" s="68"/>
      <c r="DU72" s="68"/>
      <c r="DV72" s="68"/>
      <c r="DW72" s="68"/>
      <c r="DX72" s="68"/>
      <c r="DY72" s="68"/>
      <c r="DZ72" s="68"/>
      <c r="EA72" s="68"/>
      <c r="EB72" s="68"/>
      <c r="EC72" s="68"/>
      <c r="ED72" s="68"/>
      <c r="EE72" s="68"/>
      <c r="EF72" s="68"/>
      <c r="EG72" s="68"/>
      <c r="EH72" s="68"/>
      <c r="EI72" s="68"/>
      <c r="EJ72" s="68"/>
      <c r="EK72" s="68"/>
      <c r="EL72" s="68"/>
      <c r="EM72" s="68"/>
      <c r="EN72" s="68"/>
      <c r="EO72" s="68"/>
      <c r="EP72" s="68"/>
    </row>
    <row r="73" spans="1:146" s="78" customFormat="1" ht="11.25">
      <c r="A73" s="87" t="str">
        <f t="shared" ref="A73:A96" si="8">CONCATENATE($C$69,C73)</f>
        <v>EECR</v>
      </c>
      <c r="D73" s="85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93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Q73" s="68"/>
      <c r="BR73" s="68"/>
      <c r="BS73" s="68"/>
      <c r="BT73" s="68"/>
      <c r="BU73" s="68"/>
      <c r="BV73" s="68"/>
      <c r="BW73" s="68"/>
      <c r="BX73" s="68"/>
      <c r="BY73" s="68"/>
      <c r="BZ73" s="68"/>
      <c r="CA73" s="68"/>
      <c r="CB73" s="68"/>
      <c r="CC73" s="68"/>
      <c r="CD73" s="68"/>
      <c r="CE73" s="68"/>
      <c r="CF73" s="68"/>
      <c r="CG73" s="68"/>
      <c r="CH73" s="68"/>
      <c r="CI73" s="68"/>
      <c r="CJ73" s="68"/>
      <c r="CK73" s="68"/>
      <c r="CL73" s="68"/>
      <c r="CM73" s="68"/>
      <c r="CN73" s="68"/>
      <c r="CO73" s="68"/>
      <c r="CP73" s="68"/>
      <c r="CQ73" s="68"/>
      <c r="CR73" s="68"/>
      <c r="CS73" s="68"/>
      <c r="CT73" s="68"/>
      <c r="CU73" s="68"/>
      <c r="CV73" s="68"/>
      <c r="CW73" s="68"/>
      <c r="CX73" s="68"/>
      <c r="CY73" s="68"/>
      <c r="CZ73" s="68"/>
      <c r="DA73" s="68"/>
      <c r="DB73" s="68"/>
      <c r="DC73" s="68"/>
      <c r="DD73" s="68"/>
      <c r="DE73" s="68"/>
      <c r="DF73" s="68"/>
      <c r="DG73" s="68"/>
      <c r="DH73" s="68"/>
      <c r="DI73" s="68"/>
      <c r="DJ73" s="68"/>
      <c r="DK73" s="68"/>
      <c r="DL73" s="68"/>
      <c r="DM73" s="68"/>
      <c r="DN73" s="68"/>
      <c r="DO73" s="68"/>
      <c r="DP73" s="68"/>
      <c r="DQ73" s="68"/>
      <c r="DR73" s="68"/>
      <c r="DS73" s="68"/>
      <c r="DT73" s="68"/>
      <c r="DU73" s="68"/>
      <c r="DV73" s="68"/>
      <c r="DW73" s="68"/>
      <c r="DX73" s="68"/>
      <c r="DY73" s="68"/>
      <c r="DZ73" s="68"/>
      <c r="EA73" s="68"/>
      <c r="EB73" s="68"/>
      <c r="EC73" s="68"/>
      <c r="ED73" s="68"/>
      <c r="EE73" s="68"/>
      <c r="EF73" s="68"/>
      <c r="EG73" s="68"/>
      <c r="EH73" s="68"/>
      <c r="EI73" s="68"/>
      <c r="EJ73" s="68"/>
      <c r="EK73" s="68"/>
      <c r="EL73" s="68"/>
      <c r="EM73" s="68"/>
      <c r="EN73" s="68"/>
      <c r="EO73" s="68"/>
      <c r="EP73" s="68"/>
    </row>
    <row r="74" spans="1:146" s="78" customFormat="1" ht="11.25">
      <c r="A74" s="87" t="str">
        <f t="shared" si="8"/>
        <v>EECRSECONDARY &lt; 10 kW</v>
      </c>
      <c r="B74" s="83">
        <v>2</v>
      </c>
      <c r="C74" s="78" t="s">
        <v>150</v>
      </c>
      <c r="D74" s="85" t="s">
        <v>4</v>
      </c>
      <c r="E74" s="124">
        <v>59343.25</v>
      </c>
      <c r="F74" s="124">
        <v>52530.240000000005</v>
      </c>
      <c r="G74" s="124">
        <v>55678.840000000004</v>
      </c>
      <c r="H74" s="124">
        <v>56356.270000000004</v>
      </c>
      <c r="I74" s="124">
        <v>51619.65</v>
      </c>
      <c r="J74" s="124">
        <v>41584.559999999998</v>
      </c>
      <c r="K74" s="124">
        <v>41330.89</v>
      </c>
      <c r="L74" s="124">
        <v>43295.68</v>
      </c>
      <c r="M74" s="124">
        <v>49499.380000000005</v>
      </c>
      <c r="N74" s="124">
        <v>57710.58</v>
      </c>
      <c r="O74" s="124">
        <v>59674.32</v>
      </c>
      <c r="P74" s="124">
        <v>59114.34</v>
      </c>
      <c r="Q74" s="93">
        <f>SUM(E74:P74)</f>
        <v>627738</v>
      </c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68"/>
      <c r="BF74" s="68"/>
      <c r="BG74" s="68"/>
      <c r="BH74" s="68"/>
      <c r="BI74" s="68"/>
      <c r="BJ74" s="68"/>
      <c r="BK74" s="68"/>
      <c r="BL74" s="68"/>
      <c r="BM74" s="68"/>
      <c r="BN74" s="68"/>
      <c r="BO74" s="68"/>
      <c r="BP74" s="68"/>
      <c r="BQ74" s="68"/>
      <c r="BR74" s="68"/>
      <c r="BS74" s="68"/>
      <c r="BT74" s="68"/>
      <c r="BU74" s="68"/>
      <c r="BV74" s="68"/>
      <c r="BW74" s="68"/>
      <c r="BX74" s="68"/>
      <c r="BY74" s="68"/>
      <c r="BZ74" s="68"/>
      <c r="CA74" s="68"/>
      <c r="CB74" s="68"/>
      <c r="CC74" s="68"/>
      <c r="CD74" s="68"/>
      <c r="CE74" s="68"/>
      <c r="CF74" s="68"/>
      <c r="CG74" s="68"/>
      <c r="CH74" s="68"/>
      <c r="CI74" s="68"/>
      <c r="CJ74" s="68"/>
      <c r="CK74" s="68"/>
      <c r="CL74" s="68"/>
      <c r="CM74" s="68"/>
      <c r="CN74" s="68"/>
      <c r="CO74" s="68"/>
      <c r="CP74" s="68"/>
      <c r="CQ74" s="68"/>
      <c r="CR74" s="68"/>
      <c r="CS74" s="68"/>
      <c r="CT74" s="68"/>
      <c r="CU74" s="68"/>
      <c r="CV74" s="68"/>
      <c r="CW74" s="68"/>
      <c r="CX74" s="68"/>
      <c r="CY74" s="68"/>
      <c r="CZ74" s="68"/>
      <c r="DA74" s="68"/>
      <c r="DB74" s="68"/>
      <c r="DC74" s="68"/>
      <c r="DD74" s="68"/>
      <c r="DE74" s="68"/>
      <c r="DF74" s="68"/>
      <c r="DG74" s="68"/>
      <c r="DH74" s="68"/>
      <c r="DI74" s="68"/>
      <c r="DJ74" s="68"/>
      <c r="DK74" s="68"/>
      <c r="DL74" s="68"/>
      <c r="DM74" s="68"/>
      <c r="DN74" s="68"/>
      <c r="DO74" s="68"/>
      <c r="DP74" s="68"/>
      <c r="DQ74" s="68"/>
      <c r="DR74" s="68"/>
      <c r="DS74" s="68"/>
      <c r="DT74" s="68"/>
      <c r="DU74" s="68"/>
      <c r="DV74" s="68"/>
      <c r="DW74" s="68"/>
      <c r="DX74" s="68"/>
      <c r="DY74" s="68"/>
      <c r="DZ74" s="68"/>
      <c r="EA74" s="68"/>
      <c r="EB74" s="68"/>
      <c r="EC74" s="68"/>
      <c r="ED74" s="68"/>
      <c r="EE74" s="68"/>
      <c r="EF74" s="68"/>
      <c r="EG74" s="68"/>
      <c r="EH74" s="68"/>
      <c r="EI74" s="68"/>
      <c r="EJ74" s="68"/>
      <c r="EK74" s="68"/>
      <c r="EL74" s="68"/>
      <c r="EM74" s="68"/>
      <c r="EN74" s="68"/>
      <c r="EO74" s="68"/>
      <c r="EP74" s="68"/>
    </row>
    <row r="75" spans="1:146" s="78" customFormat="1" ht="11.25">
      <c r="A75" s="87" t="str">
        <f t="shared" si="8"/>
        <v>EECR</v>
      </c>
      <c r="B75" s="83"/>
      <c r="D75" s="85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93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/>
      <c r="BJ75" s="68"/>
      <c r="BK75" s="68"/>
      <c r="BL75" s="68"/>
      <c r="BM75" s="68"/>
      <c r="BN75" s="68"/>
      <c r="BO75" s="68"/>
      <c r="BP75" s="68"/>
      <c r="BQ75" s="68"/>
      <c r="BR75" s="68"/>
      <c r="BS75" s="68"/>
      <c r="BT75" s="68"/>
      <c r="BU75" s="68"/>
      <c r="BV75" s="68"/>
      <c r="BW75" s="68"/>
      <c r="BX75" s="68"/>
      <c r="BY75" s="68"/>
      <c r="BZ75" s="68"/>
      <c r="CA75" s="68"/>
      <c r="CB75" s="68"/>
      <c r="CC75" s="68"/>
      <c r="CD75" s="68"/>
      <c r="CE75" s="68"/>
      <c r="CF75" s="68"/>
      <c r="CG75" s="68"/>
      <c r="CH75" s="68"/>
      <c r="CI75" s="68"/>
      <c r="CJ75" s="68"/>
      <c r="CK75" s="68"/>
      <c r="CL75" s="68"/>
      <c r="CM75" s="68"/>
      <c r="CN75" s="68"/>
      <c r="CO75" s="68"/>
      <c r="CP75" s="68"/>
      <c r="CQ75" s="68"/>
      <c r="CR75" s="68"/>
      <c r="CS75" s="68"/>
      <c r="CT75" s="68"/>
      <c r="CU75" s="68"/>
      <c r="CV75" s="68"/>
      <c r="CW75" s="68"/>
      <c r="CX75" s="68"/>
      <c r="CY75" s="68"/>
      <c r="CZ75" s="68"/>
      <c r="DA75" s="68"/>
      <c r="DB75" s="68"/>
      <c r="DC75" s="68"/>
      <c r="DD75" s="68"/>
      <c r="DE75" s="68"/>
      <c r="DF75" s="68"/>
      <c r="DG75" s="68"/>
      <c r="DH75" s="68"/>
      <c r="DI75" s="68"/>
      <c r="DJ75" s="68"/>
      <c r="DK75" s="68"/>
      <c r="DL75" s="68"/>
      <c r="DM75" s="68"/>
      <c r="DN75" s="68"/>
      <c r="DO75" s="68"/>
      <c r="DP75" s="68"/>
      <c r="DQ75" s="68"/>
      <c r="DR75" s="68"/>
      <c r="DS75" s="68"/>
      <c r="DT75" s="68"/>
      <c r="DU75" s="68"/>
      <c r="DV75" s="68"/>
      <c r="DW75" s="68"/>
      <c r="DX75" s="68"/>
      <c r="DY75" s="68"/>
      <c r="DZ75" s="68"/>
      <c r="EA75" s="68"/>
      <c r="EB75" s="68"/>
      <c r="EC75" s="68"/>
      <c r="ED75" s="68"/>
      <c r="EE75" s="68"/>
      <c r="EF75" s="68"/>
      <c r="EG75" s="68"/>
      <c r="EH75" s="68"/>
      <c r="EI75" s="68"/>
      <c r="EJ75" s="68"/>
      <c r="EK75" s="68"/>
      <c r="EL75" s="68"/>
      <c r="EM75" s="68"/>
      <c r="EN75" s="68"/>
      <c r="EO75" s="68"/>
      <c r="EP75" s="68"/>
    </row>
    <row r="76" spans="1:146" s="78" customFormat="1" ht="11.25">
      <c r="A76" s="87" t="str">
        <f t="shared" si="8"/>
        <v>EECRSECONDARY &gt; 10 kW NCP</v>
      </c>
      <c r="B76" s="83">
        <v>3</v>
      </c>
      <c r="C76" s="87" t="s">
        <v>81</v>
      </c>
      <c r="D76" s="74" t="s">
        <v>4</v>
      </c>
      <c r="E76" s="124">
        <v>772879.07999999984</v>
      </c>
      <c r="F76" s="124">
        <v>663295.70000000019</v>
      </c>
      <c r="G76" s="124">
        <v>666360.06999999995</v>
      </c>
      <c r="H76" s="124">
        <v>668749.16999999993</v>
      </c>
      <c r="I76" s="124">
        <v>610872.43000000005</v>
      </c>
      <c r="J76" s="124">
        <v>540613.80999999994</v>
      </c>
      <c r="K76" s="124">
        <v>555774.11999999988</v>
      </c>
      <c r="L76" s="124">
        <v>586696.75</v>
      </c>
      <c r="M76" s="124">
        <v>685613.79000000015</v>
      </c>
      <c r="N76" s="124">
        <v>794254.8899999999</v>
      </c>
      <c r="O76" s="124">
        <v>805852.25000000012</v>
      </c>
      <c r="P76" s="124">
        <v>811342.10000000009</v>
      </c>
      <c r="Q76" s="93">
        <f>SUM(E76:P76)</f>
        <v>8162304.1600000001</v>
      </c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68"/>
      <c r="BC76" s="68"/>
      <c r="BD76" s="68"/>
      <c r="BE76" s="68"/>
      <c r="BF76" s="68"/>
      <c r="BG76" s="68"/>
      <c r="BH76" s="68"/>
      <c r="BI76" s="68"/>
      <c r="BJ76" s="68"/>
      <c r="BK76" s="68"/>
      <c r="BL76" s="68"/>
      <c r="BM76" s="68"/>
      <c r="BN76" s="68"/>
      <c r="BO76" s="68"/>
      <c r="BP76" s="68"/>
      <c r="BQ76" s="68"/>
      <c r="BR76" s="68"/>
      <c r="BS76" s="68"/>
      <c r="BT76" s="68"/>
      <c r="BU76" s="68"/>
      <c r="BV76" s="68"/>
      <c r="BW76" s="68"/>
      <c r="BX76" s="68"/>
      <c r="BY76" s="68"/>
      <c r="BZ76" s="68"/>
      <c r="CA76" s="68"/>
      <c r="CB76" s="68"/>
      <c r="CC76" s="68"/>
      <c r="CD76" s="68"/>
      <c r="CE76" s="68"/>
      <c r="CF76" s="68"/>
      <c r="CG76" s="68"/>
      <c r="CH76" s="68"/>
      <c r="CI76" s="68"/>
      <c r="CJ76" s="68"/>
      <c r="CK76" s="68"/>
      <c r="CL76" s="68"/>
      <c r="CM76" s="68"/>
      <c r="CN76" s="68"/>
      <c r="CO76" s="68"/>
      <c r="CP76" s="68"/>
      <c r="CQ76" s="68"/>
      <c r="CR76" s="68"/>
      <c r="CS76" s="68"/>
      <c r="CT76" s="68"/>
      <c r="CU76" s="68"/>
      <c r="CV76" s="68"/>
      <c r="CW76" s="68"/>
      <c r="CX76" s="68"/>
      <c r="CY76" s="68"/>
      <c r="CZ76" s="68"/>
      <c r="DA76" s="68"/>
      <c r="DB76" s="68"/>
      <c r="DC76" s="68"/>
      <c r="DD76" s="68"/>
      <c r="DE76" s="68"/>
      <c r="DF76" s="68"/>
      <c r="DG76" s="68"/>
      <c r="DH76" s="68"/>
      <c r="DI76" s="68"/>
      <c r="DJ76" s="68"/>
      <c r="DK76" s="68"/>
      <c r="DL76" s="68"/>
      <c r="DM76" s="68"/>
      <c r="DN76" s="68"/>
      <c r="DO76" s="68"/>
      <c r="DP76" s="68"/>
      <c r="DQ76" s="68"/>
      <c r="DR76" s="68"/>
      <c r="DS76" s="68"/>
      <c r="DT76" s="68"/>
      <c r="DU76" s="68"/>
      <c r="DV76" s="68"/>
      <c r="DW76" s="68"/>
      <c r="DX76" s="68"/>
      <c r="DY76" s="68"/>
      <c r="DZ76" s="68"/>
      <c r="EA76" s="68"/>
      <c r="EB76" s="68"/>
      <c r="EC76" s="68"/>
      <c r="ED76" s="68"/>
      <c r="EE76" s="68"/>
      <c r="EF76" s="68"/>
      <c r="EG76" s="68"/>
      <c r="EH76" s="68"/>
      <c r="EI76" s="68"/>
      <c r="EJ76" s="68"/>
      <c r="EK76" s="68"/>
      <c r="EL76" s="68"/>
      <c r="EM76" s="68"/>
      <c r="EN76" s="68"/>
      <c r="EO76" s="68"/>
      <c r="EP76" s="68"/>
    </row>
    <row r="77" spans="1:146" s="78" customFormat="1" ht="11.25">
      <c r="A77" s="87" t="str">
        <f t="shared" si="8"/>
        <v>EECRSECONDARY &gt; 10 kW 4CP</v>
      </c>
      <c r="B77" s="83">
        <v>4</v>
      </c>
      <c r="C77" s="87" t="s">
        <v>85</v>
      </c>
      <c r="D77" s="74" t="s">
        <v>4</v>
      </c>
      <c r="E77" s="149">
        <v>128164.57999999999</v>
      </c>
      <c r="F77" s="149">
        <v>115049.15000000001</v>
      </c>
      <c r="G77" s="149">
        <v>118271.59999999998</v>
      </c>
      <c r="H77" s="149">
        <v>112842.44</v>
      </c>
      <c r="I77" s="149">
        <v>103137.51</v>
      </c>
      <c r="J77" s="149">
        <v>91098.98</v>
      </c>
      <c r="K77" s="149">
        <v>96399.98000000001</v>
      </c>
      <c r="L77" s="149">
        <v>97832.040000000008</v>
      </c>
      <c r="M77" s="149">
        <v>109665.72</v>
      </c>
      <c r="N77" s="149">
        <v>118879.15</v>
      </c>
      <c r="O77" s="149">
        <v>123056.49</v>
      </c>
      <c r="P77" s="149">
        <v>132703.93</v>
      </c>
      <c r="Q77" s="72">
        <f>SUM(E77:P77)</f>
        <v>1347101.5699999998</v>
      </c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8"/>
      <c r="BK77" s="68"/>
      <c r="BL77" s="68"/>
      <c r="BM77" s="68"/>
      <c r="BN77" s="68"/>
      <c r="BO77" s="68"/>
      <c r="BP77" s="68"/>
      <c r="BQ77" s="68"/>
      <c r="BR77" s="68"/>
      <c r="BS77" s="68"/>
      <c r="BT77" s="68"/>
      <c r="BU77" s="68"/>
      <c r="BV77" s="68"/>
      <c r="BW77" s="68"/>
      <c r="BX77" s="68"/>
      <c r="BY77" s="68"/>
      <c r="BZ77" s="68"/>
      <c r="CA77" s="68"/>
      <c r="CB77" s="68"/>
      <c r="CC77" s="68"/>
      <c r="CD77" s="68"/>
      <c r="CE77" s="68"/>
      <c r="CF77" s="68"/>
      <c r="CG77" s="68"/>
      <c r="CH77" s="68"/>
      <c r="CI77" s="68"/>
      <c r="CJ77" s="68"/>
      <c r="CK77" s="68"/>
      <c r="CL77" s="68"/>
      <c r="CM77" s="68"/>
      <c r="CN77" s="68"/>
      <c r="CO77" s="68"/>
      <c r="CP77" s="68"/>
      <c r="CQ77" s="68"/>
      <c r="CR77" s="68"/>
      <c r="CS77" s="68"/>
      <c r="CT77" s="68"/>
      <c r="CU77" s="68"/>
      <c r="CV77" s="68"/>
      <c r="CW77" s="68"/>
      <c r="CX77" s="68"/>
      <c r="CY77" s="68"/>
      <c r="CZ77" s="68"/>
      <c r="DA77" s="68"/>
      <c r="DB77" s="68"/>
      <c r="DC77" s="68"/>
      <c r="DD77" s="68"/>
      <c r="DE77" s="68"/>
      <c r="DF77" s="68"/>
      <c r="DG77" s="68"/>
      <c r="DH77" s="68"/>
      <c r="DI77" s="68"/>
      <c r="DJ77" s="68"/>
      <c r="DK77" s="68"/>
      <c r="DL77" s="68"/>
      <c r="DM77" s="68"/>
      <c r="DN77" s="68"/>
      <c r="DO77" s="68"/>
      <c r="DP77" s="68"/>
      <c r="DQ77" s="68"/>
      <c r="DR77" s="68"/>
      <c r="DS77" s="68"/>
      <c r="DT77" s="68"/>
      <c r="DU77" s="68"/>
      <c r="DV77" s="68"/>
      <c r="DW77" s="68"/>
      <c r="DX77" s="68"/>
      <c r="DY77" s="68"/>
      <c r="DZ77" s="68"/>
      <c r="EA77" s="68"/>
      <c r="EB77" s="68"/>
      <c r="EC77" s="68"/>
      <c r="ED77" s="68"/>
      <c r="EE77" s="68"/>
      <c r="EF77" s="68"/>
      <c r="EG77" s="68"/>
      <c r="EH77" s="68"/>
      <c r="EI77" s="68"/>
      <c r="EJ77" s="68"/>
      <c r="EK77" s="68"/>
      <c r="EL77" s="68"/>
      <c r="EM77" s="68"/>
      <c r="EN77" s="68"/>
      <c r="EO77" s="68"/>
      <c r="EP77" s="68"/>
    </row>
    <row r="78" spans="1:146" s="78" customFormat="1" ht="11.25">
      <c r="A78" s="87" t="str">
        <f t="shared" si="8"/>
        <v>EECRTOTAL SECONDARY &gt; 10 kW</v>
      </c>
      <c r="B78" s="83">
        <v>5</v>
      </c>
      <c r="C78" s="96" t="s">
        <v>18</v>
      </c>
      <c r="D78" s="85"/>
      <c r="E78" s="231">
        <f>SUM(E76:E77)</f>
        <v>901043.6599999998</v>
      </c>
      <c r="F78" s="231">
        <f t="shared" ref="F78:Q78" si="9">SUM(F76:F77)</f>
        <v>778344.85000000021</v>
      </c>
      <c r="G78" s="231">
        <f t="shared" si="9"/>
        <v>784631.66999999993</v>
      </c>
      <c r="H78" s="231">
        <f t="shared" si="9"/>
        <v>781591.60999999987</v>
      </c>
      <c r="I78" s="231">
        <f t="shared" si="9"/>
        <v>714009.94000000006</v>
      </c>
      <c r="J78" s="231">
        <f t="shared" si="9"/>
        <v>631712.78999999992</v>
      </c>
      <c r="K78" s="231">
        <f t="shared" si="9"/>
        <v>652174.09999999986</v>
      </c>
      <c r="L78" s="231">
        <f t="shared" si="9"/>
        <v>684528.79</v>
      </c>
      <c r="M78" s="231">
        <f t="shared" si="9"/>
        <v>795279.51000000013</v>
      </c>
      <c r="N78" s="231">
        <f t="shared" si="9"/>
        <v>913134.03999999992</v>
      </c>
      <c r="O78" s="231">
        <f t="shared" si="9"/>
        <v>928908.74000000011</v>
      </c>
      <c r="P78" s="231">
        <f t="shared" si="9"/>
        <v>944046.03</v>
      </c>
      <c r="Q78" s="231">
        <f t="shared" si="9"/>
        <v>9509405.7300000004</v>
      </c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  <c r="BD78" s="68"/>
      <c r="BE78" s="68"/>
      <c r="BF78" s="68"/>
      <c r="BG78" s="68"/>
      <c r="BH78" s="68"/>
      <c r="BI78" s="68"/>
      <c r="BJ78" s="68"/>
      <c r="BK78" s="68"/>
      <c r="BL78" s="68"/>
      <c r="BM78" s="68"/>
      <c r="BN78" s="68"/>
      <c r="BO78" s="68"/>
      <c r="BP78" s="68"/>
      <c r="BQ78" s="68"/>
      <c r="BR78" s="68"/>
      <c r="BS78" s="68"/>
      <c r="BT78" s="68"/>
      <c r="BU78" s="68"/>
      <c r="BV78" s="68"/>
      <c r="BW78" s="68"/>
      <c r="BX78" s="68"/>
      <c r="BY78" s="68"/>
      <c r="BZ78" s="68"/>
      <c r="CA78" s="68"/>
      <c r="CB78" s="68"/>
      <c r="CC78" s="68"/>
      <c r="CD78" s="68"/>
      <c r="CE78" s="68"/>
      <c r="CF78" s="68"/>
      <c r="CG78" s="68"/>
      <c r="CH78" s="68"/>
      <c r="CI78" s="68"/>
      <c r="CJ78" s="68"/>
      <c r="CK78" s="68"/>
      <c r="CL78" s="68"/>
      <c r="CM78" s="68"/>
      <c r="CN78" s="68"/>
      <c r="CO78" s="68"/>
      <c r="CP78" s="68"/>
      <c r="CQ78" s="68"/>
      <c r="CR78" s="68"/>
      <c r="CS78" s="68"/>
      <c r="CT78" s="68"/>
      <c r="CU78" s="68"/>
      <c r="CV78" s="68"/>
      <c r="CW78" s="68"/>
      <c r="CX78" s="68"/>
      <c r="CY78" s="68"/>
      <c r="CZ78" s="68"/>
      <c r="DA78" s="68"/>
      <c r="DB78" s="68"/>
      <c r="DC78" s="68"/>
      <c r="DD78" s="68"/>
      <c r="DE78" s="68"/>
      <c r="DF78" s="68"/>
      <c r="DG78" s="68"/>
      <c r="DH78" s="68"/>
      <c r="DI78" s="68"/>
      <c r="DJ78" s="68"/>
      <c r="DK78" s="68"/>
      <c r="DL78" s="68"/>
      <c r="DM78" s="68"/>
      <c r="DN78" s="68"/>
      <c r="DO78" s="68"/>
      <c r="DP78" s="68"/>
      <c r="DQ78" s="68"/>
      <c r="DR78" s="68"/>
      <c r="DS78" s="68"/>
      <c r="DT78" s="68"/>
      <c r="DU78" s="68"/>
      <c r="DV78" s="68"/>
      <c r="DW78" s="68"/>
      <c r="DX78" s="68"/>
      <c r="DY78" s="68"/>
      <c r="DZ78" s="68"/>
      <c r="EA78" s="68"/>
      <c r="EB78" s="68"/>
      <c r="EC78" s="68"/>
      <c r="ED78" s="68"/>
      <c r="EE78" s="68"/>
      <c r="EF78" s="68"/>
      <c r="EG78" s="68"/>
      <c r="EH78" s="68"/>
      <c r="EI78" s="68"/>
      <c r="EJ78" s="68"/>
      <c r="EK78" s="68"/>
      <c r="EL78" s="68"/>
      <c r="EM78" s="68"/>
      <c r="EN78" s="68"/>
      <c r="EO78" s="68"/>
      <c r="EP78" s="68"/>
    </row>
    <row r="79" spans="1:146" s="78" customFormat="1" ht="11.25">
      <c r="A79" s="87" t="str">
        <f t="shared" si="8"/>
        <v>EECR</v>
      </c>
      <c r="C79" s="146"/>
      <c r="D79" s="85"/>
      <c r="E79" s="231"/>
      <c r="F79" s="231"/>
      <c r="G79" s="231"/>
      <c r="H79" s="231"/>
      <c r="I79" s="231"/>
      <c r="J79" s="231"/>
      <c r="K79" s="231"/>
      <c r="L79" s="231"/>
      <c r="M79" s="231"/>
      <c r="N79" s="231"/>
      <c r="O79" s="231"/>
      <c r="P79" s="90"/>
      <c r="Q79" s="71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  <c r="BH79" s="68"/>
      <c r="BI79" s="68"/>
      <c r="BJ79" s="68"/>
      <c r="BK79" s="68"/>
      <c r="BL79" s="68"/>
      <c r="BM79" s="68"/>
      <c r="BN79" s="68"/>
      <c r="BO79" s="68"/>
      <c r="BP79" s="68"/>
      <c r="BQ79" s="68"/>
      <c r="BR79" s="68"/>
      <c r="BS79" s="68"/>
      <c r="BT79" s="68"/>
      <c r="BU79" s="68"/>
      <c r="BV79" s="68"/>
      <c r="BW79" s="68"/>
      <c r="BX79" s="68"/>
      <c r="BY79" s="68"/>
      <c r="BZ79" s="68"/>
      <c r="CA79" s="68"/>
      <c r="CB79" s="68"/>
      <c r="CC79" s="68"/>
      <c r="CD79" s="68"/>
      <c r="CE79" s="68"/>
      <c r="CF79" s="68"/>
      <c r="CG79" s="68"/>
      <c r="CH79" s="68"/>
      <c r="CI79" s="68"/>
      <c r="CJ79" s="68"/>
      <c r="CK79" s="68"/>
      <c r="CL79" s="68"/>
      <c r="CM79" s="68"/>
      <c r="CN79" s="68"/>
      <c r="CO79" s="68"/>
      <c r="CP79" s="68"/>
      <c r="CQ79" s="68"/>
      <c r="CR79" s="68"/>
      <c r="CS79" s="68"/>
      <c r="CT79" s="68"/>
      <c r="CU79" s="68"/>
      <c r="CV79" s="68"/>
      <c r="CW79" s="68"/>
      <c r="CX79" s="68"/>
      <c r="CY79" s="68"/>
      <c r="CZ79" s="68"/>
      <c r="DA79" s="68"/>
      <c r="DB79" s="68"/>
      <c r="DC79" s="68"/>
      <c r="DD79" s="68"/>
      <c r="DE79" s="68"/>
      <c r="DF79" s="68"/>
      <c r="DG79" s="68"/>
      <c r="DH79" s="68"/>
      <c r="DI79" s="68"/>
      <c r="DJ79" s="68"/>
      <c r="DK79" s="68"/>
      <c r="DL79" s="68"/>
      <c r="DM79" s="68"/>
      <c r="DN79" s="68"/>
      <c r="DO79" s="68"/>
      <c r="DP79" s="68"/>
      <c r="DQ79" s="68"/>
      <c r="DR79" s="68"/>
      <c r="DS79" s="68"/>
      <c r="DT79" s="68"/>
      <c r="DU79" s="68"/>
      <c r="DV79" s="68"/>
      <c r="DW79" s="68"/>
      <c r="DX79" s="68"/>
      <c r="DY79" s="68"/>
      <c r="DZ79" s="68"/>
      <c r="EA79" s="68"/>
      <c r="EB79" s="68"/>
      <c r="EC79" s="68"/>
      <c r="ED79" s="68"/>
      <c r="EE79" s="68"/>
      <c r="EF79" s="68"/>
      <c r="EG79" s="68"/>
      <c r="EH79" s="68"/>
      <c r="EI79" s="68"/>
      <c r="EJ79" s="68"/>
      <c r="EK79" s="68"/>
      <c r="EL79" s="68"/>
      <c r="EM79" s="68"/>
      <c r="EN79" s="68"/>
      <c r="EO79" s="68"/>
      <c r="EP79" s="68"/>
    </row>
    <row r="80" spans="1:146" s="78" customFormat="1" ht="11.25">
      <c r="A80" s="87" t="str">
        <f t="shared" si="8"/>
        <v>EECRPRIMARY NCP</v>
      </c>
      <c r="B80" s="83">
        <v>6</v>
      </c>
      <c r="C80" s="87" t="s">
        <v>82</v>
      </c>
      <c r="D80" s="74" t="s">
        <v>5</v>
      </c>
      <c r="E80" s="124">
        <f>4991.75-E82</f>
        <v>4881.74</v>
      </c>
      <c r="F80" s="124">
        <f>4912.08-F82</f>
        <v>4807.42</v>
      </c>
      <c r="G80" s="124">
        <f>5406.09-G82</f>
        <v>5287.01</v>
      </c>
      <c r="H80" s="124">
        <f>4947.6-H82</f>
        <v>4854.0600000000004</v>
      </c>
      <c r="I80" s="124">
        <f>4926.88-I82</f>
        <v>4832.1900000000005</v>
      </c>
      <c r="J80" s="124">
        <f>9445.7-J82</f>
        <v>9235.1</v>
      </c>
      <c r="K80" s="124">
        <f>10184.2-K82</f>
        <v>9963.25</v>
      </c>
      <c r="L80" s="124">
        <f>11189.28-L82</f>
        <v>10943.810000000001</v>
      </c>
      <c r="M80" s="124">
        <f>10572.33-M82</f>
        <v>10307.94</v>
      </c>
      <c r="N80" s="124">
        <f>11065.99-N82</f>
        <v>10802.16</v>
      </c>
      <c r="O80" s="124">
        <f>11121.37-O82</f>
        <v>10874.660000000002</v>
      </c>
      <c r="P80" s="124">
        <f>11470.65-P82</f>
        <v>11212.869999999999</v>
      </c>
      <c r="Q80" s="93">
        <f>SUM(E80:P80)</f>
        <v>98002.21</v>
      </c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</row>
    <row r="81" spans="1:146" s="78" customFormat="1" ht="11.25">
      <c r="A81" s="87" t="str">
        <f t="shared" si="8"/>
        <v>EECRPRIMARY 4CP</v>
      </c>
      <c r="B81" s="83">
        <v>7</v>
      </c>
      <c r="C81" s="87" t="s">
        <v>83</v>
      </c>
      <c r="D81" s="74" t="s">
        <v>5</v>
      </c>
      <c r="E81" s="124">
        <f>84989.08-E83</f>
        <v>67000.070000000007</v>
      </c>
      <c r="F81" s="124">
        <f>82698.77-F83</f>
        <v>65507.19</v>
      </c>
      <c r="G81" s="124">
        <f>83814.96-G83</f>
        <v>66426.900000000009</v>
      </c>
      <c r="H81" s="124">
        <f>87203.9-H83</f>
        <v>67169.19</v>
      </c>
      <c r="I81" s="124">
        <f>80150.9-I83</f>
        <v>61798.259999999995</v>
      </c>
      <c r="J81" s="124">
        <f>137353.04-J83</f>
        <v>107305.75</v>
      </c>
      <c r="K81" s="124">
        <f>146736.52-K83</f>
        <v>114001.19</v>
      </c>
      <c r="L81" s="124">
        <f>151520.85-L83</f>
        <v>122546.26000000002</v>
      </c>
      <c r="M81" s="124">
        <f>155517.92-M83</f>
        <v>126753.93000000002</v>
      </c>
      <c r="N81" s="124">
        <f>155660.57-N83</f>
        <v>131267.99</v>
      </c>
      <c r="O81" s="124">
        <f>158844.4-O83</f>
        <v>133034.65</v>
      </c>
      <c r="P81" s="124">
        <f>158379.66-P83</f>
        <v>131435.9</v>
      </c>
      <c r="Q81" s="103">
        <f>SUM(E81:P81)</f>
        <v>1194247.28</v>
      </c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</row>
    <row r="82" spans="1:146" s="78" customFormat="1" ht="11.25">
      <c r="A82" s="87" t="str">
        <f t="shared" si="8"/>
        <v>EECRPRIMARY SUB NCP</v>
      </c>
      <c r="B82" s="83">
        <v>8</v>
      </c>
      <c r="C82" s="87" t="s">
        <v>148</v>
      </c>
      <c r="D82" s="74" t="s">
        <v>5</v>
      </c>
      <c r="E82" s="124">
        <f>+'Prm Sb Rev Rider'!HA72</f>
        <v>110.01</v>
      </c>
      <c r="F82" s="124">
        <f>+'Prm Sb Rev Rider'!HB72</f>
        <v>104.66</v>
      </c>
      <c r="G82" s="124">
        <f>+'Prm Sb Rev Rider'!HC72</f>
        <v>119.08000000000001</v>
      </c>
      <c r="H82" s="124">
        <f>+'Prm Sb Rev Rider'!HD72</f>
        <v>93.539999999999992</v>
      </c>
      <c r="I82" s="124">
        <f>+'Prm Sb Rev Rider'!HE72</f>
        <v>94.69</v>
      </c>
      <c r="J82" s="124">
        <f>+'Prm Sb Rev Rider'!HF72</f>
        <v>210.6</v>
      </c>
      <c r="K82" s="124">
        <f>+'Prm Sb Rev Rider'!HG72</f>
        <v>220.95000000000002</v>
      </c>
      <c r="L82" s="124">
        <f>+'Prm Sb Rev Rider'!HH72</f>
        <v>245.47000000000003</v>
      </c>
      <c r="M82" s="124">
        <f>+'Prm Sb Rev Rider'!HI72</f>
        <v>264.39</v>
      </c>
      <c r="N82" s="124">
        <f>+'Prm Sb Rev Rider'!HJ72</f>
        <v>263.83</v>
      </c>
      <c r="O82" s="124">
        <f>+'Prm Sb Rev Rider'!HK72</f>
        <v>246.70999999999998</v>
      </c>
      <c r="P82" s="124">
        <f>+'Prm Sb Rev Rider'!HL72</f>
        <v>257.77999999999997</v>
      </c>
      <c r="Q82" s="103">
        <f>SUM(E82:P82)</f>
        <v>2231.71</v>
      </c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68"/>
      <c r="AR82" s="68"/>
      <c r="AS82" s="68"/>
      <c r="AT82" s="68"/>
      <c r="AU82" s="68"/>
      <c r="AV82" s="68"/>
      <c r="AW82" s="68"/>
      <c r="AX82" s="68"/>
      <c r="AY82" s="68"/>
      <c r="AZ82" s="68"/>
      <c r="BA82" s="68"/>
      <c r="BB82" s="68"/>
      <c r="BC82" s="68"/>
      <c r="BD82" s="68"/>
      <c r="BE82" s="68"/>
      <c r="BF82" s="68"/>
      <c r="BG82" s="68"/>
      <c r="BH82" s="68"/>
      <c r="BI82" s="68"/>
      <c r="BJ82" s="68"/>
      <c r="BK82" s="68"/>
      <c r="BL82" s="68"/>
      <c r="BM82" s="68"/>
      <c r="BN82" s="68"/>
      <c r="BO82" s="68"/>
      <c r="BP82" s="68"/>
      <c r="BQ82" s="68"/>
      <c r="BR82" s="68"/>
      <c r="BS82" s="68"/>
      <c r="BT82" s="68"/>
      <c r="BU82" s="68"/>
      <c r="BV82" s="68"/>
      <c r="BW82" s="68"/>
      <c r="BX82" s="68"/>
      <c r="BY82" s="68"/>
      <c r="BZ82" s="68"/>
      <c r="CA82" s="68"/>
      <c r="CB82" s="68"/>
      <c r="CC82" s="68"/>
      <c r="CD82" s="68"/>
      <c r="CE82" s="68"/>
      <c r="CF82" s="68"/>
      <c r="CG82" s="68"/>
      <c r="CH82" s="68"/>
      <c r="CI82" s="68"/>
      <c r="CJ82" s="68"/>
      <c r="CK82" s="68"/>
      <c r="CL82" s="68"/>
      <c r="CM82" s="68"/>
      <c r="CN82" s="68"/>
      <c r="CO82" s="68"/>
      <c r="CP82" s="68"/>
      <c r="CQ82" s="68"/>
      <c r="CR82" s="68"/>
      <c r="CS82" s="68"/>
      <c r="CT82" s="68"/>
      <c r="CU82" s="68"/>
      <c r="CV82" s="68"/>
      <c r="CW82" s="68"/>
      <c r="CX82" s="68"/>
      <c r="CY82" s="68"/>
      <c r="CZ82" s="68"/>
      <c r="DA82" s="68"/>
      <c r="DB82" s="68"/>
      <c r="DC82" s="68"/>
      <c r="DD82" s="68"/>
      <c r="DE82" s="68"/>
      <c r="DF82" s="68"/>
      <c r="DG82" s="68"/>
      <c r="DH82" s="68"/>
      <c r="DI82" s="68"/>
      <c r="DJ82" s="68"/>
      <c r="DK82" s="68"/>
      <c r="DL82" s="68"/>
      <c r="DM82" s="68"/>
      <c r="DN82" s="68"/>
      <c r="DO82" s="68"/>
      <c r="DP82" s="68"/>
      <c r="DQ82" s="68"/>
      <c r="DR82" s="68"/>
      <c r="DS82" s="68"/>
      <c r="DT82" s="68"/>
      <c r="DU82" s="68"/>
      <c r="DV82" s="68"/>
      <c r="DW82" s="68"/>
      <c r="DX82" s="68"/>
      <c r="DY82" s="68"/>
      <c r="DZ82" s="68"/>
      <c r="EA82" s="68"/>
      <c r="EB82" s="68"/>
      <c r="EC82" s="68"/>
      <c r="ED82" s="68"/>
      <c r="EE82" s="68"/>
      <c r="EF82" s="68"/>
      <c r="EG82" s="68"/>
      <c r="EH82" s="68"/>
      <c r="EI82" s="68"/>
      <c r="EJ82" s="68"/>
      <c r="EK82" s="68"/>
      <c r="EL82" s="68"/>
      <c r="EM82" s="68"/>
      <c r="EN82" s="68"/>
      <c r="EO82" s="68"/>
      <c r="EP82" s="68"/>
    </row>
    <row r="83" spans="1:146" s="78" customFormat="1" ht="11.25">
      <c r="A83" s="87" t="str">
        <f t="shared" si="8"/>
        <v>EECRPRIMARY SUB 4CP</v>
      </c>
      <c r="B83" s="83">
        <v>9</v>
      </c>
      <c r="C83" s="87" t="s">
        <v>149</v>
      </c>
      <c r="D83" s="74" t="s">
        <v>5</v>
      </c>
      <c r="E83" s="124">
        <f>+'Prm Sb Rev Rider'!HA60+'Prm Sb Rev Rider'!HA62</f>
        <v>17989.009999999998</v>
      </c>
      <c r="F83" s="124">
        <f>+'Prm Sb Rev Rider'!HB60+'Prm Sb Rev Rider'!HB62</f>
        <v>17191.580000000002</v>
      </c>
      <c r="G83" s="124">
        <f>+'Prm Sb Rev Rider'!HC60+'Prm Sb Rev Rider'!HC62</f>
        <v>17388.060000000001</v>
      </c>
      <c r="H83" s="124">
        <f>+'Prm Sb Rev Rider'!HD60+'Prm Sb Rev Rider'!HD62</f>
        <v>20034.709999999995</v>
      </c>
      <c r="I83" s="124">
        <f>+'Prm Sb Rev Rider'!HE60+'Prm Sb Rev Rider'!HE62</f>
        <v>18352.64</v>
      </c>
      <c r="J83" s="124">
        <f>+'Prm Sb Rev Rider'!HF60+'Prm Sb Rev Rider'!HF62</f>
        <v>30047.290000000015</v>
      </c>
      <c r="K83" s="124">
        <f>+'Prm Sb Rev Rider'!HG60+'Prm Sb Rev Rider'!HG62</f>
        <v>32735.329999999994</v>
      </c>
      <c r="L83" s="124">
        <f>+'Prm Sb Rev Rider'!HH60+'Prm Sb Rev Rider'!HH62</f>
        <v>28974.589999999978</v>
      </c>
      <c r="M83" s="124">
        <f>+'Prm Sb Rev Rider'!HI60+'Prm Sb Rev Rider'!HI62</f>
        <v>28763.989999999994</v>
      </c>
      <c r="N83" s="124">
        <f>+'Prm Sb Rev Rider'!HJ60+'Prm Sb Rev Rider'!HJ62</f>
        <v>24392.580000000009</v>
      </c>
      <c r="O83" s="124">
        <f>+'Prm Sb Rev Rider'!HK60+'Prm Sb Rev Rider'!HK62</f>
        <v>25809.75</v>
      </c>
      <c r="P83" s="124">
        <f>+'Prm Sb Rev Rider'!HL60+'Prm Sb Rev Rider'!HL62</f>
        <v>26943.759999999998</v>
      </c>
      <c r="Q83" s="124">
        <f>SUM(E83:P83)</f>
        <v>288623.28999999998</v>
      </c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68"/>
      <c r="BO83" s="68"/>
      <c r="BP83" s="68"/>
      <c r="BQ83" s="68"/>
      <c r="BR83" s="68"/>
      <c r="BS83" s="68"/>
      <c r="BT83" s="68"/>
      <c r="BU83" s="68"/>
      <c r="BV83" s="68"/>
      <c r="BW83" s="68"/>
      <c r="BX83" s="68"/>
      <c r="BY83" s="68"/>
      <c r="BZ83" s="68"/>
      <c r="CA83" s="68"/>
      <c r="CB83" s="68"/>
      <c r="CC83" s="68"/>
      <c r="CD83" s="68"/>
      <c r="CE83" s="68"/>
      <c r="CF83" s="68"/>
      <c r="CG83" s="68"/>
      <c r="CH83" s="68"/>
      <c r="CI83" s="68"/>
      <c r="CJ83" s="68"/>
      <c r="CK83" s="68"/>
      <c r="CL83" s="68"/>
      <c r="CM83" s="68"/>
      <c r="CN83" s="68"/>
      <c r="CO83" s="68"/>
      <c r="CP83" s="68"/>
      <c r="CQ83" s="68"/>
      <c r="CR83" s="68"/>
      <c r="CS83" s="68"/>
      <c r="CT83" s="68"/>
      <c r="CU83" s="68"/>
      <c r="CV83" s="68"/>
      <c r="CW83" s="68"/>
      <c r="CX83" s="68"/>
      <c r="CY83" s="68"/>
      <c r="CZ83" s="68"/>
      <c r="DA83" s="68"/>
      <c r="DB83" s="68"/>
      <c r="DC83" s="68"/>
      <c r="DD83" s="68"/>
      <c r="DE83" s="68"/>
      <c r="DF83" s="68"/>
      <c r="DG83" s="68"/>
      <c r="DH83" s="68"/>
      <c r="DI83" s="68"/>
      <c r="DJ83" s="68"/>
      <c r="DK83" s="68"/>
      <c r="DL83" s="68"/>
      <c r="DM83" s="68"/>
      <c r="DN83" s="68"/>
      <c r="DO83" s="68"/>
      <c r="DP83" s="68"/>
      <c r="DQ83" s="68"/>
      <c r="DR83" s="68"/>
      <c r="DS83" s="68"/>
      <c r="DT83" s="68"/>
      <c r="DU83" s="68"/>
      <c r="DV83" s="68"/>
      <c r="DW83" s="68"/>
      <c r="DX83" s="68"/>
      <c r="DY83" s="68"/>
      <c r="DZ83" s="68"/>
      <c r="EA83" s="68"/>
      <c r="EB83" s="68"/>
      <c r="EC83" s="68"/>
      <c r="ED83" s="68"/>
      <c r="EE83" s="68"/>
      <c r="EF83" s="68"/>
      <c r="EG83" s="68"/>
      <c r="EH83" s="68"/>
      <c r="EI83" s="68"/>
      <c r="EJ83" s="68"/>
      <c r="EK83" s="68"/>
      <c r="EL83" s="68"/>
      <c r="EM83" s="68"/>
      <c r="EN83" s="68"/>
      <c r="EO83" s="68"/>
      <c r="EP83" s="68"/>
    </row>
    <row r="84" spans="1:146" s="78" customFormat="1" ht="11.25">
      <c r="A84" s="87" t="str">
        <f t="shared" si="8"/>
        <v>EECRTOTAL PRIMARY</v>
      </c>
      <c r="B84" s="83">
        <v>10</v>
      </c>
      <c r="C84" s="78" t="s">
        <v>19</v>
      </c>
      <c r="D84" s="74"/>
      <c r="E84" s="233">
        <f>SUM(E80:E83)</f>
        <v>89980.83</v>
      </c>
      <c r="F84" s="233">
        <f t="shared" ref="F84:Q84" si="10">SUM(F80:F83)</f>
        <v>87610.85</v>
      </c>
      <c r="G84" s="233">
        <f t="shared" si="10"/>
        <v>89221.05</v>
      </c>
      <c r="H84" s="233">
        <f t="shared" si="10"/>
        <v>92151.499999999985</v>
      </c>
      <c r="I84" s="233">
        <f t="shared" si="10"/>
        <v>85077.78</v>
      </c>
      <c r="J84" s="233">
        <f t="shared" si="10"/>
        <v>146798.74000000002</v>
      </c>
      <c r="K84" s="233">
        <f t="shared" si="10"/>
        <v>156920.72</v>
      </c>
      <c r="L84" s="233">
        <f t="shared" si="10"/>
        <v>162710.13</v>
      </c>
      <c r="M84" s="233">
        <f t="shared" si="10"/>
        <v>166090.25000000003</v>
      </c>
      <c r="N84" s="233">
        <f t="shared" si="10"/>
        <v>166726.56</v>
      </c>
      <c r="O84" s="233">
        <f t="shared" si="10"/>
        <v>169965.77</v>
      </c>
      <c r="P84" s="233">
        <f t="shared" si="10"/>
        <v>169850.31</v>
      </c>
      <c r="Q84" s="233">
        <f t="shared" si="10"/>
        <v>1583104.49</v>
      </c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68"/>
      <c r="AU84" s="68"/>
      <c r="AV84" s="68"/>
      <c r="AW84" s="68"/>
      <c r="AX84" s="68"/>
      <c r="AY84" s="68"/>
      <c r="AZ84" s="68"/>
      <c r="BA84" s="68"/>
      <c r="BB84" s="68"/>
      <c r="BC84" s="68"/>
      <c r="BD84" s="68"/>
      <c r="BE84" s="68"/>
      <c r="BF84" s="68"/>
      <c r="BG84" s="68"/>
      <c r="BH84" s="68"/>
      <c r="BI84" s="68"/>
      <c r="BJ84" s="68"/>
      <c r="BK84" s="68"/>
      <c r="BL84" s="68"/>
      <c r="BM84" s="68"/>
      <c r="BN84" s="68"/>
      <c r="BO84" s="68"/>
      <c r="BP84" s="68"/>
      <c r="BQ84" s="68"/>
      <c r="BR84" s="68"/>
      <c r="BS84" s="68"/>
      <c r="BT84" s="68"/>
      <c r="BU84" s="68"/>
      <c r="BV84" s="68"/>
      <c r="BW84" s="68"/>
      <c r="BX84" s="68"/>
      <c r="BY84" s="68"/>
      <c r="BZ84" s="68"/>
      <c r="CA84" s="68"/>
      <c r="CB84" s="68"/>
      <c r="CC84" s="68"/>
      <c r="CD84" s="68"/>
      <c r="CE84" s="68"/>
      <c r="CF84" s="68"/>
      <c r="CG84" s="68"/>
      <c r="CH84" s="68"/>
      <c r="CI84" s="68"/>
      <c r="CJ84" s="68"/>
      <c r="CK84" s="68"/>
      <c r="CL84" s="68"/>
      <c r="CM84" s="68"/>
      <c r="CN84" s="68"/>
      <c r="CO84" s="68"/>
      <c r="CP84" s="68"/>
      <c r="CQ84" s="68"/>
      <c r="CR84" s="68"/>
      <c r="CS84" s="68"/>
      <c r="CT84" s="68"/>
      <c r="CU84" s="68"/>
      <c r="CV84" s="68"/>
      <c r="CW84" s="68"/>
      <c r="CX84" s="68"/>
      <c r="CY84" s="68"/>
      <c r="CZ84" s="68"/>
      <c r="DA84" s="68"/>
      <c r="DB84" s="68"/>
      <c r="DC84" s="68"/>
      <c r="DD84" s="68"/>
      <c r="DE84" s="68"/>
      <c r="DF84" s="68"/>
      <c r="DG84" s="68"/>
      <c r="DH84" s="68"/>
      <c r="DI84" s="68"/>
      <c r="DJ84" s="68"/>
      <c r="DK84" s="68"/>
      <c r="DL84" s="68"/>
      <c r="DM84" s="68"/>
      <c r="DN84" s="68"/>
      <c r="DO84" s="68"/>
      <c r="DP84" s="68"/>
      <c r="DQ84" s="68"/>
      <c r="DR84" s="68"/>
      <c r="DS84" s="68"/>
      <c r="DT84" s="68"/>
      <c r="DU84" s="68"/>
      <c r="DV84" s="68"/>
      <c r="DW84" s="68"/>
      <c r="DX84" s="68"/>
      <c r="DY84" s="68"/>
      <c r="DZ84" s="68"/>
      <c r="EA84" s="68"/>
      <c r="EB84" s="68"/>
      <c r="EC84" s="68"/>
      <c r="ED84" s="68"/>
      <c r="EE84" s="68"/>
      <c r="EF84" s="68"/>
      <c r="EG84" s="68"/>
      <c r="EH84" s="68"/>
      <c r="EI84" s="68"/>
      <c r="EJ84" s="68"/>
      <c r="EK84" s="68"/>
      <c r="EL84" s="68"/>
      <c r="EM84" s="68"/>
      <c r="EN84" s="68"/>
      <c r="EO84" s="68"/>
      <c r="EP84" s="68"/>
    </row>
    <row r="85" spans="1:146" s="78" customFormat="1" ht="11.25">
      <c r="A85" s="87" t="str">
        <f t="shared" si="8"/>
        <v>EECR</v>
      </c>
      <c r="B85" s="83"/>
      <c r="D85" s="74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3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68"/>
      <c r="AR85" s="68"/>
      <c r="AS85" s="68"/>
      <c r="AT85" s="68"/>
      <c r="AU85" s="68"/>
      <c r="AV85" s="68"/>
      <c r="AW85" s="68"/>
      <c r="AX85" s="68"/>
      <c r="AY85" s="68"/>
      <c r="AZ85" s="68"/>
      <c r="BA85" s="68"/>
      <c r="BB85" s="68"/>
      <c r="BC85" s="68"/>
      <c r="BD85" s="68"/>
      <c r="BE85" s="68"/>
      <c r="BF85" s="68"/>
      <c r="BG85" s="68"/>
      <c r="BH85" s="68"/>
      <c r="BI85" s="68"/>
      <c r="BJ85" s="68"/>
      <c r="BK85" s="68"/>
      <c r="BL85" s="68"/>
      <c r="BM85" s="68"/>
      <c r="BN85" s="68"/>
      <c r="BO85" s="68"/>
      <c r="BP85" s="68"/>
      <c r="BQ85" s="68"/>
      <c r="BR85" s="68"/>
      <c r="BS85" s="68"/>
      <c r="BT85" s="68"/>
      <c r="BU85" s="68"/>
      <c r="BV85" s="68"/>
      <c r="BW85" s="68"/>
      <c r="BX85" s="68"/>
      <c r="BY85" s="68"/>
      <c r="BZ85" s="68"/>
      <c r="CA85" s="68"/>
      <c r="CB85" s="68"/>
      <c r="CC85" s="68"/>
      <c r="CD85" s="68"/>
      <c r="CE85" s="68"/>
      <c r="CF85" s="68"/>
      <c r="CG85" s="68"/>
      <c r="CH85" s="68"/>
      <c r="CI85" s="68"/>
      <c r="CJ85" s="68"/>
      <c r="CK85" s="68"/>
      <c r="CL85" s="68"/>
      <c r="CM85" s="68"/>
      <c r="CN85" s="68"/>
      <c r="CO85" s="68"/>
      <c r="CP85" s="68"/>
      <c r="CQ85" s="68"/>
      <c r="CR85" s="68"/>
      <c r="CS85" s="68"/>
      <c r="CT85" s="68"/>
      <c r="CU85" s="68"/>
      <c r="CV85" s="68"/>
      <c r="CW85" s="68"/>
      <c r="CX85" s="68"/>
      <c r="CY85" s="68"/>
      <c r="CZ85" s="68"/>
      <c r="DA85" s="68"/>
      <c r="DB85" s="68"/>
      <c r="DC85" s="68"/>
      <c r="DD85" s="68"/>
      <c r="DE85" s="68"/>
      <c r="DF85" s="68"/>
      <c r="DG85" s="68"/>
      <c r="DH85" s="68"/>
      <c r="DI85" s="68"/>
      <c r="DJ85" s="68"/>
      <c r="DK85" s="68"/>
      <c r="DL85" s="68"/>
      <c r="DM85" s="68"/>
      <c r="DN85" s="68"/>
      <c r="DO85" s="68"/>
      <c r="DP85" s="68"/>
      <c r="DQ85" s="68"/>
      <c r="DR85" s="68"/>
      <c r="DS85" s="68"/>
      <c r="DT85" s="68"/>
      <c r="DU85" s="68"/>
      <c r="DV85" s="68"/>
      <c r="DW85" s="68"/>
      <c r="DX85" s="68"/>
      <c r="DY85" s="68"/>
      <c r="DZ85" s="68"/>
      <c r="EA85" s="68"/>
      <c r="EB85" s="68"/>
      <c r="EC85" s="68"/>
      <c r="ED85" s="68"/>
      <c r="EE85" s="68"/>
      <c r="EF85" s="68"/>
      <c r="EG85" s="68"/>
      <c r="EH85" s="68"/>
      <c r="EI85" s="68"/>
      <c r="EJ85" s="68"/>
      <c r="EK85" s="68"/>
      <c r="EL85" s="68"/>
      <c r="EM85" s="68"/>
      <c r="EN85" s="68"/>
      <c r="EO85" s="68"/>
      <c r="EP85" s="68"/>
    </row>
    <row r="86" spans="1:146" s="78" customFormat="1" ht="11.25">
      <c r="A86" s="87" t="str">
        <f t="shared" si="8"/>
        <v xml:space="preserve">EECRTRANSMISSION </v>
      </c>
      <c r="B86" s="83">
        <v>11</v>
      </c>
      <c r="C86" s="96" t="s">
        <v>86</v>
      </c>
      <c r="D86" s="74" t="s">
        <v>6</v>
      </c>
      <c r="E86" s="90">
        <v>732.80000000000007</v>
      </c>
      <c r="F86" s="90">
        <v>822.91000000000008</v>
      </c>
      <c r="G86" s="90">
        <v>860.63000000000011</v>
      </c>
      <c r="H86" s="90">
        <v>832.06000000000006</v>
      </c>
      <c r="I86" s="90">
        <v>818.32999999999993</v>
      </c>
      <c r="J86" s="90">
        <v>236.54</v>
      </c>
      <c r="K86" s="90">
        <v>0</v>
      </c>
      <c r="L86" s="90">
        <v>0</v>
      </c>
      <c r="M86" s="90">
        <v>0</v>
      </c>
      <c r="N86" s="90">
        <v>0</v>
      </c>
      <c r="O86" s="90">
        <v>0</v>
      </c>
      <c r="P86" s="90">
        <v>0</v>
      </c>
      <c r="Q86" s="93">
        <f>SUM(E86:P86)</f>
        <v>4303.2700000000004</v>
      </c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8"/>
      <c r="BB86" s="68"/>
      <c r="BC86" s="68"/>
      <c r="BD86" s="68"/>
      <c r="BE86" s="68"/>
      <c r="BF86" s="68"/>
      <c r="BG86" s="68"/>
      <c r="BH86" s="68"/>
      <c r="BI86" s="68"/>
      <c r="BJ86" s="68"/>
      <c r="BK86" s="68"/>
      <c r="BL86" s="68"/>
      <c r="BM86" s="68"/>
      <c r="BN86" s="68"/>
      <c r="BO86" s="68"/>
      <c r="BP86" s="68"/>
      <c r="BQ86" s="68"/>
      <c r="BR86" s="68"/>
      <c r="BS86" s="68"/>
      <c r="BT86" s="68"/>
      <c r="BU86" s="68"/>
      <c r="BV86" s="68"/>
      <c r="BW86" s="68"/>
      <c r="BX86" s="68"/>
      <c r="BY86" s="68"/>
      <c r="BZ86" s="68"/>
      <c r="CA86" s="68"/>
      <c r="CB86" s="68"/>
      <c r="CC86" s="68"/>
      <c r="CD86" s="68"/>
      <c r="CE86" s="68"/>
      <c r="CF86" s="68"/>
      <c r="CG86" s="68"/>
      <c r="CH86" s="68"/>
      <c r="CI86" s="68"/>
      <c r="CJ86" s="68"/>
      <c r="CK86" s="68"/>
      <c r="CL86" s="68"/>
      <c r="CM86" s="68"/>
      <c r="CN86" s="68"/>
      <c r="CO86" s="68"/>
      <c r="CP86" s="68"/>
      <c r="CQ86" s="68"/>
      <c r="CR86" s="68"/>
      <c r="CS86" s="68"/>
      <c r="CT86" s="68"/>
      <c r="CU86" s="68"/>
      <c r="CV86" s="68"/>
      <c r="CW86" s="68"/>
      <c r="CX86" s="68"/>
      <c r="CY86" s="68"/>
      <c r="CZ86" s="68"/>
      <c r="DA86" s="68"/>
      <c r="DB86" s="68"/>
      <c r="DC86" s="68"/>
      <c r="DD86" s="68"/>
      <c r="DE86" s="68"/>
      <c r="DF86" s="68"/>
      <c r="DG86" s="68"/>
      <c r="DH86" s="68"/>
      <c r="DI86" s="68"/>
      <c r="DJ86" s="68"/>
      <c r="DK86" s="68"/>
      <c r="DL86" s="68"/>
      <c r="DM86" s="68"/>
      <c r="DN86" s="68"/>
      <c r="DO86" s="68"/>
      <c r="DP86" s="68"/>
      <c r="DQ86" s="68"/>
      <c r="DR86" s="68"/>
      <c r="DS86" s="68"/>
      <c r="DT86" s="68"/>
      <c r="DU86" s="68"/>
      <c r="DV86" s="68"/>
      <c r="DW86" s="68"/>
      <c r="DX86" s="68"/>
      <c r="DY86" s="68"/>
      <c r="DZ86" s="68"/>
      <c r="EA86" s="68"/>
      <c r="EB86" s="68"/>
      <c r="EC86" s="68"/>
      <c r="ED86" s="68"/>
      <c r="EE86" s="68"/>
      <c r="EF86" s="68"/>
      <c r="EG86" s="68"/>
      <c r="EH86" s="68"/>
      <c r="EI86" s="68"/>
      <c r="EJ86" s="68"/>
      <c r="EK86" s="68"/>
      <c r="EL86" s="68"/>
      <c r="EM86" s="68"/>
      <c r="EN86" s="68"/>
      <c r="EO86" s="68"/>
      <c r="EP86" s="68"/>
    </row>
    <row r="87" spans="1:146" s="78" customFormat="1" ht="11.25">
      <c r="A87" s="87" t="str">
        <f t="shared" si="8"/>
        <v>EECR</v>
      </c>
      <c r="D87" s="85"/>
      <c r="E87" s="231"/>
      <c r="F87" s="231"/>
      <c r="G87" s="231"/>
      <c r="H87" s="231"/>
      <c r="I87" s="231"/>
      <c r="J87" s="231"/>
      <c r="K87" s="231"/>
      <c r="L87" s="231"/>
      <c r="M87" s="231"/>
      <c r="N87" s="231"/>
      <c r="O87" s="231"/>
      <c r="P87" s="231"/>
      <c r="Q87" s="71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  <c r="BB87" s="68"/>
      <c r="BC87" s="68"/>
      <c r="BD87" s="68"/>
      <c r="BE87" s="68"/>
      <c r="BF87" s="68"/>
      <c r="BG87" s="68"/>
      <c r="BH87" s="68"/>
      <c r="BI87" s="68"/>
      <c r="BJ87" s="68"/>
      <c r="BK87" s="68"/>
      <c r="BL87" s="68"/>
      <c r="BM87" s="68"/>
      <c r="BN87" s="68"/>
      <c r="BO87" s="68"/>
      <c r="BP87" s="68"/>
      <c r="BQ87" s="68"/>
      <c r="BR87" s="68"/>
      <c r="BS87" s="68"/>
      <c r="BT87" s="68"/>
      <c r="BU87" s="68"/>
      <c r="BV87" s="68"/>
      <c r="BW87" s="68"/>
      <c r="BX87" s="68"/>
      <c r="BY87" s="68"/>
      <c r="BZ87" s="68"/>
      <c r="CA87" s="68"/>
      <c r="CB87" s="68"/>
      <c r="CC87" s="68"/>
      <c r="CD87" s="68"/>
      <c r="CE87" s="68"/>
      <c r="CF87" s="68"/>
      <c r="CG87" s="68"/>
      <c r="CH87" s="68"/>
      <c r="CI87" s="68"/>
      <c r="CJ87" s="68"/>
      <c r="CK87" s="68"/>
      <c r="CL87" s="68"/>
      <c r="CM87" s="68"/>
      <c r="CN87" s="68"/>
      <c r="CO87" s="68"/>
      <c r="CP87" s="68"/>
      <c r="CQ87" s="68"/>
      <c r="CR87" s="68"/>
      <c r="CS87" s="68"/>
      <c r="CT87" s="68"/>
      <c r="CU87" s="68"/>
      <c r="CV87" s="68"/>
      <c r="CW87" s="68"/>
      <c r="CX87" s="68"/>
      <c r="CY87" s="68"/>
      <c r="CZ87" s="68"/>
      <c r="DA87" s="68"/>
      <c r="DB87" s="68"/>
      <c r="DC87" s="68"/>
      <c r="DD87" s="68"/>
      <c r="DE87" s="68"/>
      <c r="DF87" s="68"/>
      <c r="DG87" s="68"/>
      <c r="DH87" s="68"/>
      <c r="DI87" s="68"/>
      <c r="DJ87" s="68"/>
      <c r="DK87" s="68"/>
      <c r="DL87" s="68"/>
      <c r="DM87" s="68"/>
      <c r="DN87" s="68"/>
      <c r="DO87" s="68"/>
      <c r="DP87" s="68"/>
      <c r="DQ87" s="68"/>
      <c r="DR87" s="68"/>
      <c r="DS87" s="68"/>
      <c r="DT87" s="68"/>
      <c r="DU87" s="68"/>
      <c r="DV87" s="68"/>
      <c r="DW87" s="68"/>
      <c r="DX87" s="68"/>
      <c r="DY87" s="68"/>
      <c r="DZ87" s="68"/>
      <c r="EA87" s="68"/>
      <c r="EB87" s="68"/>
      <c r="EC87" s="68"/>
      <c r="ED87" s="68"/>
      <c r="EE87" s="68"/>
      <c r="EF87" s="68"/>
      <c r="EG87" s="68"/>
      <c r="EH87" s="68"/>
      <c r="EI87" s="68"/>
      <c r="EJ87" s="68"/>
      <c r="EK87" s="68"/>
      <c r="EL87" s="68"/>
      <c r="EM87" s="68"/>
      <c r="EN87" s="68"/>
      <c r="EO87" s="68"/>
      <c r="EP87" s="68"/>
    </row>
    <row r="88" spans="1:146" s="78" customFormat="1" ht="11.25">
      <c r="A88" s="87" t="str">
        <f t="shared" si="8"/>
        <v>EECRLIGHTING</v>
      </c>
      <c r="B88" s="83">
        <v>12</v>
      </c>
      <c r="C88" s="68" t="s">
        <v>21</v>
      </c>
      <c r="D88" s="74" t="s">
        <v>4</v>
      </c>
      <c r="E88" s="90">
        <v>0</v>
      </c>
      <c r="F88" s="90">
        <v>0</v>
      </c>
      <c r="G88" s="90">
        <v>0</v>
      </c>
      <c r="H88" s="90">
        <v>0</v>
      </c>
      <c r="I88" s="90">
        <v>0</v>
      </c>
      <c r="J88" s="90">
        <v>0</v>
      </c>
      <c r="K88" s="90">
        <v>0</v>
      </c>
      <c r="L88" s="90">
        <v>0</v>
      </c>
      <c r="M88" s="90">
        <v>0</v>
      </c>
      <c r="N88" s="90">
        <v>0</v>
      </c>
      <c r="O88" s="90">
        <v>0</v>
      </c>
      <c r="P88" s="90">
        <v>0.31</v>
      </c>
      <c r="Q88" s="93">
        <f>SUM(E88:P88)</f>
        <v>0.31</v>
      </c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68"/>
      <c r="BK88" s="68"/>
      <c r="BL88" s="68"/>
      <c r="BM88" s="68"/>
      <c r="BN88" s="68"/>
      <c r="BO88" s="68"/>
      <c r="BP88" s="68"/>
      <c r="BQ88" s="68"/>
      <c r="BR88" s="68"/>
      <c r="BS88" s="68"/>
      <c r="BT88" s="68"/>
      <c r="BU88" s="68"/>
      <c r="BV88" s="68"/>
      <c r="BW88" s="68"/>
      <c r="BX88" s="68"/>
      <c r="BY88" s="68"/>
      <c r="BZ88" s="68"/>
      <c r="CA88" s="68"/>
      <c r="CB88" s="68"/>
      <c r="CC88" s="68"/>
      <c r="CD88" s="68"/>
      <c r="CE88" s="68"/>
      <c r="CF88" s="68"/>
      <c r="CG88" s="68"/>
      <c r="CH88" s="68"/>
      <c r="CI88" s="68"/>
      <c r="CJ88" s="68"/>
      <c r="CK88" s="68"/>
      <c r="CL88" s="68"/>
      <c r="CM88" s="68"/>
      <c r="CN88" s="68"/>
      <c r="CO88" s="68"/>
      <c r="CP88" s="68"/>
      <c r="CQ88" s="68"/>
      <c r="CR88" s="68"/>
      <c r="CS88" s="68"/>
      <c r="CT88" s="68"/>
      <c r="CU88" s="68"/>
      <c r="CV88" s="68"/>
      <c r="CW88" s="68"/>
      <c r="CX88" s="68"/>
      <c r="CY88" s="68"/>
      <c r="CZ88" s="68"/>
      <c r="DA88" s="68"/>
      <c r="DB88" s="68"/>
      <c r="DC88" s="68"/>
      <c r="DD88" s="68"/>
      <c r="DE88" s="68"/>
      <c r="DF88" s="68"/>
      <c r="DG88" s="68"/>
      <c r="DH88" s="68"/>
      <c r="DI88" s="68"/>
      <c r="DJ88" s="68"/>
      <c r="DK88" s="68"/>
      <c r="DL88" s="68"/>
      <c r="DM88" s="68"/>
      <c r="DN88" s="68"/>
      <c r="DO88" s="68"/>
      <c r="DP88" s="68"/>
      <c r="DQ88" s="68"/>
      <c r="DR88" s="68"/>
      <c r="DS88" s="68"/>
      <c r="DT88" s="68"/>
      <c r="DU88" s="68"/>
      <c r="DV88" s="68"/>
      <c r="DW88" s="68"/>
      <c r="DX88" s="68"/>
      <c r="DY88" s="68"/>
      <c r="DZ88" s="68"/>
      <c r="EA88" s="68"/>
      <c r="EB88" s="68"/>
      <c r="EC88" s="68"/>
      <c r="ED88" s="68"/>
      <c r="EE88" s="68"/>
      <c r="EF88" s="68"/>
      <c r="EG88" s="68"/>
      <c r="EH88" s="68"/>
      <c r="EI88" s="68"/>
      <c r="EJ88" s="68"/>
      <c r="EK88" s="68"/>
      <c r="EL88" s="68"/>
      <c r="EM88" s="68"/>
      <c r="EN88" s="68"/>
      <c r="EO88" s="68"/>
      <c r="EP88" s="68"/>
    </row>
    <row r="89" spans="1:146" s="78" customFormat="1" ht="11.25">
      <c r="A89" s="87" t="str">
        <f t="shared" si="8"/>
        <v>EECR</v>
      </c>
      <c r="B89" s="83"/>
      <c r="D89" s="85"/>
      <c r="E89" s="231"/>
      <c r="F89" s="231"/>
      <c r="G89" s="231"/>
      <c r="H89" s="231"/>
      <c r="I89" s="231"/>
      <c r="J89" s="231"/>
      <c r="K89" s="231"/>
      <c r="L89" s="231"/>
      <c r="M89" s="231"/>
      <c r="N89" s="231"/>
      <c r="O89" s="231"/>
      <c r="P89" s="90"/>
      <c r="Q89" s="71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68"/>
      <c r="BK89" s="68"/>
      <c r="BL89" s="68"/>
      <c r="BM89" s="68"/>
      <c r="BN89" s="68"/>
      <c r="BO89" s="68"/>
      <c r="BP89" s="68"/>
      <c r="BQ89" s="68"/>
      <c r="BR89" s="68"/>
      <c r="BS89" s="68"/>
      <c r="BT89" s="68"/>
      <c r="BU89" s="68"/>
      <c r="BV89" s="68"/>
      <c r="BW89" s="68"/>
      <c r="BX89" s="68"/>
      <c r="BY89" s="68"/>
      <c r="BZ89" s="68"/>
      <c r="CA89" s="68"/>
      <c r="CB89" s="68"/>
      <c r="CC89" s="68"/>
      <c r="CD89" s="68"/>
      <c r="CE89" s="68"/>
      <c r="CF89" s="68"/>
      <c r="CG89" s="68"/>
      <c r="CH89" s="68"/>
      <c r="CI89" s="68"/>
      <c r="CJ89" s="68"/>
      <c r="CK89" s="68"/>
      <c r="CL89" s="68"/>
      <c r="CM89" s="68"/>
      <c r="CN89" s="68"/>
      <c r="CO89" s="68"/>
      <c r="CP89" s="68"/>
      <c r="CQ89" s="68"/>
      <c r="CR89" s="68"/>
      <c r="CS89" s="68"/>
      <c r="CT89" s="68"/>
      <c r="CU89" s="68"/>
      <c r="CV89" s="68"/>
      <c r="CW89" s="68"/>
      <c r="CX89" s="68"/>
      <c r="CY89" s="68"/>
      <c r="CZ89" s="68"/>
      <c r="DA89" s="68"/>
      <c r="DB89" s="68"/>
      <c r="DC89" s="68"/>
      <c r="DD89" s="68"/>
      <c r="DE89" s="68"/>
      <c r="DF89" s="68"/>
      <c r="DG89" s="68"/>
      <c r="DH89" s="68"/>
      <c r="DI89" s="68"/>
      <c r="DJ89" s="68"/>
      <c r="DK89" s="68"/>
      <c r="DL89" s="68"/>
      <c r="DM89" s="68"/>
      <c r="DN89" s="68"/>
      <c r="DO89" s="68"/>
      <c r="DP89" s="68"/>
      <c r="DQ89" s="68"/>
      <c r="DR89" s="68"/>
      <c r="DS89" s="68"/>
      <c r="DT89" s="68"/>
      <c r="DU89" s="68"/>
      <c r="DV89" s="68"/>
      <c r="DW89" s="68"/>
      <c r="DX89" s="68"/>
      <c r="DY89" s="68"/>
      <c r="DZ89" s="68"/>
      <c r="EA89" s="68"/>
      <c r="EB89" s="68"/>
      <c r="EC89" s="68"/>
      <c r="ED89" s="68"/>
      <c r="EE89" s="68"/>
      <c r="EF89" s="68"/>
      <c r="EG89" s="68"/>
      <c r="EH89" s="68"/>
      <c r="EI89" s="68"/>
      <c r="EJ89" s="68"/>
      <c r="EK89" s="68"/>
      <c r="EL89" s="68"/>
      <c r="EM89" s="68"/>
      <c r="EN89" s="68"/>
      <c r="EO89" s="68"/>
      <c r="EP89" s="68"/>
    </row>
    <row r="90" spans="1:146" s="78" customFormat="1" ht="11.25">
      <c r="A90" s="87" t="str">
        <f t="shared" si="8"/>
        <v>EECRTOTAL RETAIL</v>
      </c>
      <c r="B90" s="83">
        <v>13</v>
      </c>
      <c r="C90" s="114" t="s">
        <v>22</v>
      </c>
      <c r="D90" s="212"/>
      <c r="E90" s="234">
        <f>+E72+E74+E78+E84+E86+E88</f>
        <v>2289137.0199999996</v>
      </c>
      <c r="F90" s="234">
        <f t="shared" ref="F90:Q90" si="11">+F72+F74+F78+F84+F86+F88</f>
        <v>1875056.7300000002</v>
      </c>
      <c r="G90" s="234">
        <f t="shared" si="11"/>
        <v>2042641.6199999999</v>
      </c>
      <c r="H90" s="234">
        <f t="shared" si="11"/>
        <v>2123789.71</v>
      </c>
      <c r="I90" s="234">
        <f t="shared" si="11"/>
        <v>1901377.6300000001</v>
      </c>
      <c r="J90" s="234">
        <f t="shared" si="11"/>
        <v>1672547.4399999997</v>
      </c>
      <c r="K90" s="234">
        <f t="shared" si="11"/>
        <v>1690160.7499999998</v>
      </c>
      <c r="L90" s="234">
        <f t="shared" si="11"/>
        <v>1807416.25</v>
      </c>
      <c r="M90" s="234">
        <f t="shared" si="11"/>
        <v>2249518.1800000002</v>
      </c>
      <c r="N90" s="234">
        <f t="shared" si="11"/>
        <v>2755320.51</v>
      </c>
      <c r="O90" s="234">
        <f t="shared" si="11"/>
        <v>2792514.98</v>
      </c>
      <c r="P90" s="234">
        <f t="shared" si="11"/>
        <v>2757857.6900000004</v>
      </c>
      <c r="Q90" s="234">
        <f t="shared" si="11"/>
        <v>25957338.509999998</v>
      </c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8"/>
      <c r="BB90" s="68"/>
      <c r="BC90" s="68"/>
      <c r="BD90" s="68"/>
      <c r="BE90" s="68"/>
      <c r="BF90" s="68"/>
      <c r="BG90" s="68"/>
      <c r="BH90" s="68"/>
      <c r="BI90" s="68"/>
      <c r="BJ90" s="68"/>
      <c r="BK90" s="68"/>
      <c r="BL90" s="68"/>
      <c r="BM90" s="68"/>
      <c r="BN90" s="68"/>
      <c r="BO90" s="68"/>
      <c r="BP90" s="68"/>
      <c r="BQ90" s="68"/>
      <c r="BR90" s="68"/>
      <c r="BS90" s="68"/>
      <c r="BT90" s="68"/>
      <c r="BU90" s="68"/>
      <c r="BV90" s="68"/>
      <c r="BW90" s="68"/>
      <c r="BX90" s="68"/>
      <c r="BY90" s="68"/>
      <c r="BZ90" s="68"/>
      <c r="CA90" s="68"/>
      <c r="CB90" s="68"/>
      <c r="CC90" s="68"/>
      <c r="CD90" s="68"/>
      <c r="CE90" s="68"/>
      <c r="CF90" s="68"/>
      <c r="CG90" s="68"/>
      <c r="CH90" s="68"/>
      <c r="CI90" s="68"/>
      <c r="CJ90" s="68"/>
      <c r="CK90" s="68"/>
      <c r="CL90" s="68"/>
      <c r="CM90" s="68"/>
      <c r="CN90" s="68"/>
      <c r="CO90" s="68"/>
      <c r="CP90" s="68"/>
      <c r="CQ90" s="68"/>
      <c r="CR90" s="68"/>
      <c r="CS90" s="68"/>
      <c r="CT90" s="68"/>
      <c r="CU90" s="68"/>
      <c r="CV90" s="68"/>
      <c r="CW90" s="68"/>
      <c r="CX90" s="68"/>
      <c r="CY90" s="68"/>
      <c r="CZ90" s="68"/>
      <c r="DA90" s="68"/>
      <c r="DB90" s="68"/>
      <c r="DC90" s="68"/>
      <c r="DD90" s="68"/>
      <c r="DE90" s="68"/>
      <c r="DF90" s="68"/>
      <c r="DG90" s="68"/>
      <c r="DH90" s="68"/>
      <c r="DI90" s="68"/>
      <c r="DJ90" s="68"/>
      <c r="DK90" s="68"/>
      <c r="DL90" s="68"/>
      <c r="DM90" s="68"/>
      <c r="DN90" s="68"/>
      <c r="DO90" s="68"/>
      <c r="DP90" s="68"/>
      <c r="DQ90" s="68"/>
      <c r="DR90" s="68"/>
      <c r="DS90" s="68"/>
      <c r="DT90" s="68"/>
      <c r="DU90" s="68"/>
      <c r="DV90" s="68"/>
      <c r="DW90" s="68"/>
      <c r="DX90" s="68"/>
      <c r="DY90" s="68"/>
      <c r="DZ90" s="68"/>
      <c r="EA90" s="68"/>
      <c r="EB90" s="68"/>
      <c r="EC90" s="68"/>
      <c r="ED90" s="68"/>
      <c r="EE90" s="68"/>
      <c r="EF90" s="68"/>
      <c r="EG90" s="68"/>
      <c r="EH90" s="68"/>
      <c r="EI90" s="68"/>
      <c r="EJ90" s="68"/>
      <c r="EK90" s="68"/>
      <c r="EL90" s="68"/>
      <c r="EM90" s="68"/>
      <c r="EN90" s="68"/>
      <c r="EO90" s="68"/>
      <c r="EP90" s="68"/>
    </row>
    <row r="91" spans="1:146" s="78" customFormat="1" ht="11.25">
      <c r="A91" s="87" t="str">
        <f t="shared" si="8"/>
        <v>EECR</v>
      </c>
      <c r="C91" s="212"/>
      <c r="D91" s="212"/>
      <c r="E91" s="231"/>
      <c r="F91" s="231"/>
      <c r="G91" s="231"/>
      <c r="H91" s="231"/>
      <c r="I91" s="231"/>
      <c r="J91" s="231"/>
      <c r="K91" s="231"/>
      <c r="L91" s="231"/>
      <c r="M91" s="231"/>
      <c r="N91" s="231"/>
      <c r="O91" s="231"/>
      <c r="P91" s="90"/>
      <c r="Q91" s="93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68"/>
      <c r="BH91" s="68"/>
      <c r="BI91" s="68"/>
      <c r="BJ91" s="68"/>
      <c r="BK91" s="68"/>
      <c r="BL91" s="68"/>
      <c r="BM91" s="68"/>
      <c r="BN91" s="68"/>
      <c r="BO91" s="68"/>
      <c r="BP91" s="68"/>
      <c r="BQ91" s="68"/>
      <c r="BR91" s="68"/>
      <c r="BS91" s="68"/>
      <c r="BT91" s="68"/>
      <c r="BU91" s="68"/>
      <c r="BV91" s="68"/>
      <c r="BW91" s="68"/>
      <c r="BX91" s="68"/>
      <c r="BY91" s="68"/>
      <c r="BZ91" s="68"/>
      <c r="CA91" s="68"/>
      <c r="CB91" s="68"/>
      <c r="CC91" s="68"/>
      <c r="CD91" s="68"/>
      <c r="CE91" s="68"/>
      <c r="CF91" s="68"/>
      <c r="CG91" s="68"/>
      <c r="CH91" s="68"/>
      <c r="CI91" s="68"/>
      <c r="CJ91" s="68"/>
      <c r="CK91" s="68"/>
      <c r="CL91" s="68"/>
      <c r="CM91" s="68"/>
      <c r="CN91" s="68"/>
      <c r="CO91" s="68"/>
      <c r="CP91" s="68"/>
      <c r="CQ91" s="68"/>
      <c r="CR91" s="68"/>
      <c r="CS91" s="68"/>
      <c r="CT91" s="68"/>
      <c r="CU91" s="68"/>
      <c r="CV91" s="68"/>
      <c r="CW91" s="68"/>
      <c r="CX91" s="68"/>
      <c r="CY91" s="68"/>
      <c r="CZ91" s="68"/>
      <c r="DA91" s="68"/>
      <c r="DB91" s="68"/>
      <c r="DC91" s="68"/>
      <c r="DD91" s="68"/>
      <c r="DE91" s="68"/>
      <c r="DF91" s="68"/>
      <c r="DG91" s="68"/>
      <c r="DH91" s="68"/>
      <c r="DI91" s="68"/>
      <c r="DJ91" s="68"/>
      <c r="DK91" s="68"/>
      <c r="DL91" s="68"/>
      <c r="DM91" s="68"/>
      <c r="DN91" s="68"/>
      <c r="DO91" s="68"/>
      <c r="DP91" s="68"/>
      <c r="DQ91" s="68"/>
      <c r="DR91" s="68"/>
      <c r="DS91" s="68"/>
      <c r="DT91" s="68"/>
      <c r="DU91" s="68"/>
      <c r="DV91" s="68"/>
      <c r="DW91" s="68"/>
      <c r="DX91" s="68"/>
      <c r="DY91" s="68"/>
      <c r="DZ91" s="68"/>
      <c r="EA91" s="68"/>
      <c r="EB91" s="68"/>
      <c r="EC91" s="68"/>
      <c r="ED91" s="68"/>
      <c r="EE91" s="68"/>
      <c r="EF91" s="68"/>
      <c r="EG91" s="68"/>
      <c r="EH91" s="68"/>
      <c r="EI91" s="68"/>
      <c r="EJ91" s="68"/>
      <c r="EK91" s="68"/>
      <c r="EL91" s="68"/>
      <c r="EM91" s="68"/>
      <c r="EN91" s="68"/>
      <c r="EO91" s="68"/>
      <c r="EP91" s="68"/>
    </row>
    <row r="92" spans="1:146" s="78" customFormat="1" ht="11.25">
      <c r="A92" s="87" t="str">
        <f t="shared" si="8"/>
        <v>EECR</v>
      </c>
      <c r="B92" s="83">
        <v>12</v>
      </c>
      <c r="C92" s="89"/>
      <c r="D92" s="7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03"/>
      <c r="R92" s="89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  <c r="BC92" s="68"/>
      <c r="BD92" s="68"/>
      <c r="BE92" s="68"/>
      <c r="BF92" s="68"/>
      <c r="BG92" s="68"/>
      <c r="BH92" s="68"/>
      <c r="BI92" s="68"/>
      <c r="BJ92" s="68"/>
      <c r="BK92" s="68"/>
      <c r="BL92" s="68"/>
      <c r="BM92" s="68"/>
      <c r="BN92" s="68"/>
      <c r="BO92" s="68"/>
      <c r="BP92" s="68"/>
      <c r="BQ92" s="68"/>
      <c r="BR92" s="68"/>
      <c r="BS92" s="68"/>
      <c r="BT92" s="68"/>
      <c r="BU92" s="68"/>
      <c r="BV92" s="68"/>
      <c r="BW92" s="68"/>
      <c r="BX92" s="68"/>
      <c r="BY92" s="68"/>
      <c r="BZ92" s="68"/>
      <c r="CA92" s="68"/>
      <c r="CB92" s="68"/>
      <c r="CC92" s="68"/>
      <c r="CD92" s="68"/>
      <c r="CE92" s="68"/>
      <c r="CF92" s="68"/>
      <c r="CG92" s="68"/>
      <c r="CH92" s="68"/>
      <c r="CI92" s="68"/>
      <c r="CJ92" s="68"/>
      <c r="CK92" s="68"/>
      <c r="CL92" s="68"/>
      <c r="CM92" s="68"/>
      <c r="CN92" s="68"/>
      <c r="CO92" s="68"/>
      <c r="CP92" s="68"/>
      <c r="CQ92" s="68"/>
      <c r="CR92" s="68"/>
      <c r="CS92" s="68"/>
      <c r="CT92" s="68"/>
      <c r="CU92" s="68"/>
      <c r="CV92" s="68"/>
      <c r="CW92" s="68"/>
      <c r="CX92" s="68"/>
      <c r="CY92" s="68"/>
      <c r="CZ92" s="68"/>
      <c r="DA92" s="68"/>
      <c r="DB92" s="68"/>
      <c r="DC92" s="68"/>
      <c r="DD92" s="68"/>
      <c r="DE92" s="68"/>
      <c r="DF92" s="68"/>
      <c r="DG92" s="68"/>
      <c r="DH92" s="68"/>
      <c r="DI92" s="68"/>
      <c r="DJ92" s="68"/>
      <c r="DK92" s="68"/>
      <c r="DL92" s="68"/>
      <c r="DM92" s="68"/>
      <c r="DN92" s="68"/>
      <c r="DO92" s="68"/>
      <c r="DP92" s="68"/>
      <c r="DQ92" s="68"/>
      <c r="DR92" s="68"/>
      <c r="DS92" s="68"/>
      <c r="DT92" s="68"/>
      <c r="DU92" s="68"/>
      <c r="DV92" s="68"/>
      <c r="DW92" s="68"/>
      <c r="DX92" s="68"/>
      <c r="DY92" s="68"/>
      <c r="DZ92" s="68"/>
      <c r="EA92" s="68"/>
      <c r="EB92" s="68"/>
      <c r="EC92" s="68"/>
      <c r="ED92" s="68"/>
      <c r="EE92" s="68"/>
      <c r="EF92" s="68"/>
      <c r="EG92" s="68"/>
      <c r="EH92" s="68"/>
      <c r="EI92" s="68"/>
      <c r="EJ92" s="68"/>
      <c r="EK92" s="68"/>
      <c r="EL92" s="68"/>
      <c r="EM92" s="68"/>
      <c r="EN92" s="68"/>
      <c r="EO92" s="68"/>
      <c r="EP92" s="68"/>
    </row>
    <row r="93" spans="1:146" s="78" customFormat="1" ht="11.25">
      <c r="A93" s="87" t="str">
        <f t="shared" si="8"/>
        <v>EECR</v>
      </c>
      <c r="B93" s="83">
        <v>13</v>
      </c>
      <c r="C93" s="89"/>
      <c r="D93" s="7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03"/>
      <c r="R93" s="133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8"/>
      <c r="BK93" s="68"/>
      <c r="BL93" s="68"/>
      <c r="BM93" s="68"/>
      <c r="BN93" s="68"/>
      <c r="BO93" s="68"/>
      <c r="BP93" s="68"/>
      <c r="BQ93" s="68"/>
      <c r="BR93" s="68"/>
      <c r="BS93" s="68"/>
      <c r="BT93" s="68"/>
      <c r="BU93" s="68"/>
      <c r="BV93" s="68"/>
      <c r="BW93" s="68"/>
      <c r="BX93" s="68"/>
      <c r="BY93" s="68"/>
      <c r="BZ93" s="68"/>
      <c r="CA93" s="68"/>
      <c r="CB93" s="68"/>
      <c r="CC93" s="68"/>
      <c r="CD93" s="68"/>
      <c r="CE93" s="68"/>
      <c r="CF93" s="68"/>
      <c r="CG93" s="68"/>
      <c r="CH93" s="68"/>
      <c r="CI93" s="68"/>
      <c r="CJ93" s="68"/>
      <c r="CK93" s="68"/>
      <c r="CL93" s="68"/>
      <c r="CM93" s="68"/>
      <c r="CN93" s="68"/>
      <c r="CO93" s="68"/>
      <c r="CP93" s="68"/>
      <c r="CQ93" s="68"/>
      <c r="CR93" s="68"/>
      <c r="CS93" s="68"/>
      <c r="CT93" s="68"/>
      <c r="CU93" s="68"/>
      <c r="CV93" s="68"/>
      <c r="CW93" s="68"/>
      <c r="CX93" s="68"/>
      <c r="CY93" s="68"/>
      <c r="CZ93" s="68"/>
      <c r="DA93" s="68"/>
      <c r="DB93" s="68"/>
      <c r="DC93" s="68"/>
      <c r="DD93" s="68"/>
      <c r="DE93" s="68"/>
      <c r="DF93" s="68"/>
      <c r="DG93" s="68"/>
      <c r="DH93" s="68"/>
      <c r="DI93" s="68"/>
      <c r="DJ93" s="68"/>
      <c r="DK93" s="68"/>
      <c r="DL93" s="68"/>
      <c r="DM93" s="68"/>
      <c r="DN93" s="68"/>
      <c r="DO93" s="68"/>
      <c r="DP93" s="68"/>
      <c r="DQ93" s="68"/>
      <c r="DR93" s="68"/>
      <c r="DS93" s="68"/>
      <c r="DT93" s="68"/>
      <c r="DU93" s="68"/>
      <c r="DV93" s="68"/>
      <c r="DW93" s="68"/>
      <c r="DX93" s="68"/>
      <c r="DY93" s="68"/>
      <c r="DZ93" s="68"/>
      <c r="EA93" s="68"/>
      <c r="EB93" s="68"/>
      <c r="EC93" s="68"/>
      <c r="ED93" s="68"/>
      <c r="EE93" s="68"/>
      <c r="EF93" s="68"/>
      <c r="EG93" s="68"/>
      <c r="EH93" s="68"/>
      <c r="EI93" s="68"/>
      <c r="EJ93" s="68"/>
      <c r="EK93" s="68"/>
      <c r="EL93" s="68"/>
      <c r="EM93" s="68"/>
      <c r="EN93" s="68"/>
      <c r="EO93" s="68"/>
      <c r="EP93" s="68"/>
    </row>
    <row r="94" spans="1:146" s="78" customFormat="1" ht="11.25">
      <c r="A94" s="87" t="str">
        <f t="shared" si="8"/>
        <v>EECR</v>
      </c>
      <c r="B94" s="83">
        <v>14</v>
      </c>
      <c r="C94" s="114"/>
      <c r="D94" s="212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24"/>
      <c r="Q94" s="103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  <c r="BB94" s="68"/>
      <c r="BC94" s="68"/>
      <c r="BD94" s="68"/>
      <c r="BE94" s="68"/>
      <c r="BF94" s="68"/>
      <c r="BG94" s="68"/>
      <c r="BH94" s="68"/>
      <c r="BI94" s="68"/>
      <c r="BJ94" s="68"/>
      <c r="BK94" s="68"/>
      <c r="BL94" s="68"/>
      <c r="BM94" s="68"/>
      <c r="BN94" s="68"/>
      <c r="BO94" s="68"/>
      <c r="BP94" s="68"/>
      <c r="BQ94" s="68"/>
      <c r="BR94" s="68"/>
      <c r="BS94" s="68"/>
      <c r="BT94" s="68"/>
      <c r="BU94" s="68"/>
      <c r="BV94" s="68"/>
      <c r="BW94" s="68"/>
      <c r="BX94" s="68"/>
      <c r="BY94" s="68"/>
      <c r="BZ94" s="68"/>
      <c r="CA94" s="68"/>
      <c r="CB94" s="68"/>
      <c r="CC94" s="68"/>
      <c r="CD94" s="68"/>
      <c r="CE94" s="68"/>
      <c r="CF94" s="68"/>
      <c r="CG94" s="68"/>
      <c r="CH94" s="68"/>
      <c r="CI94" s="68"/>
      <c r="CJ94" s="68"/>
      <c r="CK94" s="68"/>
      <c r="CL94" s="68"/>
      <c r="CM94" s="68"/>
      <c r="CN94" s="68"/>
      <c r="CO94" s="68"/>
      <c r="CP94" s="68"/>
      <c r="CQ94" s="68"/>
      <c r="CR94" s="68"/>
      <c r="CS94" s="68"/>
      <c r="CT94" s="68"/>
      <c r="CU94" s="68"/>
      <c r="CV94" s="68"/>
      <c r="CW94" s="68"/>
      <c r="CX94" s="68"/>
      <c r="CY94" s="68"/>
      <c r="CZ94" s="68"/>
      <c r="DA94" s="68"/>
      <c r="DB94" s="68"/>
      <c r="DC94" s="68"/>
      <c r="DD94" s="68"/>
      <c r="DE94" s="68"/>
      <c r="DF94" s="68"/>
      <c r="DG94" s="68"/>
      <c r="DH94" s="68"/>
      <c r="DI94" s="68"/>
      <c r="DJ94" s="68"/>
      <c r="DK94" s="68"/>
      <c r="DL94" s="68"/>
      <c r="DM94" s="68"/>
      <c r="DN94" s="68"/>
      <c r="DO94" s="68"/>
      <c r="DP94" s="68"/>
      <c r="DQ94" s="68"/>
      <c r="DR94" s="68"/>
      <c r="DS94" s="68"/>
      <c r="DT94" s="68"/>
      <c r="DU94" s="68"/>
      <c r="DV94" s="68"/>
      <c r="DW94" s="68"/>
      <c r="DX94" s="68"/>
      <c r="DY94" s="68"/>
      <c r="DZ94" s="68"/>
      <c r="EA94" s="68"/>
      <c r="EB94" s="68"/>
      <c r="EC94" s="68"/>
      <c r="ED94" s="68"/>
      <c r="EE94" s="68"/>
      <c r="EF94" s="68"/>
      <c r="EG94" s="68"/>
      <c r="EH94" s="68"/>
      <c r="EI94" s="68"/>
      <c r="EJ94" s="68"/>
      <c r="EK94" s="68"/>
      <c r="EL94" s="68"/>
      <c r="EM94" s="68"/>
      <c r="EN94" s="68"/>
      <c r="EO94" s="68"/>
      <c r="EP94" s="68"/>
    </row>
    <row r="95" spans="1:146" s="78" customFormat="1" ht="11.25">
      <c r="A95" s="87" t="str">
        <f t="shared" si="8"/>
        <v>EECR</v>
      </c>
      <c r="B95" s="83"/>
      <c r="D95" s="116"/>
      <c r="E95" s="231"/>
      <c r="F95" s="231"/>
      <c r="G95" s="231"/>
      <c r="H95" s="231"/>
      <c r="I95" s="231"/>
      <c r="J95" s="231"/>
      <c r="K95" s="231"/>
      <c r="L95" s="231"/>
      <c r="M95" s="231"/>
      <c r="N95" s="231"/>
      <c r="O95" s="231"/>
      <c r="P95" s="90"/>
      <c r="Q95" s="71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  <c r="BB95" s="68"/>
      <c r="BC95" s="68"/>
      <c r="BD95" s="68"/>
      <c r="BE95" s="68"/>
      <c r="BF95" s="68"/>
      <c r="BG95" s="68"/>
      <c r="BH95" s="68"/>
      <c r="BI95" s="68"/>
      <c r="BJ95" s="68"/>
      <c r="BK95" s="68"/>
      <c r="BL95" s="68"/>
      <c r="BM95" s="68"/>
      <c r="BN95" s="68"/>
      <c r="BO95" s="68"/>
      <c r="BP95" s="68"/>
      <c r="BQ95" s="68"/>
      <c r="BR95" s="68"/>
      <c r="BS95" s="68"/>
      <c r="BT95" s="68"/>
      <c r="BU95" s="68"/>
      <c r="BV95" s="68"/>
      <c r="BW95" s="68"/>
      <c r="BX95" s="68"/>
      <c r="BY95" s="68"/>
      <c r="BZ95" s="68"/>
      <c r="CA95" s="68"/>
      <c r="CB95" s="68"/>
      <c r="CC95" s="68"/>
      <c r="CD95" s="68"/>
      <c r="CE95" s="68"/>
      <c r="CF95" s="68"/>
      <c r="CG95" s="68"/>
      <c r="CH95" s="68"/>
      <c r="CI95" s="68"/>
      <c r="CJ95" s="68"/>
      <c r="CK95" s="68"/>
      <c r="CL95" s="68"/>
      <c r="CM95" s="68"/>
      <c r="CN95" s="68"/>
      <c r="CO95" s="68"/>
      <c r="CP95" s="68"/>
      <c r="CQ95" s="68"/>
      <c r="CR95" s="68"/>
      <c r="CS95" s="68"/>
      <c r="CT95" s="68"/>
      <c r="CU95" s="68"/>
      <c r="CV95" s="68"/>
      <c r="CW95" s="68"/>
      <c r="CX95" s="68"/>
      <c r="CY95" s="68"/>
      <c r="CZ95" s="68"/>
      <c r="DA95" s="68"/>
      <c r="DB95" s="68"/>
      <c r="DC95" s="68"/>
      <c r="DD95" s="68"/>
      <c r="DE95" s="68"/>
      <c r="DF95" s="68"/>
      <c r="DG95" s="68"/>
      <c r="DH95" s="68"/>
      <c r="DI95" s="68"/>
      <c r="DJ95" s="68"/>
      <c r="DK95" s="68"/>
      <c r="DL95" s="68"/>
      <c r="DM95" s="68"/>
      <c r="DN95" s="68"/>
      <c r="DO95" s="68"/>
      <c r="DP95" s="68"/>
      <c r="DQ95" s="68"/>
      <c r="DR95" s="68"/>
      <c r="DS95" s="68"/>
      <c r="DT95" s="68"/>
      <c r="DU95" s="68"/>
      <c r="DV95" s="68"/>
      <c r="DW95" s="68"/>
      <c r="DX95" s="68"/>
      <c r="DY95" s="68"/>
      <c r="DZ95" s="68"/>
      <c r="EA95" s="68"/>
      <c r="EB95" s="68"/>
      <c r="EC95" s="68"/>
      <c r="ED95" s="68"/>
      <c r="EE95" s="68"/>
      <c r="EF95" s="68"/>
      <c r="EG95" s="68"/>
      <c r="EH95" s="68"/>
      <c r="EI95" s="68"/>
      <c r="EJ95" s="68"/>
      <c r="EK95" s="68"/>
      <c r="EL95" s="68"/>
      <c r="EM95" s="68"/>
      <c r="EN95" s="68"/>
      <c r="EO95" s="68"/>
      <c r="EP95" s="68"/>
    </row>
    <row r="96" spans="1:146" s="78" customFormat="1" ht="12" thickBot="1">
      <c r="A96" s="87" t="str">
        <f t="shared" si="8"/>
        <v xml:space="preserve">EECRTOTAL </v>
      </c>
      <c r="B96" s="83">
        <v>15</v>
      </c>
      <c r="C96" s="147" t="s">
        <v>95</v>
      </c>
      <c r="D96" s="211"/>
      <c r="E96" s="117">
        <v>2289137.0199999996</v>
      </c>
      <c r="F96" s="117">
        <v>1875056.7300000002</v>
      </c>
      <c r="G96" s="117">
        <v>2042641.6199999996</v>
      </c>
      <c r="H96" s="117">
        <v>2123789.71</v>
      </c>
      <c r="I96" s="117">
        <v>1901377.63</v>
      </c>
      <c r="J96" s="117">
        <v>1672547.44</v>
      </c>
      <c r="K96" s="117">
        <v>1690160.75</v>
      </c>
      <c r="L96" s="117">
        <v>1807416.25</v>
      </c>
      <c r="M96" s="117">
        <v>2249518.1800000002</v>
      </c>
      <c r="N96" s="117">
        <v>2755320.51</v>
      </c>
      <c r="O96" s="117">
        <v>2792514.9800000004</v>
      </c>
      <c r="P96" s="117">
        <v>2757857.6900000004</v>
      </c>
      <c r="Q96" s="117">
        <v>25957338.510000002</v>
      </c>
      <c r="R96" s="12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  <c r="BB96" s="68"/>
      <c r="BC96" s="68"/>
      <c r="BD96" s="68"/>
      <c r="BE96" s="68"/>
      <c r="BF96" s="68"/>
      <c r="BG96" s="68"/>
      <c r="BH96" s="68"/>
      <c r="BI96" s="68"/>
      <c r="BJ96" s="68"/>
      <c r="BK96" s="68"/>
      <c r="BL96" s="68"/>
      <c r="BM96" s="68"/>
      <c r="BN96" s="68"/>
      <c r="BO96" s="68"/>
      <c r="BP96" s="68"/>
      <c r="BQ96" s="68"/>
      <c r="BR96" s="68"/>
      <c r="BS96" s="68"/>
      <c r="BT96" s="68"/>
      <c r="BU96" s="68"/>
      <c r="BV96" s="68"/>
      <c r="BW96" s="68"/>
      <c r="BX96" s="68"/>
      <c r="BY96" s="68"/>
      <c r="BZ96" s="68"/>
      <c r="CA96" s="68"/>
      <c r="CB96" s="68"/>
      <c r="CC96" s="68"/>
      <c r="CD96" s="68"/>
      <c r="CE96" s="68"/>
      <c r="CF96" s="68"/>
      <c r="CG96" s="68"/>
      <c r="CH96" s="68"/>
      <c r="CI96" s="68"/>
      <c r="CJ96" s="68"/>
      <c r="CK96" s="68"/>
      <c r="CL96" s="68"/>
      <c r="CM96" s="68"/>
      <c r="CN96" s="68"/>
      <c r="CO96" s="68"/>
      <c r="CP96" s="68"/>
      <c r="CQ96" s="68"/>
      <c r="CR96" s="68"/>
      <c r="CS96" s="68"/>
      <c r="CT96" s="68"/>
      <c r="CU96" s="68"/>
      <c r="CV96" s="68"/>
      <c r="CW96" s="68"/>
      <c r="CX96" s="68"/>
      <c r="CY96" s="68"/>
      <c r="CZ96" s="68"/>
      <c r="DA96" s="68"/>
      <c r="DB96" s="68"/>
      <c r="DC96" s="68"/>
      <c r="DD96" s="68"/>
      <c r="DE96" s="68"/>
      <c r="DF96" s="68"/>
      <c r="DG96" s="68"/>
      <c r="DH96" s="68"/>
      <c r="DI96" s="68"/>
      <c r="DJ96" s="68"/>
      <c r="DK96" s="68"/>
      <c r="DL96" s="68"/>
      <c r="DM96" s="68"/>
      <c r="DN96" s="68"/>
      <c r="DO96" s="68"/>
      <c r="DP96" s="68"/>
      <c r="DQ96" s="68"/>
      <c r="DR96" s="68"/>
      <c r="DS96" s="68"/>
      <c r="DT96" s="68"/>
      <c r="DU96" s="68"/>
      <c r="DV96" s="68"/>
      <c r="DW96" s="68"/>
      <c r="DX96" s="68"/>
      <c r="DY96" s="68"/>
      <c r="DZ96" s="68"/>
      <c r="EA96" s="68"/>
      <c r="EB96" s="68"/>
      <c r="EC96" s="68"/>
      <c r="ED96" s="68"/>
      <c r="EE96" s="68"/>
      <c r="EF96" s="68"/>
      <c r="EG96" s="68"/>
      <c r="EH96" s="68"/>
      <c r="EI96" s="68"/>
      <c r="EJ96" s="68"/>
      <c r="EK96" s="68"/>
      <c r="EL96" s="68"/>
      <c r="EM96" s="68"/>
      <c r="EN96" s="68"/>
      <c r="EO96" s="68"/>
      <c r="EP96" s="68"/>
    </row>
    <row r="97" spans="1:146" customFormat="1" ht="13.5" thickTop="1"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</row>
    <row r="98" spans="1:146" s="87" customFormat="1" ht="11.25">
      <c r="A98" s="267" t="s">
        <v>304</v>
      </c>
      <c r="C98" s="73" t="s">
        <v>164</v>
      </c>
      <c r="D98" s="99"/>
      <c r="E98" s="228"/>
      <c r="F98" s="229"/>
      <c r="G98" s="229"/>
      <c r="H98" s="230"/>
      <c r="I98" s="231"/>
      <c r="J98" s="231"/>
      <c r="K98" s="231"/>
      <c r="L98" s="231"/>
      <c r="M98" s="231"/>
      <c r="N98" s="231"/>
      <c r="O98" s="231"/>
      <c r="P98" s="90"/>
      <c r="Q98" s="10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  <c r="AS98" s="89"/>
      <c r="AT98" s="89"/>
      <c r="AU98" s="89"/>
      <c r="AV98" s="89"/>
      <c r="AW98" s="89"/>
      <c r="AX98" s="89"/>
      <c r="AY98" s="89"/>
      <c r="AZ98" s="89"/>
      <c r="BA98" s="89"/>
      <c r="BB98" s="89"/>
      <c r="BC98" s="89"/>
      <c r="BD98" s="89"/>
      <c r="BE98" s="89"/>
      <c r="BF98" s="89"/>
      <c r="BG98" s="89"/>
      <c r="BH98" s="89"/>
      <c r="BI98" s="89"/>
      <c r="BJ98" s="89"/>
      <c r="BK98" s="89"/>
      <c r="BL98" s="89"/>
      <c r="BM98" s="89"/>
      <c r="BN98" s="89"/>
      <c r="BO98" s="89"/>
      <c r="BP98" s="89"/>
      <c r="BQ98" s="89"/>
      <c r="BR98" s="89"/>
      <c r="BS98" s="89"/>
      <c r="BT98" s="89"/>
      <c r="BU98" s="89"/>
      <c r="BV98" s="89"/>
      <c r="BW98" s="89"/>
      <c r="BX98" s="89"/>
      <c r="BY98" s="89"/>
      <c r="BZ98" s="89"/>
      <c r="CA98" s="89"/>
      <c r="CB98" s="89"/>
      <c r="CC98" s="89"/>
      <c r="CD98" s="89"/>
      <c r="CE98" s="89"/>
      <c r="CF98" s="89"/>
      <c r="CG98" s="89"/>
      <c r="CH98" s="89"/>
      <c r="CI98" s="89"/>
      <c r="CJ98" s="89"/>
      <c r="CK98" s="89"/>
      <c r="CL98" s="89"/>
      <c r="CM98" s="89"/>
      <c r="CN98" s="89"/>
      <c r="CO98" s="89"/>
      <c r="CP98" s="89"/>
      <c r="CQ98" s="89"/>
      <c r="CR98" s="89"/>
      <c r="CS98" s="89"/>
      <c r="CT98" s="89"/>
      <c r="CU98" s="89"/>
      <c r="CV98" s="89"/>
      <c r="CW98" s="89"/>
      <c r="CX98" s="89"/>
      <c r="CY98" s="89"/>
      <c r="CZ98" s="89"/>
      <c r="DA98" s="89"/>
      <c r="DB98" s="89"/>
      <c r="DC98" s="89"/>
      <c r="DD98" s="89"/>
      <c r="DE98" s="89"/>
      <c r="DF98" s="89"/>
      <c r="DG98" s="89"/>
      <c r="DH98" s="89"/>
      <c r="DI98" s="89"/>
      <c r="DJ98" s="89"/>
      <c r="DK98" s="89"/>
      <c r="DL98" s="89"/>
      <c r="DM98" s="89"/>
      <c r="DN98" s="89"/>
      <c r="DO98" s="89"/>
      <c r="DP98" s="89"/>
      <c r="DQ98" s="89"/>
      <c r="DR98" s="89"/>
      <c r="DS98" s="89"/>
      <c r="DT98" s="89"/>
      <c r="DU98" s="89"/>
      <c r="DV98" s="89"/>
      <c r="DW98" s="89"/>
      <c r="DX98" s="89"/>
      <c r="DY98" s="89"/>
      <c r="DZ98" s="89"/>
      <c r="EA98" s="89"/>
      <c r="EB98" s="89"/>
      <c r="EC98" s="89"/>
      <c r="ED98" s="89"/>
      <c r="EE98" s="89"/>
      <c r="EF98" s="89"/>
      <c r="EG98" s="89"/>
      <c r="EH98" s="89"/>
      <c r="EI98" s="89"/>
      <c r="EJ98" s="89"/>
      <c r="EK98" s="89"/>
      <c r="EL98" s="89"/>
      <c r="EM98" s="89"/>
      <c r="EN98" s="89"/>
      <c r="EO98" s="89"/>
      <c r="EP98" s="89"/>
    </row>
    <row r="99" spans="1:146" s="87" customFormat="1" ht="11.25">
      <c r="B99" s="211" t="s">
        <v>8</v>
      </c>
      <c r="C99" s="213" t="s">
        <v>0</v>
      </c>
      <c r="D99" s="213" t="s">
        <v>7</v>
      </c>
      <c r="E99" s="232" t="s">
        <v>151</v>
      </c>
      <c r="F99" s="232" t="s">
        <v>152</v>
      </c>
      <c r="G99" s="232" t="s">
        <v>153</v>
      </c>
      <c r="H99" s="232" t="s">
        <v>154</v>
      </c>
      <c r="I99" s="232" t="s">
        <v>155</v>
      </c>
      <c r="J99" s="232" t="s">
        <v>156</v>
      </c>
      <c r="K99" s="232" t="s">
        <v>157</v>
      </c>
      <c r="L99" s="232" t="s">
        <v>158</v>
      </c>
      <c r="M99" s="232" t="s">
        <v>159</v>
      </c>
      <c r="N99" s="232" t="s">
        <v>160</v>
      </c>
      <c r="O99" s="232" t="s">
        <v>161</v>
      </c>
      <c r="P99" s="232" t="s">
        <v>162</v>
      </c>
      <c r="Q99" s="110" t="s">
        <v>2</v>
      </c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O99" s="89"/>
      <c r="AP99" s="89"/>
      <c r="AQ99" s="89"/>
      <c r="AR99" s="89"/>
      <c r="AS99" s="89"/>
      <c r="AT99" s="89"/>
      <c r="AU99" s="89"/>
      <c r="AV99" s="89"/>
      <c r="AW99" s="89"/>
      <c r="AX99" s="89"/>
      <c r="AY99" s="89"/>
      <c r="AZ99" s="89"/>
      <c r="BA99" s="89"/>
      <c r="BB99" s="89"/>
      <c r="BC99" s="89"/>
      <c r="BD99" s="89"/>
      <c r="BE99" s="89"/>
      <c r="BF99" s="89"/>
      <c r="BG99" s="89"/>
      <c r="BH99" s="89"/>
      <c r="BI99" s="89"/>
      <c r="BJ99" s="89"/>
      <c r="BK99" s="89"/>
      <c r="BL99" s="89"/>
      <c r="BM99" s="89"/>
      <c r="BN99" s="89"/>
      <c r="BO99" s="89"/>
      <c r="BP99" s="89"/>
      <c r="BQ99" s="89"/>
      <c r="BR99" s="89"/>
      <c r="BS99" s="89"/>
      <c r="BT99" s="89"/>
      <c r="BU99" s="89"/>
      <c r="BV99" s="89"/>
      <c r="BW99" s="89"/>
      <c r="BX99" s="89"/>
      <c r="BY99" s="89"/>
      <c r="BZ99" s="89"/>
      <c r="CA99" s="89"/>
      <c r="CB99" s="89"/>
      <c r="CC99" s="89"/>
      <c r="CD99" s="89"/>
      <c r="CE99" s="89"/>
      <c r="CF99" s="89"/>
      <c r="CG99" s="89"/>
      <c r="CH99" s="89"/>
      <c r="CI99" s="89"/>
      <c r="CJ99" s="89"/>
      <c r="CK99" s="89"/>
      <c r="CL99" s="89"/>
      <c r="CM99" s="89"/>
      <c r="CN99" s="89"/>
      <c r="CO99" s="89"/>
      <c r="CP99" s="89"/>
      <c r="CQ99" s="89"/>
      <c r="CR99" s="89"/>
      <c r="CS99" s="89"/>
      <c r="CT99" s="89"/>
      <c r="CU99" s="89"/>
      <c r="CV99" s="89"/>
      <c r="CW99" s="89"/>
      <c r="CX99" s="89"/>
      <c r="CY99" s="89"/>
      <c r="CZ99" s="89"/>
      <c r="DA99" s="89"/>
      <c r="DB99" s="89"/>
      <c r="DC99" s="89"/>
      <c r="DD99" s="89"/>
      <c r="DE99" s="89"/>
      <c r="DF99" s="89"/>
      <c r="DG99" s="89"/>
      <c r="DH99" s="89"/>
      <c r="DI99" s="89"/>
      <c r="DJ99" s="89"/>
      <c r="DK99" s="89"/>
      <c r="DL99" s="89"/>
      <c r="DM99" s="89"/>
      <c r="DN99" s="89"/>
      <c r="DO99" s="89"/>
      <c r="DP99" s="89"/>
      <c r="DQ99" s="89"/>
      <c r="DR99" s="89"/>
      <c r="DS99" s="89"/>
      <c r="DT99" s="89"/>
      <c r="DU99" s="89"/>
      <c r="DV99" s="89"/>
      <c r="DW99" s="89"/>
      <c r="DX99" s="89"/>
      <c r="DY99" s="89"/>
      <c r="DZ99" s="89"/>
      <c r="EA99" s="89"/>
      <c r="EB99" s="89"/>
      <c r="EC99" s="89"/>
      <c r="ED99" s="89"/>
      <c r="EE99" s="89"/>
      <c r="EF99" s="89"/>
      <c r="EG99" s="89"/>
      <c r="EH99" s="89"/>
      <c r="EI99" s="89"/>
      <c r="EJ99" s="89"/>
      <c r="EK99" s="89"/>
      <c r="EL99" s="89"/>
      <c r="EM99" s="89"/>
      <c r="EN99" s="89"/>
      <c r="EO99" s="89"/>
      <c r="EP99" s="89"/>
    </row>
    <row r="100" spans="1:146" s="87" customFormat="1" ht="11.25">
      <c r="C100" s="213"/>
      <c r="D100" s="213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2"/>
      <c r="P100" s="227"/>
      <c r="Q100" s="110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89"/>
      <c r="AS100" s="89"/>
      <c r="AT100" s="89"/>
      <c r="AU100" s="89"/>
      <c r="AV100" s="89"/>
      <c r="AW100" s="89"/>
      <c r="AX100" s="89"/>
      <c r="AY100" s="89"/>
      <c r="AZ100" s="89"/>
      <c r="BA100" s="89"/>
      <c r="BB100" s="89"/>
      <c r="BC100" s="89"/>
      <c r="BD100" s="89"/>
      <c r="BE100" s="89"/>
      <c r="BF100" s="89"/>
      <c r="BG100" s="89"/>
      <c r="BH100" s="89"/>
      <c r="BI100" s="89"/>
      <c r="BJ100" s="89"/>
      <c r="BK100" s="89"/>
      <c r="BL100" s="89"/>
      <c r="BM100" s="89"/>
      <c r="BN100" s="89"/>
      <c r="BO100" s="89"/>
      <c r="BP100" s="89"/>
      <c r="BQ100" s="89"/>
      <c r="BR100" s="89"/>
      <c r="BS100" s="89"/>
      <c r="BT100" s="89"/>
      <c r="BU100" s="89"/>
      <c r="BV100" s="89"/>
      <c r="BW100" s="89"/>
      <c r="BX100" s="89"/>
      <c r="BY100" s="89"/>
      <c r="BZ100" s="89"/>
      <c r="CA100" s="89"/>
      <c r="CB100" s="89"/>
      <c r="CC100" s="89"/>
      <c r="CD100" s="89"/>
      <c r="CE100" s="89"/>
      <c r="CF100" s="89"/>
      <c r="CG100" s="89"/>
      <c r="CH100" s="89"/>
      <c r="CI100" s="89"/>
      <c r="CJ100" s="89"/>
      <c r="CK100" s="89"/>
      <c r="CL100" s="89"/>
      <c r="CM100" s="89"/>
      <c r="CN100" s="89"/>
      <c r="CO100" s="89"/>
      <c r="CP100" s="89"/>
      <c r="CQ100" s="89"/>
      <c r="CR100" s="89"/>
      <c r="CS100" s="89"/>
      <c r="CT100" s="89"/>
      <c r="CU100" s="89"/>
      <c r="CV100" s="89"/>
      <c r="CW100" s="89"/>
      <c r="CX100" s="89"/>
      <c r="CY100" s="89"/>
      <c r="CZ100" s="89"/>
      <c r="DA100" s="89"/>
      <c r="DB100" s="89"/>
      <c r="DC100" s="89"/>
      <c r="DD100" s="89"/>
      <c r="DE100" s="89"/>
      <c r="DF100" s="89"/>
      <c r="DG100" s="89"/>
      <c r="DH100" s="89"/>
      <c r="DI100" s="89"/>
      <c r="DJ100" s="89"/>
      <c r="DK100" s="89"/>
      <c r="DL100" s="89"/>
      <c r="DM100" s="89"/>
      <c r="DN100" s="89"/>
      <c r="DO100" s="89"/>
      <c r="DP100" s="89"/>
      <c r="DQ100" s="89"/>
      <c r="DR100" s="89"/>
      <c r="DS100" s="89"/>
      <c r="DT100" s="89"/>
      <c r="DU100" s="89"/>
      <c r="DV100" s="89"/>
      <c r="DW100" s="89"/>
      <c r="DX100" s="89"/>
      <c r="DY100" s="89"/>
      <c r="DZ100" s="89"/>
      <c r="EA100" s="89"/>
      <c r="EB100" s="89"/>
      <c r="EC100" s="89"/>
      <c r="ED100" s="89"/>
      <c r="EE100" s="89"/>
      <c r="EF100" s="89"/>
      <c r="EG100" s="89"/>
      <c r="EH100" s="89"/>
      <c r="EI100" s="89"/>
      <c r="EJ100" s="89"/>
      <c r="EK100" s="89"/>
      <c r="EL100" s="89"/>
      <c r="EM100" s="89"/>
      <c r="EN100" s="89"/>
      <c r="EO100" s="89"/>
      <c r="EP100" s="89"/>
    </row>
    <row r="101" spans="1:146" s="78" customFormat="1" ht="11.25">
      <c r="A101" s="87" t="str">
        <f>CONCATENATE($A$40,C101)</f>
        <v>Miscellaneous RidersRESIDENTIAL SERVICE</v>
      </c>
      <c r="B101" s="83" t="s">
        <v>9</v>
      </c>
      <c r="C101" s="78" t="s">
        <v>17</v>
      </c>
      <c r="D101" s="85" t="s">
        <v>4</v>
      </c>
      <c r="E101" s="124">
        <v>41.11</v>
      </c>
      <c r="F101" s="124">
        <v>20.22</v>
      </c>
      <c r="G101" s="124">
        <v>0</v>
      </c>
      <c r="H101" s="124">
        <v>0</v>
      </c>
      <c r="I101" s="124">
        <v>0</v>
      </c>
      <c r="J101" s="124">
        <v>0</v>
      </c>
      <c r="K101" s="124">
        <v>9.06</v>
      </c>
      <c r="L101" s="124">
        <v>0</v>
      </c>
      <c r="M101" s="124">
        <v>0</v>
      </c>
      <c r="N101" s="124">
        <v>0</v>
      </c>
      <c r="O101" s="124">
        <v>0</v>
      </c>
      <c r="P101" s="124">
        <v>0</v>
      </c>
      <c r="Q101" s="90">
        <f>SUM(E101:P101)</f>
        <v>70.39</v>
      </c>
      <c r="R101" s="125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  <c r="BB101" s="68"/>
      <c r="BC101" s="68"/>
      <c r="BD101" s="68"/>
      <c r="BE101" s="68"/>
      <c r="BF101" s="68"/>
      <c r="BG101" s="68"/>
      <c r="BH101" s="68"/>
      <c r="BI101" s="68"/>
      <c r="BJ101" s="68"/>
      <c r="BK101" s="68"/>
      <c r="BL101" s="68"/>
      <c r="BM101" s="68"/>
      <c r="BN101" s="68"/>
      <c r="BO101" s="68"/>
      <c r="BP101" s="68"/>
      <c r="BQ101" s="68"/>
      <c r="BR101" s="68"/>
      <c r="BS101" s="68"/>
      <c r="BT101" s="68"/>
      <c r="BU101" s="68"/>
      <c r="BV101" s="68"/>
      <c r="BW101" s="68"/>
      <c r="BX101" s="68"/>
      <c r="BY101" s="68"/>
      <c r="BZ101" s="68"/>
      <c r="CA101" s="68"/>
      <c r="CB101" s="68"/>
      <c r="CC101" s="68"/>
      <c r="CD101" s="68"/>
      <c r="CE101" s="68"/>
      <c r="CF101" s="68"/>
      <c r="CG101" s="68"/>
      <c r="CH101" s="68"/>
      <c r="CI101" s="68"/>
      <c r="CJ101" s="68"/>
      <c r="CK101" s="68"/>
      <c r="CL101" s="68"/>
      <c r="CM101" s="68"/>
      <c r="CN101" s="68"/>
      <c r="CO101" s="68"/>
      <c r="CP101" s="68"/>
      <c r="CQ101" s="68"/>
      <c r="CR101" s="68"/>
      <c r="CS101" s="68"/>
      <c r="CT101" s="68"/>
      <c r="CU101" s="68"/>
      <c r="CV101" s="68"/>
      <c r="CW101" s="68"/>
      <c r="CX101" s="68"/>
      <c r="CY101" s="68"/>
      <c r="CZ101" s="68"/>
      <c r="DA101" s="68"/>
      <c r="DB101" s="68"/>
      <c r="DC101" s="68"/>
      <c r="DD101" s="68"/>
      <c r="DE101" s="68"/>
      <c r="DF101" s="68"/>
      <c r="DG101" s="68"/>
      <c r="DH101" s="68"/>
      <c r="DI101" s="68"/>
      <c r="DJ101" s="68"/>
      <c r="DK101" s="68"/>
      <c r="DL101" s="68"/>
      <c r="DM101" s="68"/>
      <c r="DN101" s="68"/>
      <c r="DO101" s="68"/>
      <c r="DP101" s="68"/>
      <c r="DQ101" s="68"/>
      <c r="DR101" s="68"/>
      <c r="DS101" s="68"/>
      <c r="DT101" s="68"/>
      <c r="DU101" s="68"/>
      <c r="DV101" s="68"/>
      <c r="DW101" s="68"/>
      <c r="DX101" s="68"/>
      <c r="DY101" s="68"/>
      <c r="DZ101" s="68"/>
      <c r="EA101" s="68"/>
      <c r="EB101" s="68"/>
      <c r="EC101" s="68"/>
      <c r="ED101" s="68"/>
      <c r="EE101" s="68"/>
      <c r="EF101" s="68"/>
      <c r="EG101" s="68"/>
      <c r="EH101" s="68"/>
      <c r="EI101" s="68"/>
      <c r="EJ101" s="68"/>
      <c r="EK101" s="68"/>
      <c r="EL101" s="68"/>
      <c r="EM101" s="68"/>
      <c r="EN101" s="68"/>
      <c r="EO101" s="68"/>
      <c r="EP101" s="68"/>
    </row>
    <row r="102" spans="1:146" s="78" customFormat="1" ht="11.25">
      <c r="A102" s="87" t="str">
        <f t="shared" ref="A102:A125" si="12">CONCATENATE($A$40,C102)</f>
        <v>Miscellaneous Riders</v>
      </c>
      <c r="D102" s="85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93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  <c r="BB102" s="68"/>
      <c r="BC102" s="68"/>
      <c r="BD102" s="68"/>
      <c r="BE102" s="68"/>
      <c r="BF102" s="68"/>
      <c r="BG102" s="68"/>
      <c r="BH102" s="68"/>
      <c r="BI102" s="68"/>
      <c r="BJ102" s="68"/>
      <c r="BK102" s="68"/>
      <c r="BL102" s="68"/>
      <c r="BM102" s="68"/>
      <c r="BN102" s="68"/>
      <c r="BO102" s="68"/>
      <c r="BP102" s="68"/>
      <c r="BQ102" s="68"/>
      <c r="BR102" s="68"/>
      <c r="BS102" s="68"/>
      <c r="BT102" s="68"/>
      <c r="BU102" s="68"/>
      <c r="BV102" s="68"/>
      <c r="BW102" s="68"/>
      <c r="BX102" s="68"/>
      <c r="BY102" s="68"/>
      <c r="BZ102" s="68"/>
      <c r="CA102" s="68"/>
      <c r="CB102" s="68"/>
      <c r="CC102" s="68"/>
      <c r="CD102" s="68"/>
      <c r="CE102" s="68"/>
      <c r="CF102" s="68"/>
      <c r="CG102" s="68"/>
      <c r="CH102" s="68"/>
      <c r="CI102" s="68"/>
      <c r="CJ102" s="68"/>
      <c r="CK102" s="68"/>
      <c r="CL102" s="68"/>
      <c r="CM102" s="68"/>
      <c r="CN102" s="68"/>
      <c r="CO102" s="68"/>
      <c r="CP102" s="68"/>
      <c r="CQ102" s="68"/>
      <c r="CR102" s="68"/>
      <c r="CS102" s="68"/>
      <c r="CT102" s="68"/>
      <c r="CU102" s="68"/>
      <c r="CV102" s="68"/>
      <c r="CW102" s="68"/>
      <c r="CX102" s="68"/>
      <c r="CY102" s="68"/>
      <c r="CZ102" s="68"/>
      <c r="DA102" s="68"/>
      <c r="DB102" s="68"/>
      <c r="DC102" s="68"/>
      <c r="DD102" s="68"/>
      <c r="DE102" s="68"/>
      <c r="DF102" s="68"/>
      <c r="DG102" s="68"/>
      <c r="DH102" s="68"/>
      <c r="DI102" s="68"/>
      <c r="DJ102" s="68"/>
      <c r="DK102" s="68"/>
      <c r="DL102" s="68"/>
      <c r="DM102" s="68"/>
      <c r="DN102" s="68"/>
      <c r="DO102" s="68"/>
      <c r="DP102" s="68"/>
      <c r="DQ102" s="68"/>
      <c r="DR102" s="68"/>
      <c r="DS102" s="68"/>
      <c r="DT102" s="68"/>
      <c r="DU102" s="68"/>
      <c r="DV102" s="68"/>
      <c r="DW102" s="68"/>
      <c r="DX102" s="68"/>
      <c r="DY102" s="68"/>
      <c r="DZ102" s="68"/>
      <c r="EA102" s="68"/>
      <c r="EB102" s="68"/>
      <c r="EC102" s="68"/>
      <c r="ED102" s="68"/>
      <c r="EE102" s="68"/>
      <c r="EF102" s="68"/>
      <c r="EG102" s="68"/>
      <c r="EH102" s="68"/>
      <c r="EI102" s="68"/>
      <c r="EJ102" s="68"/>
      <c r="EK102" s="68"/>
      <c r="EL102" s="68"/>
      <c r="EM102" s="68"/>
      <c r="EN102" s="68"/>
      <c r="EO102" s="68"/>
      <c r="EP102" s="68"/>
    </row>
    <row r="103" spans="1:146" s="78" customFormat="1" ht="11.25">
      <c r="A103" s="87" t="str">
        <f t="shared" si="12"/>
        <v>Miscellaneous RidersSECONDARY &lt; 10 kW</v>
      </c>
      <c r="B103" s="83">
        <v>2</v>
      </c>
      <c r="C103" s="78" t="s">
        <v>150</v>
      </c>
      <c r="D103" s="85" t="s">
        <v>4</v>
      </c>
      <c r="E103" s="124">
        <v>0</v>
      </c>
      <c r="F103" s="124">
        <v>0</v>
      </c>
      <c r="G103" s="124">
        <v>0</v>
      </c>
      <c r="H103" s="124">
        <v>0</v>
      </c>
      <c r="I103" s="124">
        <v>0</v>
      </c>
      <c r="J103" s="124">
        <v>0</v>
      </c>
      <c r="K103" s="124">
        <v>0</v>
      </c>
      <c r="L103" s="124">
        <v>0</v>
      </c>
      <c r="M103" s="124">
        <v>0</v>
      </c>
      <c r="N103" s="124">
        <v>0</v>
      </c>
      <c r="O103" s="124">
        <v>0</v>
      </c>
      <c r="P103" s="124">
        <v>0</v>
      </c>
      <c r="Q103" s="124">
        <f>SUM(E103:P103)</f>
        <v>0</v>
      </c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  <c r="BB103" s="68"/>
      <c r="BC103" s="68"/>
      <c r="BD103" s="68"/>
      <c r="BE103" s="68"/>
      <c r="BF103" s="68"/>
      <c r="BG103" s="68"/>
      <c r="BH103" s="68"/>
      <c r="BI103" s="68"/>
      <c r="BJ103" s="68"/>
      <c r="BK103" s="68"/>
      <c r="BL103" s="68"/>
      <c r="BM103" s="68"/>
      <c r="BN103" s="68"/>
      <c r="BO103" s="68"/>
      <c r="BP103" s="68"/>
      <c r="BQ103" s="68"/>
      <c r="BR103" s="68"/>
      <c r="BS103" s="68"/>
      <c r="BT103" s="68"/>
      <c r="BU103" s="68"/>
      <c r="BV103" s="68"/>
      <c r="BW103" s="68"/>
      <c r="BX103" s="68"/>
      <c r="BY103" s="68"/>
      <c r="BZ103" s="68"/>
      <c r="CA103" s="68"/>
      <c r="CB103" s="68"/>
      <c r="CC103" s="68"/>
      <c r="CD103" s="68"/>
      <c r="CE103" s="68"/>
      <c r="CF103" s="68"/>
      <c r="CG103" s="68"/>
      <c r="CH103" s="68"/>
      <c r="CI103" s="68"/>
      <c r="CJ103" s="68"/>
      <c r="CK103" s="68"/>
      <c r="CL103" s="68"/>
      <c r="CM103" s="68"/>
      <c r="CN103" s="68"/>
      <c r="CO103" s="68"/>
      <c r="CP103" s="68"/>
      <c r="CQ103" s="68"/>
      <c r="CR103" s="68"/>
      <c r="CS103" s="68"/>
      <c r="CT103" s="68"/>
      <c r="CU103" s="68"/>
      <c r="CV103" s="68"/>
      <c r="CW103" s="68"/>
      <c r="CX103" s="68"/>
      <c r="CY103" s="68"/>
      <c r="CZ103" s="68"/>
      <c r="DA103" s="68"/>
      <c r="DB103" s="68"/>
      <c r="DC103" s="68"/>
      <c r="DD103" s="68"/>
      <c r="DE103" s="68"/>
      <c r="DF103" s="68"/>
      <c r="DG103" s="68"/>
      <c r="DH103" s="68"/>
      <c r="DI103" s="68"/>
      <c r="DJ103" s="68"/>
      <c r="DK103" s="68"/>
      <c r="DL103" s="68"/>
      <c r="DM103" s="68"/>
      <c r="DN103" s="68"/>
      <c r="DO103" s="68"/>
      <c r="DP103" s="68"/>
      <c r="DQ103" s="68"/>
      <c r="DR103" s="68"/>
      <c r="DS103" s="68"/>
      <c r="DT103" s="68"/>
      <c r="DU103" s="68"/>
      <c r="DV103" s="68"/>
      <c r="DW103" s="68"/>
      <c r="DX103" s="68"/>
      <c r="DY103" s="68"/>
      <c r="DZ103" s="68"/>
      <c r="EA103" s="68"/>
      <c r="EB103" s="68"/>
      <c r="EC103" s="68"/>
      <c r="ED103" s="68"/>
      <c r="EE103" s="68"/>
      <c r="EF103" s="68"/>
      <c r="EG103" s="68"/>
      <c r="EH103" s="68"/>
      <c r="EI103" s="68"/>
      <c r="EJ103" s="68"/>
      <c r="EK103" s="68"/>
      <c r="EL103" s="68"/>
      <c r="EM103" s="68"/>
      <c r="EN103" s="68"/>
      <c r="EO103" s="68"/>
      <c r="EP103" s="68"/>
    </row>
    <row r="104" spans="1:146" s="78" customFormat="1" ht="11.25">
      <c r="A104" s="87" t="str">
        <f t="shared" si="12"/>
        <v>Miscellaneous Riders</v>
      </c>
      <c r="B104" s="83"/>
      <c r="D104" s="85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  <c r="BC104" s="68"/>
      <c r="BD104" s="68"/>
      <c r="BE104" s="68"/>
      <c r="BF104" s="68"/>
      <c r="BG104" s="68"/>
      <c r="BH104" s="68"/>
      <c r="BI104" s="68"/>
      <c r="BJ104" s="68"/>
      <c r="BK104" s="68"/>
      <c r="BL104" s="68"/>
      <c r="BM104" s="68"/>
      <c r="BN104" s="68"/>
      <c r="BO104" s="68"/>
      <c r="BP104" s="68"/>
      <c r="BQ104" s="68"/>
      <c r="BR104" s="68"/>
      <c r="BS104" s="68"/>
      <c r="BT104" s="68"/>
      <c r="BU104" s="68"/>
      <c r="BV104" s="68"/>
      <c r="BW104" s="68"/>
      <c r="BX104" s="68"/>
      <c r="BY104" s="68"/>
      <c r="BZ104" s="68"/>
      <c r="CA104" s="68"/>
      <c r="CB104" s="68"/>
      <c r="CC104" s="68"/>
      <c r="CD104" s="68"/>
      <c r="CE104" s="68"/>
      <c r="CF104" s="68"/>
      <c r="CG104" s="68"/>
      <c r="CH104" s="68"/>
      <c r="CI104" s="68"/>
      <c r="CJ104" s="68"/>
      <c r="CK104" s="68"/>
      <c r="CL104" s="68"/>
      <c r="CM104" s="68"/>
      <c r="CN104" s="68"/>
      <c r="CO104" s="68"/>
      <c r="CP104" s="68"/>
      <c r="CQ104" s="68"/>
      <c r="CR104" s="68"/>
      <c r="CS104" s="68"/>
      <c r="CT104" s="68"/>
      <c r="CU104" s="68"/>
      <c r="CV104" s="68"/>
      <c r="CW104" s="68"/>
      <c r="CX104" s="68"/>
      <c r="CY104" s="68"/>
      <c r="CZ104" s="68"/>
      <c r="DA104" s="68"/>
      <c r="DB104" s="68"/>
      <c r="DC104" s="68"/>
      <c r="DD104" s="68"/>
      <c r="DE104" s="68"/>
      <c r="DF104" s="68"/>
      <c r="DG104" s="68"/>
      <c r="DH104" s="68"/>
      <c r="DI104" s="68"/>
      <c r="DJ104" s="68"/>
      <c r="DK104" s="68"/>
      <c r="DL104" s="68"/>
      <c r="DM104" s="68"/>
      <c r="DN104" s="68"/>
      <c r="DO104" s="68"/>
      <c r="DP104" s="68"/>
      <c r="DQ104" s="68"/>
      <c r="DR104" s="68"/>
      <c r="DS104" s="68"/>
      <c r="DT104" s="68"/>
      <c r="DU104" s="68"/>
      <c r="DV104" s="68"/>
      <c r="DW104" s="68"/>
      <c r="DX104" s="68"/>
      <c r="DY104" s="68"/>
      <c r="DZ104" s="68"/>
      <c r="EA104" s="68"/>
      <c r="EB104" s="68"/>
      <c r="EC104" s="68"/>
      <c r="ED104" s="68"/>
      <c r="EE104" s="68"/>
      <c r="EF104" s="68"/>
      <c r="EG104" s="68"/>
      <c r="EH104" s="68"/>
      <c r="EI104" s="68"/>
      <c r="EJ104" s="68"/>
      <c r="EK104" s="68"/>
      <c r="EL104" s="68"/>
      <c r="EM104" s="68"/>
      <c r="EN104" s="68"/>
      <c r="EO104" s="68"/>
      <c r="EP104" s="68"/>
    </row>
    <row r="105" spans="1:146" s="78" customFormat="1" ht="11.25">
      <c r="A105" s="87" t="str">
        <f t="shared" si="12"/>
        <v>Miscellaneous RidersSECONDARY &gt; 10 kW NCP</v>
      </c>
      <c r="B105" s="83">
        <v>3</v>
      </c>
      <c r="C105" s="87" t="s">
        <v>81</v>
      </c>
      <c r="D105" s="74" t="s">
        <v>4</v>
      </c>
      <c r="E105" s="124">
        <v>0</v>
      </c>
      <c r="F105" s="124">
        <v>0</v>
      </c>
      <c r="G105" s="124">
        <v>0</v>
      </c>
      <c r="H105" s="124">
        <v>0</v>
      </c>
      <c r="I105" s="124">
        <v>0</v>
      </c>
      <c r="J105" s="124">
        <v>0</v>
      </c>
      <c r="K105" s="124">
        <v>0</v>
      </c>
      <c r="L105" s="124">
        <v>0</v>
      </c>
      <c r="M105" s="124">
        <v>0</v>
      </c>
      <c r="N105" s="124">
        <v>0</v>
      </c>
      <c r="O105" s="124">
        <v>0</v>
      </c>
      <c r="P105" s="124">
        <v>0</v>
      </c>
      <c r="Q105" s="124">
        <f>SUM(E105:P105)</f>
        <v>0</v>
      </c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  <c r="BB105" s="68"/>
      <c r="BC105" s="68"/>
      <c r="BD105" s="68"/>
      <c r="BE105" s="68"/>
      <c r="BF105" s="68"/>
      <c r="BG105" s="68"/>
      <c r="BH105" s="68"/>
      <c r="BI105" s="68"/>
      <c r="BJ105" s="68"/>
      <c r="BK105" s="68"/>
      <c r="BL105" s="68"/>
      <c r="BM105" s="68"/>
      <c r="BN105" s="68"/>
      <c r="BO105" s="68"/>
      <c r="BP105" s="68"/>
      <c r="BQ105" s="68"/>
      <c r="BR105" s="68"/>
      <c r="BS105" s="68"/>
      <c r="BT105" s="68"/>
      <c r="BU105" s="68"/>
      <c r="BV105" s="68"/>
      <c r="BW105" s="68"/>
      <c r="BX105" s="68"/>
      <c r="BY105" s="68"/>
      <c r="BZ105" s="68"/>
      <c r="CA105" s="68"/>
      <c r="CB105" s="68"/>
      <c r="CC105" s="68"/>
      <c r="CD105" s="68"/>
      <c r="CE105" s="68"/>
      <c r="CF105" s="68"/>
      <c r="CG105" s="68"/>
      <c r="CH105" s="68"/>
      <c r="CI105" s="68"/>
      <c r="CJ105" s="68"/>
      <c r="CK105" s="68"/>
      <c r="CL105" s="68"/>
      <c r="CM105" s="68"/>
      <c r="CN105" s="68"/>
      <c r="CO105" s="68"/>
      <c r="CP105" s="68"/>
      <c r="CQ105" s="68"/>
      <c r="CR105" s="68"/>
      <c r="CS105" s="68"/>
      <c r="CT105" s="68"/>
      <c r="CU105" s="68"/>
      <c r="CV105" s="68"/>
      <c r="CW105" s="68"/>
      <c r="CX105" s="68"/>
      <c r="CY105" s="68"/>
      <c r="CZ105" s="68"/>
      <c r="DA105" s="68"/>
      <c r="DB105" s="68"/>
      <c r="DC105" s="68"/>
      <c r="DD105" s="68"/>
      <c r="DE105" s="68"/>
      <c r="DF105" s="68"/>
      <c r="DG105" s="68"/>
      <c r="DH105" s="68"/>
      <c r="DI105" s="68"/>
      <c r="DJ105" s="68"/>
      <c r="DK105" s="68"/>
      <c r="DL105" s="68"/>
      <c r="DM105" s="68"/>
      <c r="DN105" s="68"/>
      <c r="DO105" s="68"/>
      <c r="DP105" s="68"/>
      <c r="DQ105" s="68"/>
      <c r="DR105" s="68"/>
      <c r="DS105" s="68"/>
      <c r="DT105" s="68"/>
      <c r="DU105" s="68"/>
      <c r="DV105" s="68"/>
      <c r="DW105" s="68"/>
      <c r="DX105" s="68"/>
      <c r="DY105" s="68"/>
      <c r="DZ105" s="68"/>
      <c r="EA105" s="68"/>
      <c r="EB105" s="68"/>
      <c r="EC105" s="68"/>
      <c r="ED105" s="68"/>
      <c r="EE105" s="68"/>
      <c r="EF105" s="68"/>
      <c r="EG105" s="68"/>
      <c r="EH105" s="68"/>
      <c r="EI105" s="68"/>
      <c r="EJ105" s="68"/>
      <c r="EK105" s="68"/>
      <c r="EL105" s="68"/>
      <c r="EM105" s="68"/>
      <c r="EN105" s="68"/>
      <c r="EO105" s="68"/>
      <c r="EP105" s="68"/>
    </row>
    <row r="106" spans="1:146" s="78" customFormat="1" ht="11.25">
      <c r="A106" s="87" t="str">
        <f t="shared" si="12"/>
        <v>Miscellaneous RidersSECONDARY &gt; 10 kW 4CP</v>
      </c>
      <c r="B106" s="83">
        <v>4</v>
      </c>
      <c r="C106" s="87" t="s">
        <v>85</v>
      </c>
      <c r="D106" s="74" t="s">
        <v>4</v>
      </c>
      <c r="E106" s="149">
        <v>0</v>
      </c>
      <c r="F106" s="149">
        <v>0</v>
      </c>
      <c r="G106" s="149">
        <v>0</v>
      </c>
      <c r="H106" s="149">
        <v>0</v>
      </c>
      <c r="I106" s="149">
        <v>0</v>
      </c>
      <c r="J106" s="149">
        <v>0</v>
      </c>
      <c r="K106" s="149">
        <v>0</v>
      </c>
      <c r="L106" s="149">
        <v>0</v>
      </c>
      <c r="M106" s="149">
        <v>0</v>
      </c>
      <c r="N106" s="149">
        <v>0</v>
      </c>
      <c r="O106" s="149">
        <v>0</v>
      </c>
      <c r="P106" s="149">
        <v>0</v>
      </c>
      <c r="Q106" s="149">
        <f>SUM(E106:P106)</f>
        <v>0</v>
      </c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68"/>
      <c r="BK106" s="68"/>
      <c r="BL106" s="68"/>
      <c r="BM106" s="68"/>
      <c r="BN106" s="68"/>
      <c r="BO106" s="68"/>
      <c r="BP106" s="68"/>
      <c r="BQ106" s="68"/>
      <c r="BR106" s="68"/>
      <c r="BS106" s="68"/>
      <c r="BT106" s="68"/>
      <c r="BU106" s="68"/>
      <c r="BV106" s="68"/>
      <c r="BW106" s="68"/>
      <c r="BX106" s="68"/>
      <c r="BY106" s="68"/>
      <c r="BZ106" s="68"/>
      <c r="CA106" s="68"/>
      <c r="CB106" s="68"/>
      <c r="CC106" s="68"/>
      <c r="CD106" s="68"/>
      <c r="CE106" s="68"/>
      <c r="CF106" s="68"/>
      <c r="CG106" s="68"/>
      <c r="CH106" s="68"/>
      <c r="CI106" s="68"/>
      <c r="CJ106" s="68"/>
      <c r="CK106" s="68"/>
      <c r="CL106" s="68"/>
      <c r="CM106" s="68"/>
      <c r="CN106" s="68"/>
      <c r="CO106" s="68"/>
      <c r="CP106" s="68"/>
      <c r="CQ106" s="68"/>
      <c r="CR106" s="68"/>
      <c r="CS106" s="68"/>
      <c r="CT106" s="68"/>
      <c r="CU106" s="68"/>
      <c r="CV106" s="68"/>
      <c r="CW106" s="68"/>
      <c r="CX106" s="68"/>
      <c r="CY106" s="68"/>
      <c r="CZ106" s="68"/>
      <c r="DA106" s="68"/>
      <c r="DB106" s="68"/>
      <c r="DC106" s="68"/>
      <c r="DD106" s="68"/>
      <c r="DE106" s="68"/>
      <c r="DF106" s="68"/>
      <c r="DG106" s="68"/>
      <c r="DH106" s="68"/>
      <c r="DI106" s="68"/>
      <c r="DJ106" s="68"/>
      <c r="DK106" s="68"/>
      <c r="DL106" s="68"/>
      <c r="DM106" s="68"/>
      <c r="DN106" s="68"/>
      <c r="DO106" s="68"/>
      <c r="DP106" s="68"/>
      <c r="DQ106" s="68"/>
      <c r="DR106" s="68"/>
      <c r="DS106" s="68"/>
      <c r="DT106" s="68"/>
      <c r="DU106" s="68"/>
      <c r="DV106" s="68"/>
      <c r="DW106" s="68"/>
      <c r="DX106" s="68"/>
      <c r="DY106" s="68"/>
      <c r="DZ106" s="68"/>
      <c r="EA106" s="68"/>
      <c r="EB106" s="68"/>
      <c r="EC106" s="68"/>
      <c r="ED106" s="68"/>
      <c r="EE106" s="68"/>
      <c r="EF106" s="68"/>
      <c r="EG106" s="68"/>
      <c r="EH106" s="68"/>
      <c r="EI106" s="68"/>
      <c r="EJ106" s="68"/>
      <c r="EK106" s="68"/>
      <c r="EL106" s="68"/>
      <c r="EM106" s="68"/>
      <c r="EN106" s="68"/>
      <c r="EO106" s="68"/>
      <c r="EP106" s="68"/>
    </row>
    <row r="107" spans="1:146" s="78" customFormat="1" ht="11.25">
      <c r="A107" s="87" t="str">
        <f t="shared" si="12"/>
        <v>Miscellaneous RidersTOTAL SECONDARY &gt; 10 kW</v>
      </c>
      <c r="B107" s="83">
        <v>5</v>
      </c>
      <c r="C107" s="96" t="s">
        <v>18</v>
      </c>
      <c r="D107" s="85"/>
      <c r="E107" s="124">
        <f>SUM(E105:E106)</f>
        <v>0</v>
      </c>
      <c r="F107" s="124">
        <f t="shared" ref="F107:Q107" si="13">SUM(F105:F106)</f>
        <v>0</v>
      </c>
      <c r="G107" s="124">
        <f t="shared" si="13"/>
        <v>0</v>
      </c>
      <c r="H107" s="124">
        <f t="shared" si="13"/>
        <v>0</v>
      </c>
      <c r="I107" s="124">
        <f t="shared" si="13"/>
        <v>0</v>
      </c>
      <c r="J107" s="124">
        <f t="shared" si="13"/>
        <v>0</v>
      </c>
      <c r="K107" s="124">
        <f t="shared" si="13"/>
        <v>0</v>
      </c>
      <c r="L107" s="124">
        <f t="shared" si="13"/>
        <v>0</v>
      </c>
      <c r="M107" s="124">
        <f t="shared" si="13"/>
        <v>0</v>
      </c>
      <c r="N107" s="124">
        <f t="shared" si="13"/>
        <v>0</v>
      </c>
      <c r="O107" s="124">
        <f t="shared" si="13"/>
        <v>0</v>
      </c>
      <c r="P107" s="124">
        <f t="shared" si="13"/>
        <v>0</v>
      </c>
      <c r="Q107" s="124">
        <f t="shared" si="13"/>
        <v>0</v>
      </c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8"/>
      <c r="BA107" s="68"/>
      <c r="BB107" s="68"/>
      <c r="BC107" s="68"/>
      <c r="BD107" s="68"/>
      <c r="BE107" s="68"/>
      <c r="BF107" s="68"/>
      <c r="BG107" s="68"/>
      <c r="BH107" s="68"/>
      <c r="BI107" s="68"/>
      <c r="BJ107" s="68"/>
      <c r="BK107" s="68"/>
      <c r="BL107" s="68"/>
      <c r="BM107" s="68"/>
      <c r="BN107" s="68"/>
      <c r="BO107" s="68"/>
      <c r="BP107" s="68"/>
      <c r="BQ107" s="68"/>
      <c r="BR107" s="68"/>
      <c r="BS107" s="68"/>
      <c r="BT107" s="68"/>
      <c r="BU107" s="68"/>
      <c r="BV107" s="68"/>
      <c r="BW107" s="68"/>
      <c r="BX107" s="68"/>
      <c r="BY107" s="68"/>
      <c r="BZ107" s="68"/>
      <c r="CA107" s="68"/>
      <c r="CB107" s="68"/>
      <c r="CC107" s="68"/>
      <c r="CD107" s="68"/>
      <c r="CE107" s="68"/>
      <c r="CF107" s="68"/>
      <c r="CG107" s="68"/>
      <c r="CH107" s="68"/>
      <c r="CI107" s="68"/>
      <c r="CJ107" s="68"/>
      <c r="CK107" s="68"/>
      <c r="CL107" s="68"/>
      <c r="CM107" s="68"/>
      <c r="CN107" s="68"/>
      <c r="CO107" s="68"/>
      <c r="CP107" s="68"/>
      <c r="CQ107" s="68"/>
      <c r="CR107" s="68"/>
      <c r="CS107" s="68"/>
      <c r="CT107" s="68"/>
      <c r="CU107" s="68"/>
      <c r="CV107" s="68"/>
      <c r="CW107" s="68"/>
      <c r="CX107" s="68"/>
      <c r="CY107" s="68"/>
      <c r="CZ107" s="68"/>
      <c r="DA107" s="68"/>
      <c r="DB107" s="68"/>
      <c r="DC107" s="68"/>
      <c r="DD107" s="68"/>
      <c r="DE107" s="68"/>
      <c r="DF107" s="68"/>
      <c r="DG107" s="68"/>
      <c r="DH107" s="68"/>
      <c r="DI107" s="68"/>
      <c r="DJ107" s="68"/>
      <c r="DK107" s="68"/>
      <c r="DL107" s="68"/>
      <c r="DM107" s="68"/>
      <c r="DN107" s="68"/>
      <c r="DO107" s="68"/>
      <c r="DP107" s="68"/>
      <c r="DQ107" s="68"/>
      <c r="DR107" s="68"/>
      <c r="DS107" s="68"/>
      <c r="DT107" s="68"/>
      <c r="DU107" s="68"/>
      <c r="DV107" s="68"/>
      <c r="DW107" s="68"/>
      <c r="DX107" s="68"/>
      <c r="DY107" s="68"/>
      <c r="DZ107" s="68"/>
      <c r="EA107" s="68"/>
      <c r="EB107" s="68"/>
      <c r="EC107" s="68"/>
      <c r="ED107" s="68"/>
      <c r="EE107" s="68"/>
      <c r="EF107" s="68"/>
      <c r="EG107" s="68"/>
      <c r="EH107" s="68"/>
      <c r="EI107" s="68"/>
      <c r="EJ107" s="68"/>
      <c r="EK107" s="68"/>
      <c r="EL107" s="68"/>
      <c r="EM107" s="68"/>
      <c r="EN107" s="68"/>
      <c r="EO107" s="68"/>
      <c r="EP107" s="68"/>
    </row>
    <row r="108" spans="1:146" s="78" customFormat="1" ht="11.25">
      <c r="A108" s="87" t="str">
        <f t="shared" si="12"/>
        <v>Miscellaneous Riders</v>
      </c>
      <c r="C108" s="146"/>
      <c r="D108" s="85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/>
      <c r="AP108" s="68"/>
      <c r="AQ108" s="68"/>
      <c r="AR108" s="68"/>
      <c r="AS108" s="68"/>
      <c r="AT108" s="68"/>
      <c r="AU108" s="68"/>
      <c r="AV108" s="68"/>
      <c r="AW108" s="68"/>
      <c r="AX108" s="68"/>
      <c r="AY108" s="68"/>
      <c r="AZ108" s="68"/>
      <c r="BA108" s="68"/>
      <c r="BB108" s="68"/>
      <c r="BC108" s="68"/>
      <c r="BD108" s="68"/>
      <c r="BE108" s="68"/>
      <c r="BF108" s="68"/>
      <c r="BG108" s="68"/>
      <c r="BH108" s="68"/>
      <c r="BI108" s="68"/>
      <c r="BJ108" s="68"/>
      <c r="BK108" s="68"/>
      <c r="BL108" s="68"/>
      <c r="BM108" s="68"/>
      <c r="BN108" s="68"/>
      <c r="BO108" s="68"/>
      <c r="BP108" s="68"/>
      <c r="BQ108" s="68"/>
      <c r="BR108" s="68"/>
      <c r="BS108" s="68"/>
      <c r="BT108" s="68"/>
      <c r="BU108" s="68"/>
      <c r="BV108" s="68"/>
      <c r="BW108" s="68"/>
      <c r="BX108" s="68"/>
      <c r="BY108" s="68"/>
      <c r="BZ108" s="68"/>
      <c r="CA108" s="68"/>
      <c r="CB108" s="68"/>
      <c r="CC108" s="68"/>
      <c r="CD108" s="68"/>
      <c r="CE108" s="68"/>
      <c r="CF108" s="68"/>
      <c r="CG108" s="68"/>
      <c r="CH108" s="68"/>
      <c r="CI108" s="68"/>
      <c r="CJ108" s="68"/>
      <c r="CK108" s="68"/>
      <c r="CL108" s="68"/>
      <c r="CM108" s="68"/>
      <c r="CN108" s="68"/>
      <c r="CO108" s="68"/>
      <c r="CP108" s="68"/>
      <c r="CQ108" s="68"/>
      <c r="CR108" s="68"/>
      <c r="CS108" s="68"/>
      <c r="CT108" s="68"/>
      <c r="CU108" s="68"/>
      <c r="CV108" s="68"/>
      <c r="CW108" s="68"/>
      <c r="CX108" s="68"/>
      <c r="CY108" s="68"/>
      <c r="CZ108" s="68"/>
      <c r="DA108" s="68"/>
      <c r="DB108" s="68"/>
      <c r="DC108" s="68"/>
      <c r="DD108" s="68"/>
      <c r="DE108" s="68"/>
      <c r="DF108" s="68"/>
      <c r="DG108" s="68"/>
      <c r="DH108" s="68"/>
      <c r="DI108" s="68"/>
      <c r="DJ108" s="68"/>
      <c r="DK108" s="68"/>
      <c r="DL108" s="68"/>
      <c r="DM108" s="68"/>
      <c r="DN108" s="68"/>
      <c r="DO108" s="68"/>
      <c r="DP108" s="68"/>
      <c r="DQ108" s="68"/>
      <c r="DR108" s="68"/>
      <c r="DS108" s="68"/>
      <c r="DT108" s="68"/>
      <c r="DU108" s="68"/>
      <c r="DV108" s="68"/>
      <c r="DW108" s="68"/>
      <c r="DX108" s="68"/>
      <c r="DY108" s="68"/>
      <c r="DZ108" s="68"/>
      <c r="EA108" s="68"/>
      <c r="EB108" s="68"/>
      <c r="EC108" s="68"/>
      <c r="ED108" s="68"/>
      <c r="EE108" s="68"/>
      <c r="EF108" s="68"/>
      <c r="EG108" s="68"/>
      <c r="EH108" s="68"/>
      <c r="EI108" s="68"/>
      <c r="EJ108" s="68"/>
      <c r="EK108" s="68"/>
      <c r="EL108" s="68"/>
      <c r="EM108" s="68"/>
      <c r="EN108" s="68"/>
      <c r="EO108" s="68"/>
      <c r="EP108" s="68"/>
    </row>
    <row r="109" spans="1:146" s="78" customFormat="1" ht="11.25">
      <c r="A109" s="87" t="str">
        <f t="shared" si="12"/>
        <v>Miscellaneous RidersPRIMARY NCP</v>
      </c>
      <c r="B109" s="83">
        <v>6</v>
      </c>
      <c r="C109" s="87" t="s">
        <v>82</v>
      </c>
      <c r="D109" s="74" t="s">
        <v>5</v>
      </c>
      <c r="E109" s="124">
        <v>0</v>
      </c>
      <c r="F109" s="124">
        <v>0</v>
      </c>
      <c r="G109" s="124">
        <v>0</v>
      </c>
      <c r="H109" s="124">
        <v>0</v>
      </c>
      <c r="I109" s="124">
        <v>0</v>
      </c>
      <c r="J109" s="124">
        <v>0</v>
      </c>
      <c r="K109" s="124">
        <v>0</v>
      </c>
      <c r="L109" s="124">
        <v>0</v>
      </c>
      <c r="M109" s="124">
        <v>0</v>
      </c>
      <c r="N109" s="124">
        <v>0</v>
      </c>
      <c r="O109" s="124">
        <v>0</v>
      </c>
      <c r="P109" s="124">
        <v>0</v>
      </c>
      <c r="Q109" s="124">
        <f>SUM(E109:P109)</f>
        <v>0</v>
      </c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8"/>
      <c r="BA109" s="68"/>
      <c r="BB109" s="68"/>
      <c r="BC109" s="68"/>
      <c r="BD109" s="68"/>
      <c r="BE109" s="68"/>
      <c r="BF109" s="68"/>
      <c r="BG109" s="68"/>
      <c r="BH109" s="68"/>
      <c r="BI109" s="68"/>
      <c r="BJ109" s="68"/>
      <c r="BK109" s="68"/>
      <c r="BL109" s="68"/>
      <c r="BM109" s="68"/>
      <c r="BN109" s="68"/>
      <c r="BO109" s="68"/>
      <c r="BP109" s="68"/>
      <c r="BQ109" s="68"/>
      <c r="BR109" s="68"/>
      <c r="BS109" s="68"/>
      <c r="BT109" s="68"/>
      <c r="BU109" s="68"/>
      <c r="BV109" s="68"/>
      <c r="BW109" s="68"/>
      <c r="BX109" s="68"/>
      <c r="BY109" s="68"/>
      <c r="BZ109" s="68"/>
      <c r="CA109" s="68"/>
      <c r="CB109" s="68"/>
      <c r="CC109" s="68"/>
      <c r="CD109" s="68"/>
      <c r="CE109" s="68"/>
      <c r="CF109" s="68"/>
      <c r="CG109" s="68"/>
      <c r="CH109" s="68"/>
      <c r="CI109" s="68"/>
      <c r="CJ109" s="68"/>
      <c r="CK109" s="68"/>
      <c r="CL109" s="68"/>
      <c r="CM109" s="68"/>
      <c r="CN109" s="68"/>
      <c r="CO109" s="68"/>
      <c r="CP109" s="68"/>
      <c r="CQ109" s="68"/>
      <c r="CR109" s="68"/>
      <c r="CS109" s="68"/>
      <c r="CT109" s="68"/>
      <c r="CU109" s="68"/>
      <c r="CV109" s="68"/>
      <c r="CW109" s="68"/>
      <c r="CX109" s="68"/>
      <c r="CY109" s="68"/>
      <c r="CZ109" s="68"/>
      <c r="DA109" s="68"/>
      <c r="DB109" s="68"/>
      <c r="DC109" s="68"/>
      <c r="DD109" s="68"/>
      <c r="DE109" s="68"/>
      <c r="DF109" s="68"/>
      <c r="DG109" s="68"/>
      <c r="DH109" s="68"/>
      <c r="DI109" s="68"/>
      <c r="DJ109" s="68"/>
      <c r="DK109" s="68"/>
      <c r="DL109" s="68"/>
      <c r="DM109" s="68"/>
      <c r="DN109" s="68"/>
      <c r="DO109" s="68"/>
      <c r="DP109" s="68"/>
      <c r="DQ109" s="68"/>
      <c r="DR109" s="68"/>
      <c r="DS109" s="68"/>
      <c r="DT109" s="68"/>
      <c r="DU109" s="68"/>
      <c r="DV109" s="68"/>
      <c r="DW109" s="68"/>
      <c r="DX109" s="68"/>
      <c r="DY109" s="68"/>
      <c r="DZ109" s="68"/>
      <c r="EA109" s="68"/>
      <c r="EB109" s="68"/>
      <c r="EC109" s="68"/>
      <c r="ED109" s="68"/>
      <c r="EE109" s="68"/>
      <c r="EF109" s="68"/>
      <c r="EG109" s="68"/>
      <c r="EH109" s="68"/>
      <c r="EI109" s="68"/>
      <c r="EJ109" s="68"/>
      <c r="EK109" s="68"/>
      <c r="EL109" s="68"/>
      <c r="EM109" s="68"/>
      <c r="EN109" s="68"/>
      <c r="EO109" s="68"/>
      <c r="EP109" s="68"/>
    </row>
    <row r="110" spans="1:146" s="78" customFormat="1" ht="11.25">
      <c r="A110" s="87" t="str">
        <f t="shared" si="12"/>
        <v>Miscellaneous RidersPRIMARY 4CP</v>
      </c>
      <c r="B110" s="83">
        <v>7</v>
      </c>
      <c r="C110" s="87" t="s">
        <v>83</v>
      </c>
      <c r="D110" s="74" t="s">
        <v>5</v>
      </c>
      <c r="E110" s="124">
        <v>0</v>
      </c>
      <c r="F110" s="124">
        <v>0</v>
      </c>
      <c r="G110" s="124">
        <v>0</v>
      </c>
      <c r="H110" s="124">
        <v>0</v>
      </c>
      <c r="I110" s="124">
        <v>0</v>
      </c>
      <c r="J110" s="124">
        <v>0</v>
      </c>
      <c r="K110" s="124">
        <v>0</v>
      </c>
      <c r="L110" s="124">
        <v>0</v>
      </c>
      <c r="M110" s="124">
        <v>0</v>
      </c>
      <c r="N110" s="124">
        <v>0</v>
      </c>
      <c r="O110" s="124">
        <v>0</v>
      </c>
      <c r="P110" s="124">
        <v>0</v>
      </c>
      <c r="Q110" s="124">
        <f>SUM(E110:P110)</f>
        <v>0</v>
      </c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  <c r="BB110" s="68"/>
      <c r="BC110" s="68"/>
      <c r="BD110" s="68"/>
      <c r="BE110" s="68"/>
      <c r="BF110" s="68"/>
      <c r="BG110" s="68"/>
      <c r="BH110" s="68"/>
      <c r="BI110" s="68"/>
      <c r="BJ110" s="68"/>
      <c r="BK110" s="68"/>
      <c r="BL110" s="68"/>
      <c r="BM110" s="68"/>
      <c r="BN110" s="68"/>
      <c r="BO110" s="68"/>
      <c r="BP110" s="68"/>
      <c r="BQ110" s="68"/>
      <c r="BR110" s="68"/>
      <c r="BS110" s="68"/>
      <c r="BT110" s="68"/>
      <c r="BU110" s="68"/>
      <c r="BV110" s="68"/>
      <c r="BW110" s="68"/>
      <c r="BX110" s="68"/>
      <c r="BY110" s="68"/>
      <c r="BZ110" s="68"/>
      <c r="CA110" s="68"/>
      <c r="CB110" s="68"/>
      <c r="CC110" s="68"/>
      <c r="CD110" s="68"/>
      <c r="CE110" s="68"/>
      <c r="CF110" s="68"/>
      <c r="CG110" s="68"/>
      <c r="CH110" s="68"/>
      <c r="CI110" s="68"/>
      <c r="CJ110" s="68"/>
      <c r="CK110" s="68"/>
      <c r="CL110" s="68"/>
      <c r="CM110" s="68"/>
      <c r="CN110" s="68"/>
      <c r="CO110" s="68"/>
      <c r="CP110" s="68"/>
      <c r="CQ110" s="68"/>
      <c r="CR110" s="68"/>
      <c r="CS110" s="68"/>
      <c r="CT110" s="68"/>
      <c r="CU110" s="68"/>
      <c r="CV110" s="68"/>
      <c r="CW110" s="68"/>
      <c r="CX110" s="68"/>
      <c r="CY110" s="68"/>
      <c r="CZ110" s="68"/>
      <c r="DA110" s="68"/>
      <c r="DB110" s="68"/>
      <c r="DC110" s="68"/>
      <c r="DD110" s="68"/>
      <c r="DE110" s="68"/>
      <c r="DF110" s="68"/>
      <c r="DG110" s="68"/>
      <c r="DH110" s="68"/>
      <c r="DI110" s="68"/>
      <c r="DJ110" s="68"/>
      <c r="DK110" s="68"/>
      <c r="DL110" s="68"/>
      <c r="DM110" s="68"/>
      <c r="DN110" s="68"/>
      <c r="DO110" s="68"/>
      <c r="DP110" s="68"/>
      <c r="DQ110" s="68"/>
      <c r="DR110" s="68"/>
      <c r="DS110" s="68"/>
      <c r="DT110" s="68"/>
      <c r="DU110" s="68"/>
      <c r="DV110" s="68"/>
      <c r="DW110" s="68"/>
      <c r="DX110" s="68"/>
      <c r="DY110" s="68"/>
      <c r="DZ110" s="68"/>
      <c r="EA110" s="68"/>
      <c r="EB110" s="68"/>
      <c r="EC110" s="68"/>
      <c r="ED110" s="68"/>
      <c r="EE110" s="68"/>
      <c r="EF110" s="68"/>
      <c r="EG110" s="68"/>
      <c r="EH110" s="68"/>
      <c r="EI110" s="68"/>
      <c r="EJ110" s="68"/>
      <c r="EK110" s="68"/>
      <c r="EL110" s="68"/>
      <c r="EM110" s="68"/>
      <c r="EN110" s="68"/>
      <c r="EO110" s="68"/>
      <c r="EP110" s="68"/>
    </row>
    <row r="111" spans="1:146" s="78" customFormat="1" ht="11.25">
      <c r="A111" s="87" t="str">
        <f t="shared" si="12"/>
        <v>Miscellaneous RidersPRIMARY SUB NCP</v>
      </c>
      <c r="B111" s="83">
        <v>8</v>
      </c>
      <c r="C111" s="87" t="s">
        <v>148</v>
      </c>
      <c r="D111" s="74" t="s">
        <v>5</v>
      </c>
      <c r="E111" s="124">
        <v>0</v>
      </c>
      <c r="F111" s="124">
        <v>0</v>
      </c>
      <c r="G111" s="124">
        <v>0</v>
      </c>
      <c r="H111" s="124">
        <v>0</v>
      </c>
      <c r="I111" s="124">
        <v>0</v>
      </c>
      <c r="J111" s="124">
        <v>0</v>
      </c>
      <c r="K111" s="124">
        <v>0</v>
      </c>
      <c r="L111" s="124">
        <v>0</v>
      </c>
      <c r="M111" s="124">
        <v>0</v>
      </c>
      <c r="N111" s="124">
        <v>0</v>
      </c>
      <c r="O111" s="124">
        <v>0</v>
      </c>
      <c r="P111" s="124">
        <v>0</v>
      </c>
      <c r="Q111" s="124">
        <f t="shared" ref="Q111:Q112" si="14">SUM(E111:P111)</f>
        <v>0</v>
      </c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8"/>
      <c r="BB111" s="68"/>
      <c r="BC111" s="68"/>
      <c r="BD111" s="68"/>
      <c r="BE111" s="68"/>
      <c r="BF111" s="68"/>
      <c r="BG111" s="68"/>
      <c r="BH111" s="68"/>
      <c r="BI111" s="68"/>
      <c r="BJ111" s="68"/>
      <c r="BK111" s="68"/>
      <c r="BL111" s="68"/>
      <c r="BM111" s="68"/>
      <c r="BN111" s="68"/>
      <c r="BO111" s="68"/>
      <c r="BP111" s="68"/>
      <c r="BQ111" s="68"/>
      <c r="BR111" s="68"/>
      <c r="BS111" s="68"/>
      <c r="BT111" s="68"/>
      <c r="BU111" s="68"/>
      <c r="BV111" s="68"/>
      <c r="BW111" s="68"/>
      <c r="BX111" s="68"/>
      <c r="BY111" s="68"/>
      <c r="BZ111" s="68"/>
      <c r="CA111" s="68"/>
      <c r="CB111" s="68"/>
      <c r="CC111" s="68"/>
      <c r="CD111" s="68"/>
      <c r="CE111" s="68"/>
      <c r="CF111" s="68"/>
      <c r="CG111" s="68"/>
      <c r="CH111" s="68"/>
      <c r="CI111" s="68"/>
      <c r="CJ111" s="68"/>
      <c r="CK111" s="68"/>
      <c r="CL111" s="68"/>
      <c r="CM111" s="68"/>
      <c r="CN111" s="68"/>
      <c r="CO111" s="68"/>
      <c r="CP111" s="68"/>
      <c r="CQ111" s="68"/>
      <c r="CR111" s="68"/>
      <c r="CS111" s="68"/>
      <c r="CT111" s="68"/>
      <c r="CU111" s="68"/>
      <c r="CV111" s="68"/>
      <c r="CW111" s="68"/>
      <c r="CX111" s="68"/>
      <c r="CY111" s="68"/>
      <c r="CZ111" s="68"/>
      <c r="DA111" s="68"/>
      <c r="DB111" s="68"/>
      <c r="DC111" s="68"/>
      <c r="DD111" s="68"/>
      <c r="DE111" s="68"/>
      <c r="DF111" s="68"/>
      <c r="DG111" s="68"/>
      <c r="DH111" s="68"/>
      <c r="DI111" s="68"/>
      <c r="DJ111" s="68"/>
      <c r="DK111" s="68"/>
      <c r="DL111" s="68"/>
      <c r="DM111" s="68"/>
      <c r="DN111" s="68"/>
      <c r="DO111" s="68"/>
      <c r="DP111" s="68"/>
      <c r="DQ111" s="68"/>
      <c r="DR111" s="68"/>
      <c r="DS111" s="68"/>
      <c r="DT111" s="68"/>
      <c r="DU111" s="68"/>
      <c r="DV111" s="68"/>
      <c r="DW111" s="68"/>
      <c r="DX111" s="68"/>
      <c r="DY111" s="68"/>
      <c r="DZ111" s="68"/>
      <c r="EA111" s="68"/>
      <c r="EB111" s="68"/>
      <c r="EC111" s="68"/>
      <c r="ED111" s="68"/>
      <c r="EE111" s="68"/>
      <c r="EF111" s="68"/>
      <c r="EG111" s="68"/>
      <c r="EH111" s="68"/>
      <c r="EI111" s="68"/>
      <c r="EJ111" s="68"/>
      <c r="EK111" s="68"/>
      <c r="EL111" s="68"/>
      <c r="EM111" s="68"/>
      <c r="EN111" s="68"/>
      <c r="EO111" s="68"/>
      <c r="EP111" s="68"/>
    </row>
    <row r="112" spans="1:146" s="78" customFormat="1" ht="11.25">
      <c r="A112" s="87" t="str">
        <f t="shared" si="12"/>
        <v>Miscellaneous RidersPRIMARY SUB 4CP</v>
      </c>
      <c r="B112" s="83">
        <v>9</v>
      </c>
      <c r="C112" s="87" t="s">
        <v>149</v>
      </c>
      <c r="D112" s="74" t="s">
        <v>5</v>
      </c>
      <c r="E112" s="149">
        <v>0</v>
      </c>
      <c r="F112" s="149">
        <v>0</v>
      </c>
      <c r="G112" s="149">
        <v>0</v>
      </c>
      <c r="H112" s="149">
        <v>0</v>
      </c>
      <c r="I112" s="149">
        <v>0</v>
      </c>
      <c r="J112" s="149">
        <v>0</v>
      </c>
      <c r="K112" s="149">
        <v>0</v>
      </c>
      <c r="L112" s="149">
        <v>0</v>
      </c>
      <c r="M112" s="149">
        <v>0</v>
      </c>
      <c r="N112" s="149">
        <v>0</v>
      </c>
      <c r="O112" s="149">
        <v>0</v>
      </c>
      <c r="P112" s="149">
        <v>0</v>
      </c>
      <c r="Q112" s="149">
        <f t="shared" si="14"/>
        <v>0</v>
      </c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68"/>
      <c r="BC112" s="68"/>
      <c r="BD112" s="68"/>
      <c r="BE112" s="68"/>
      <c r="BF112" s="68"/>
      <c r="BG112" s="68"/>
      <c r="BH112" s="68"/>
      <c r="BI112" s="68"/>
      <c r="BJ112" s="68"/>
      <c r="BK112" s="68"/>
      <c r="BL112" s="68"/>
      <c r="BM112" s="68"/>
      <c r="BN112" s="68"/>
      <c r="BO112" s="68"/>
      <c r="BP112" s="68"/>
      <c r="BQ112" s="68"/>
      <c r="BR112" s="68"/>
      <c r="BS112" s="68"/>
      <c r="BT112" s="68"/>
      <c r="BU112" s="68"/>
      <c r="BV112" s="68"/>
      <c r="BW112" s="68"/>
      <c r="BX112" s="68"/>
      <c r="BY112" s="68"/>
      <c r="BZ112" s="68"/>
      <c r="CA112" s="68"/>
      <c r="CB112" s="68"/>
      <c r="CC112" s="68"/>
      <c r="CD112" s="68"/>
      <c r="CE112" s="68"/>
      <c r="CF112" s="68"/>
      <c r="CG112" s="68"/>
      <c r="CH112" s="68"/>
      <c r="CI112" s="68"/>
      <c r="CJ112" s="68"/>
      <c r="CK112" s="68"/>
      <c r="CL112" s="68"/>
      <c r="CM112" s="68"/>
      <c r="CN112" s="68"/>
      <c r="CO112" s="68"/>
      <c r="CP112" s="68"/>
      <c r="CQ112" s="68"/>
      <c r="CR112" s="68"/>
      <c r="CS112" s="68"/>
      <c r="CT112" s="68"/>
      <c r="CU112" s="68"/>
      <c r="CV112" s="68"/>
      <c r="CW112" s="68"/>
      <c r="CX112" s="68"/>
      <c r="CY112" s="68"/>
      <c r="CZ112" s="68"/>
      <c r="DA112" s="68"/>
      <c r="DB112" s="68"/>
      <c r="DC112" s="68"/>
      <c r="DD112" s="68"/>
      <c r="DE112" s="68"/>
      <c r="DF112" s="68"/>
      <c r="DG112" s="68"/>
      <c r="DH112" s="68"/>
      <c r="DI112" s="68"/>
      <c r="DJ112" s="68"/>
      <c r="DK112" s="68"/>
      <c r="DL112" s="68"/>
      <c r="DM112" s="68"/>
      <c r="DN112" s="68"/>
      <c r="DO112" s="68"/>
      <c r="DP112" s="68"/>
      <c r="DQ112" s="68"/>
      <c r="DR112" s="68"/>
      <c r="DS112" s="68"/>
      <c r="DT112" s="68"/>
      <c r="DU112" s="68"/>
      <c r="DV112" s="68"/>
      <c r="DW112" s="68"/>
      <c r="DX112" s="68"/>
      <c r="DY112" s="68"/>
      <c r="DZ112" s="68"/>
      <c r="EA112" s="68"/>
      <c r="EB112" s="68"/>
      <c r="EC112" s="68"/>
      <c r="ED112" s="68"/>
      <c r="EE112" s="68"/>
      <c r="EF112" s="68"/>
      <c r="EG112" s="68"/>
      <c r="EH112" s="68"/>
      <c r="EI112" s="68"/>
      <c r="EJ112" s="68"/>
      <c r="EK112" s="68"/>
      <c r="EL112" s="68"/>
      <c r="EM112" s="68"/>
      <c r="EN112" s="68"/>
      <c r="EO112" s="68"/>
      <c r="EP112" s="68"/>
    </row>
    <row r="113" spans="1:146" s="78" customFormat="1" ht="11.25">
      <c r="A113" s="87" t="str">
        <f t="shared" si="12"/>
        <v>Miscellaneous RidersTOTAL PRIMARY</v>
      </c>
      <c r="B113" s="83">
        <v>10</v>
      </c>
      <c r="C113" s="78" t="s">
        <v>19</v>
      </c>
      <c r="D113" s="74"/>
      <c r="E113" s="124">
        <f>SUM(E109:E112)</f>
        <v>0</v>
      </c>
      <c r="F113" s="124">
        <f t="shared" ref="F113:Q113" si="15">SUM(F109:F112)</f>
        <v>0</v>
      </c>
      <c r="G113" s="124">
        <f t="shared" si="15"/>
        <v>0</v>
      </c>
      <c r="H113" s="124">
        <f t="shared" si="15"/>
        <v>0</v>
      </c>
      <c r="I113" s="124">
        <f t="shared" si="15"/>
        <v>0</v>
      </c>
      <c r="J113" s="124">
        <f t="shared" si="15"/>
        <v>0</v>
      </c>
      <c r="K113" s="124">
        <f t="shared" si="15"/>
        <v>0</v>
      </c>
      <c r="L113" s="124">
        <f t="shared" si="15"/>
        <v>0</v>
      </c>
      <c r="M113" s="124">
        <f t="shared" si="15"/>
        <v>0</v>
      </c>
      <c r="N113" s="124">
        <f t="shared" si="15"/>
        <v>0</v>
      </c>
      <c r="O113" s="124">
        <f t="shared" si="15"/>
        <v>0</v>
      </c>
      <c r="P113" s="124">
        <f t="shared" si="15"/>
        <v>0</v>
      </c>
      <c r="Q113" s="124">
        <f t="shared" si="15"/>
        <v>0</v>
      </c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  <c r="AO113" s="68"/>
      <c r="AP113" s="68"/>
      <c r="AQ113" s="68"/>
      <c r="AR113" s="68"/>
      <c r="AS113" s="68"/>
      <c r="AT113" s="68"/>
      <c r="AU113" s="68"/>
      <c r="AV113" s="68"/>
      <c r="AW113" s="68"/>
      <c r="AX113" s="68"/>
      <c r="AY113" s="68"/>
      <c r="AZ113" s="68"/>
      <c r="BA113" s="68"/>
      <c r="BB113" s="68"/>
      <c r="BC113" s="68"/>
      <c r="BD113" s="68"/>
      <c r="BE113" s="68"/>
      <c r="BF113" s="68"/>
      <c r="BG113" s="68"/>
      <c r="BH113" s="68"/>
      <c r="BI113" s="68"/>
      <c r="BJ113" s="68"/>
      <c r="BK113" s="68"/>
      <c r="BL113" s="68"/>
      <c r="BM113" s="68"/>
      <c r="BN113" s="68"/>
      <c r="BO113" s="68"/>
      <c r="BP113" s="68"/>
      <c r="BQ113" s="68"/>
      <c r="BR113" s="68"/>
      <c r="BS113" s="68"/>
      <c r="BT113" s="68"/>
      <c r="BU113" s="68"/>
      <c r="BV113" s="68"/>
      <c r="BW113" s="68"/>
      <c r="BX113" s="68"/>
      <c r="BY113" s="68"/>
      <c r="BZ113" s="68"/>
      <c r="CA113" s="68"/>
      <c r="CB113" s="68"/>
      <c r="CC113" s="68"/>
      <c r="CD113" s="68"/>
      <c r="CE113" s="68"/>
      <c r="CF113" s="68"/>
      <c r="CG113" s="68"/>
      <c r="CH113" s="68"/>
      <c r="CI113" s="68"/>
      <c r="CJ113" s="68"/>
      <c r="CK113" s="68"/>
      <c r="CL113" s="68"/>
      <c r="CM113" s="68"/>
      <c r="CN113" s="68"/>
      <c r="CO113" s="68"/>
      <c r="CP113" s="68"/>
      <c r="CQ113" s="68"/>
      <c r="CR113" s="68"/>
      <c r="CS113" s="68"/>
      <c r="CT113" s="68"/>
      <c r="CU113" s="68"/>
      <c r="CV113" s="68"/>
      <c r="CW113" s="68"/>
      <c r="CX113" s="68"/>
      <c r="CY113" s="68"/>
      <c r="CZ113" s="68"/>
      <c r="DA113" s="68"/>
      <c r="DB113" s="68"/>
      <c r="DC113" s="68"/>
      <c r="DD113" s="68"/>
      <c r="DE113" s="68"/>
      <c r="DF113" s="68"/>
      <c r="DG113" s="68"/>
      <c r="DH113" s="68"/>
      <c r="DI113" s="68"/>
      <c r="DJ113" s="68"/>
      <c r="DK113" s="68"/>
      <c r="DL113" s="68"/>
      <c r="DM113" s="68"/>
      <c r="DN113" s="68"/>
      <c r="DO113" s="68"/>
      <c r="DP113" s="68"/>
      <c r="DQ113" s="68"/>
      <c r="DR113" s="68"/>
      <c r="DS113" s="68"/>
      <c r="DT113" s="68"/>
      <c r="DU113" s="68"/>
      <c r="DV113" s="68"/>
      <c r="DW113" s="68"/>
      <c r="DX113" s="68"/>
      <c r="DY113" s="68"/>
      <c r="DZ113" s="68"/>
      <c r="EA113" s="68"/>
      <c r="EB113" s="68"/>
      <c r="EC113" s="68"/>
      <c r="ED113" s="68"/>
      <c r="EE113" s="68"/>
      <c r="EF113" s="68"/>
      <c r="EG113" s="68"/>
      <c r="EH113" s="68"/>
      <c r="EI113" s="68"/>
      <c r="EJ113" s="68"/>
      <c r="EK113" s="68"/>
      <c r="EL113" s="68"/>
      <c r="EM113" s="68"/>
      <c r="EN113" s="68"/>
      <c r="EO113" s="68"/>
      <c r="EP113" s="68"/>
    </row>
    <row r="114" spans="1:146" s="78" customFormat="1" ht="11.25">
      <c r="A114" s="87" t="str">
        <f t="shared" si="12"/>
        <v>Miscellaneous Riders</v>
      </c>
      <c r="B114" s="83"/>
      <c r="D114" s="74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8"/>
      <c r="BA114" s="68"/>
      <c r="BB114" s="68"/>
      <c r="BC114" s="68"/>
      <c r="BD114" s="68"/>
      <c r="BE114" s="68"/>
      <c r="BF114" s="68"/>
      <c r="BG114" s="68"/>
      <c r="BH114" s="68"/>
      <c r="BI114" s="68"/>
      <c r="BJ114" s="68"/>
      <c r="BK114" s="68"/>
      <c r="BL114" s="68"/>
      <c r="BM114" s="68"/>
      <c r="BN114" s="68"/>
      <c r="BO114" s="68"/>
      <c r="BP114" s="68"/>
      <c r="BQ114" s="68"/>
      <c r="BR114" s="68"/>
      <c r="BS114" s="68"/>
      <c r="BT114" s="68"/>
      <c r="BU114" s="68"/>
      <c r="BV114" s="68"/>
      <c r="BW114" s="68"/>
      <c r="BX114" s="68"/>
      <c r="BY114" s="68"/>
      <c r="BZ114" s="68"/>
      <c r="CA114" s="68"/>
      <c r="CB114" s="68"/>
      <c r="CC114" s="68"/>
      <c r="CD114" s="68"/>
      <c r="CE114" s="68"/>
      <c r="CF114" s="68"/>
      <c r="CG114" s="68"/>
      <c r="CH114" s="68"/>
      <c r="CI114" s="68"/>
      <c r="CJ114" s="68"/>
      <c r="CK114" s="68"/>
      <c r="CL114" s="68"/>
      <c r="CM114" s="68"/>
      <c r="CN114" s="68"/>
      <c r="CO114" s="68"/>
      <c r="CP114" s="68"/>
      <c r="CQ114" s="68"/>
      <c r="CR114" s="68"/>
      <c r="CS114" s="68"/>
      <c r="CT114" s="68"/>
      <c r="CU114" s="68"/>
      <c r="CV114" s="68"/>
      <c r="CW114" s="68"/>
      <c r="CX114" s="68"/>
      <c r="CY114" s="68"/>
      <c r="CZ114" s="68"/>
      <c r="DA114" s="68"/>
      <c r="DB114" s="68"/>
      <c r="DC114" s="68"/>
      <c r="DD114" s="68"/>
      <c r="DE114" s="68"/>
      <c r="DF114" s="68"/>
      <c r="DG114" s="68"/>
      <c r="DH114" s="68"/>
      <c r="DI114" s="68"/>
      <c r="DJ114" s="68"/>
      <c r="DK114" s="68"/>
      <c r="DL114" s="68"/>
      <c r="DM114" s="68"/>
      <c r="DN114" s="68"/>
      <c r="DO114" s="68"/>
      <c r="DP114" s="68"/>
      <c r="DQ114" s="68"/>
      <c r="DR114" s="68"/>
      <c r="DS114" s="68"/>
      <c r="DT114" s="68"/>
      <c r="DU114" s="68"/>
      <c r="DV114" s="68"/>
      <c r="DW114" s="68"/>
      <c r="DX114" s="68"/>
      <c r="DY114" s="68"/>
      <c r="DZ114" s="68"/>
      <c r="EA114" s="68"/>
      <c r="EB114" s="68"/>
      <c r="EC114" s="68"/>
      <c r="ED114" s="68"/>
      <c r="EE114" s="68"/>
      <c r="EF114" s="68"/>
      <c r="EG114" s="68"/>
      <c r="EH114" s="68"/>
      <c r="EI114" s="68"/>
      <c r="EJ114" s="68"/>
      <c r="EK114" s="68"/>
      <c r="EL114" s="68"/>
      <c r="EM114" s="68"/>
      <c r="EN114" s="68"/>
      <c r="EO114" s="68"/>
      <c r="EP114" s="68"/>
    </row>
    <row r="115" spans="1:146" s="78" customFormat="1" ht="11.25">
      <c r="A115" s="87" t="str">
        <f t="shared" si="12"/>
        <v xml:space="preserve">Miscellaneous RidersTRANSMISSION </v>
      </c>
      <c r="B115" s="83">
        <v>11</v>
      </c>
      <c r="C115" s="96" t="s">
        <v>86</v>
      </c>
      <c r="D115" s="74" t="s">
        <v>6</v>
      </c>
      <c r="E115" s="124">
        <v>0</v>
      </c>
      <c r="F115" s="124">
        <v>0</v>
      </c>
      <c r="G115" s="124">
        <v>0</v>
      </c>
      <c r="H115" s="124">
        <v>0</v>
      </c>
      <c r="I115" s="124">
        <v>0</v>
      </c>
      <c r="J115" s="124">
        <v>0</v>
      </c>
      <c r="K115" s="124">
        <v>0</v>
      </c>
      <c r="L115" s="124">
        <v>0</v>
      </c>
      <c r="M115" s="124">
        <v>0</v>
      </c>
      <c r="N115" s="124">
        <v>0</v>
      </c>
      <c r="O115" s="124">
        <v>0</v>
      </c>
      <c r="P115" s="124">
        <v>0</v>
      </c>
      <c r="Q115" s="124">
        <v>0</v>
      </c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8"/>
      <c r="BA115" s="68"/>
      <c r="BB115" s="68"/>
      <c r="BC115" s="68"/>
      <c r="BD115" s="68"/>
      <c r="BE115" s="68"/>
      <c r="BF115" s="68"/>
      <c r="BG115" s="68"/>
      <c r="BH115" s="68"/>
      <c r="BI115" s="68"/>
      <c r="BJ115" s="68"/>
      <c r="BK115" s="68"/>
      <c r="BL115" s="68"/>
      <c r="BM115" s="68"/>
      <c r="BN115" s="68"/>
      <c r="BO115" s="68"/>
      <c r="BP115" s="68"/>
      <c r="BQ115" s="68"/>
      <c r="BR115" s="68"/>
      <c r="BS115" s="68"/>
      <c r="BT115" s="68"/>
      <c r="BU115" s="68"/>
      <c r="BV115" s="68"/>
      <c r="BW115" s="68"/>
      <c r="BX115" s="68"/>
      <c r="BY115" s="68"/>
      <c r="BZ115" s="68"/>
      <c r="CA115" s="68"/>
      <c r="CB115" s="68"/>
      <c r="CC115" s="68"/>
      <c r="CD115" s="68"/>
      <c r="CE115" s="68"/>
      <c r="CF115" s="68"/>
      <c r="CG115" s="68"/>
      <c r="CH115" s="68"/>
      <c r="CI115" s="68"/>
      <c r="CJ115" s="68"/>
      <c r="CK115" s="68"/>
      <c r="CL115" s="68"/>
      <c r="CM115" s="68"/>
      <c r="CN115" s="68"/>
      <c r="CO115" s="68"/>
      <c r="CP115" s="68"/>
      <c r="CQ115" s="68"/>
      <c r="CR115" s="68"/>
      <c r="CS115" s="68"/>
      <c r="CT115" s="68"/>
      <c r="CU115" s="68"/>
      <c r="CV115" s="68"/>
      <c r="CW115" s="68"/>
      <c r="CX115" s="68"/>
      <c r="CY115" s="68"/>
      <c r="CZ115" s="68"/>
      <c r="DA115" s="68"/>
      <c r="DB115" s="68"/>
      <c r="DC115" s="68"/>
      <c r="DD115" s="68"/>
      <c r="DE115" s="68"/>
      <c r="DF115" s="68"/>
      <c r="DG115" s="68"/>
      <c r="DH115" s="68"/>
      <c r="DI115" s="68"/>
      <c r="DJ115" s="68"/>
      <c r="DK115" s="68"/>
      <c r="DL115" s="68"/>
      <c r="DM115" s="68"/>
      <c r="DN115" s="68"/>
      <c r="DO115" s="68"/>
      <c r="DP115" s="68"/>
      <c r="DQ115" s="68"/>
      <c r="DR115" s="68"/>
      <c r="DS115" s="68"/>
      <c r="DT115" s="68"/>
      <c r="DU115" s="68"/>
      <c r="DV115" s="68"/>
      <c r="DW115" s="68"/>
      <c r="DX115" s="68"/>
      <c r="DY115" s="68"/>
      <c r="DZ115" s="68"/>
      <c r="EA115" s="68"/>
      <c r="EB115" s="68"/>
      <c r="EC115" s="68"/>
      <c r="ED115" s="68"/>
      <c r="EE115" s="68"/>
      <c r="EF115" s="68"/>
      <c r="EG115" s="68"/>
      <c r="EH115" s="68"/>
      <c r="EI115" s="68"/>
      <c r="EJ115" s="68"/>
      <c r="EK115" s="68"/>
      <c r="EL115" s="68"/>
      <c r="EM115" s="68"/>
      <c r="EN115" s="68"/>
      <c r="EO115" s="68"/>
      <c r="EP115" s="68"/>
    </row>
    <row r="116" spans="1:146" s="78" customFormat="1" ht="11.25">
      <c r="A116" s="87" t="str">
        <f t="shared" si="12"/>
        <v>Miscellaneous Riders</v>
      </c>
      <c r="D116" s="85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  <c r="AX116" s="68"/>
      <c r="AY116" s="68"/>
      <c r="AZ116" s="68"/>
      <c r="BA116" s="68"/>
      <c r="BB116" s="68"/>
      <c r="BC116" s="68"/>
      <c r="BD116" s="68"/>
      <c r="BE116" s="68"/>
      <c r="BF116" s="68"/>
      <c r="BG116" s="68"/>
      <c r="BH116" s="68"/>
      <c r="BI116" s="68"/>
      <c r="BJ116" s="68"/>
      <c r="BK116" s="68"/>
      <c r="BL116" s="68"/>
      <c r="BM116" s="68"/>
      <c r="BN116" s="68"/>
      <c r="BO116" s="68"/>
      <c r="BP116" s="68"/>
      <c r="BQ116" s="68"/>
      <c r="BR116" s="68"/>
      <c r="BS116" s="68"/>
      <c r="BT116" s="68"/>
      <c r="BU116" s="68"/>
      <c r="BV116" s="68"/>
      <c r="BW116" s="68"/>
      <c r="BX116" s="68"/>
      <c r="BY116" s="68"/>
      <c r="BZ116" s="68"/>
      <c r="CA116" s="68"/>
      <c r="CB116" s="68"/>
      <c r="CC116" s="68"/>
      <c r="CD116" s="68"/>
      <c r="CE116" s="68"/>
      <c r="CF116" s="68"/>
      <c r="CG116" s="68"/>
      <c r="CH116" s="68"/>
      <c r="CI116" s="68"/>
      <c r="CJ116" s="68"/>
      <c r="CK116" s="68"/>
      <c r="CL116" s="68"/>
      <c r="CM116" s="68"/>
      <c r="CN116" s="68"/>
      <c r="CO116" s="68"/>
      <c r="CP116" s="68"/>
      <c r="CQ116" s="68"/>
      <c r="CR116" s="68"/>
      <c r="CS116" s="68"/>
      <c r="CT116" s="68"/>
      <c r="CU116" s="68"/>
      <c r="CV116" s="68"/>
      <c r="CW116" s="68"/>
      <c r="CX116" s="68"/>
      <c r="CY116" s="68"/>
      <c r="CZ116" s="68"/>
      <c r="DA116" s="68"/>
      <c r="DB116" s="68"/>
      <c r="DC116" s="68"/>
      <c r="DD116" s="68"/>
      <c r="DE116" s="68"/>
      <c r="DF116" s="68"/>
      <c r="DG116" s="68"/>
      <c r="DH116" s="68"/>
      <c r="DI116" s="68"/>
      <c r="DJ116" s="68"/>
      <c r="DK116" s="68"/>
      <c r="DL116" s="68"/>
      <c r="DM116" s="68"/>
      <c r="DN116" s="68"/>
      <c r="DO116" s="68"/>
      <c r="DP116" s="68"/>
      <c r="DQ116" s="68"/>
      <c r="DR116" s="68"/>
      <c r="DS116" s="68"/>
      <c r="DT116" s="68"/>
      <c r="DU116" s="68"/>
      <c r="DV116" s="68"/>
      <c r="DW116" s="68"/>
      <c r="DX116" s="68"/>
      <c r="DY116" s="68"/>
      <c r="DZ116" s="68"/>
      <c r="EA116" s="68"/>
      <c r="EB116" s="68"/>
      <c r="EC116" s="68"/>
      <c r="ED116" s="68"/>
      <c r="EE116" s="68"/>
      <c r="EF116" s="68"/>
      <c r="EG116" s="68"/>
      <c r="EH116" s="68"/>
      <c r="EI116" s="68"/>
      <c r="EJ116" s="68"/>
      <c r="EK116" s="68"/>
      <c r="EL116" s="68"/>
      <c r="EM116" s="68"/>
      <c r="EN116" s="68"/>
      <c r="EO116" s="68"/>
      <c r="EP116" s="68"/>
    </row>
    <row r="117" spans="1:146" s="78" customFormat="1" ht="11.25">
      <c r="A117" s="87" t="str">
        <f t="shared" si="12"/>
        <v>Miscellaneous RidersLIGHTING</v>
      </c>
      <c r="B117" s="83">
        <v>12</v>
      </c>
      <c r="C117" s="68" t="s">
        <v>21</v>
      </c>
      <c r="D117" s="74" t="s">
        <v>4</v>
      </c>
      <c r="E117" s="124">
        <v>0</v>
      </c>
      <c r="F117" s="124">
        <v>14.07</v>
      </c>
      <c r="G117" s="124">
        <v>0</v>
      </c>
      <c r="H117" s="124">
        <v>0</v>
      </c>
      <c r="I117" s="124">
        <v>134.26</v>
      </c>
      <c r="J117" s="124">
        <v>0</v>
      </c>
      <c r="K117" s="124">
        <v>0</v>
      </c>
      <c r="L117" s="124">
        <v>0</v>
      </c>
      <c r="M117" s="124">
        <v>0</v>
      </c>
      <c r="N117" s="124">
        <v>0</v>
      </c>
      <c r="O117" s="124">
        <v>0</v>
      </c>
      <c r="P117" s="124">
        <v>0</v>
      </c>
      <c r="Q117" s="124">
        <f>SUM(E117:P117)</f>
        <v>148.32999999999998</v>
      </c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 s="68"/>
      <c r="BH117" s="68"/>
      <c r="BI117" s="68"/>
      <c r="BJ117" s="68"/>
      <c r="BK117" s="68"/>
      <c r="BL117" s="68"/>
      <c r="BM117" s="68"/>
      <c r="BN117" s="68"/>
      <c r="BO117" s="68"/>
      <c r="BP117" s="68"/>
      <c r="BQ117" s="68"/>
      <c r="BR117" s="68"/>
      <c r="BS117" s="68"/>
      <c r="BT117" s="68"/>
      <c r="BU117" s="68"/>
      <c r="BV117" s="68"/>
      <c r="BW117" s="68"/>
      <c r="BX117" s="68"/>
      <c r="BY117" s="68"/>
      <c r="BZ117" s="68"/>
      <c r="CA117" s="68"/>
      <c r="CB117" s="68"/>
      <c r="CC117" s="68"/>
      <c r="CD117" s="68"/>
      <c r="CE117" s="68"/>
      <c r="CF117" s="68"/>
      <c r="CG117" s="68"/>
      <c r="CH117" s="68"/>
      <c r="CI117" s="68"/>
      <c r="CJ117" s="68"/>
      <c r="CK117" s="68"/>
      <c r="CL117" s="68"/>
      <c r="CM117" s="68"/>
      <c r="CN117" s="68"/>
      <c r="CO117" s="68"/>
      <c r="CP117" s="68"/>
      <c r="CQ117" s="68"/>
      <c r="CR117" s="68"/>
      <c r="CS117" s="68"/>
      <c r="CT117" s="68"/>
      <c r="CU117" s="68"/>
      <c r="CV117" s="68"/>
      <c r="CW117" s="68"/>
      <c r="CX117" s="68"/>
      <c r="CY117" s="68"/>
      <c r="CZ117" s="68"/>
      <c r="DA117" s="68"/>
      <c r="DB117" s="68"/>
      <c r="DC117" s="68"/>
      <c r="DD117" s="68"/>
      <c r="DE117" s="68"/>
      <c r="DF117" s="68"/>
      <c r="DG117" s="68"/>
      <c r="DH117" s="68"/>
      <c r="DI117" s="68"/>
      <c r="DJ117" s="68"/>
      <c r="DK117" s="68"/>
      <c r="DL117" s="68"/>
      <c r="DM117" s="68"/>
      <c r="DN117" s="68"/>
      <c r="DO117" s="68"/>
      <c r="DP117" s="68"/>
      <c r="DQ117" s="68"/>
      <c r="DR117" s="68"/>
      <c r="DS117" s="68"/>
      <c r="DT117" s="68"/>
      <c r="DU117" s="68"/>
      <c r="DV117" s="68"/>
      <c r="DW117" s="68"/>
      <c r="DX117" s="68"/>
      <c r="DY117" s="68"/>
      <c r="DZ117" s="68"/>
      <c r="EA117" s="68"/>
      <c r="EB117" s="68"/>
      <c r="EC117" s="68"/>
      <c r="ED117" s="68"/>
      <c r="EE117" s="68"/>
      <c r="EF117" s="68"/>
      <c r="EG117" s="68"/>
      <c r="EH117" s="68"/>
      <c r="EI117" s="68"/>
      <c r="EJ117" s="68"/>
      <c r="EK117" s="68"/>
      <c r="EL117" s="68"/>
      <c r="EM117" s="68"/>
      <c r="EN117" s="68"/>
      <c r="EO117" s="68"/>
      <c r="EP117" s="68"/>
    </row>
    <row r="118" spans="1:146" s="78" customFormat="1" ht="11.25">
      <c r="A118" s="87" t="str">
        <f t="shared" si="12"/>
        <v>Miscellaneous Riders</v>
      </c>
      <c r="B118" s="83"/>
      <c r="D118" s="85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  <c r="AO118" s="68"/>
      <c r="AP118" s="68"/>
      <c r="AQ118" s="68"/>
      <c r="AR118" s="68"/>
      <c r="AS118" s="68"/>
      <c r="AT118" s="68"/>
      <c r="AU118" s="68"/>
      <c r="AV118" s="68"/>
      <c r="AW118" s="68"/>
      <c r="AX118" s="68"/>
      <c r="AY118" s="68"/>
      <c r="AZ118" s="68"/>
      <c r="BA118" s="68"/>
      <c r="BB118" s="68"/>
      <c r="BC118" s="68"/>
      <c r="BD118" s="68"/>
      <c r="BE118" s="68"/>
      <c r="BF118" s="68"/>
      <c r="BG118" s="68"/>
      <c r="BH118" s="68"/>
      <c r="BI118" s="68"/>
      <c r="BJ118" s="68"/>
      <c r="BK118" s="68"/>
      <c r="BL118" s="68"/>
      <c r="BM118" s="68"/>
      <c r="BN118" s="68"/>
      <c r="BO118" s="68"/>
      <c r="BP118" s="68"/>
      <c r="BQ118" s="68"/>
      <c r="BR118" s="68"/>
      <c r="BS118" s="68"/>
      <c r="BT118" s="68"/>
      <c r="BU118" s="68"/>
      <c r="BV118" s="68"/>
      <c r="BW118" s="68"/>
      <c r="BX118" s="68"/>
      <c r="BY118" s="68"/>
      <c r="BZ118" s="68"/>
      <c r="CA118" s="68"/>
      <c r="CB118" s="68"/>
      <c r="CC118" s="68"/>
      <c r="CD118" s="68"/>
      <c r="CE118" s="68"/>
      <c r="CF118" s="68"/>
      <c r="CG118" s="68"/>
      <c r="CH118" s="68"/>
      <c r="CI118" s="68"/>
      <c r="CJ118" s="68"/>
      <c r="CK118" s="68"/>
      <c r="CL118" s="68"/>
      <c r="CM118" s="68"/>
      <c r="CN118" s="68"/>
      <c r="CO118" s="68"/>
      <c r="CP118" s="68"/>
      <c r="CQ118" s="68"/>
      <c r="CR118" s="68"/>
      <c r="CS118" s="68"/>
      <c r="CT118" s="68"/>
      <c r="CU118" s="68"/>
      <c r="CV118" s="68"/>
      <c r="CW118" s="68"/>
      <c r="CX118" s="68"/>
      <c r="CY118" s="68"/>
      <c r="CZ118" s="68"/>
      <c r="DA118" s="68"/>
      <c r="DB118" s="68"/>
      <c r="DC118" s="68"/>
      <c r="DD118" s="68"/>
      <c r="DE118" s="68"/>
      <c r="DF118" s="68"/>
      <c r="DG118" s="68"/>
      <c r="DH118" s="68"/>
      <c r="DI118" s="68"/>
      <c r="DJ118" s="68"/>
      <c r="DK118" s="68"/>
      <c r="DL118" s="68"/>
      <c r="DM118" s="68"/>
      <c r="DN118" s="68"/>
      <c r="DO118" s="68"/>
      <c r="DP118" s="68"/>
      <c r="DQ118" s="68"/>
      <c r="DR118" s="68"/>
      <c r="DS118" s="68"/>
      <c r="DT118" s="68"/>
      <c r="DU118" s="68"/>
      <c r="DV118" s="68"/>
      <c r="DW118" s="68"/>
      <c r="DX118" s="68"/>
      <c r="DY118" s="68"/>
      <c r="DZ118" s="68"/>
      <c r="EA118" s="68"/>
      <c r="EB118" s="68"/>
      <c r="EC118" s="68"/>
      <c r="ED118" s="68"/>
      <c r="EE118" s="68"/>
      <c r="EF118" s="68"/>
      <c r="EG118" s="68"/>
      <c r="EH118" s="68"/>
      <c r="EI118" s="68"/>
      <c r="EJ118" s="68"/>
      <c r="EK118" s="68"/>
      <c r="EL118" s="68"/>
      <c r="EM118" s="68"/>
      <c r="EN118" s="68"/>
      <c r="EO118" s="68"/>
      <c r="EP118" s="68"/>
    </row>
    <row r="119" spans="1:146" s="78" customFormat="1" ht="12" thickBot="1">
      <c r="A119" s="87" t="str">
        <f t="shared" si="12"/>
        <v>Miscellaneous RidersTOTAL RETAIL</v>
      </c>
      <c r="B119" s="83">
        <v>13</v>
      </c>
      <c r="C119" s="114" t="s">
        <v>22</v>
      </c>
      <c r="D119" s="212"/>
      <c r="E119" s="130">
        <f>+E101+E103+E107+E113+E115+E117</f>
        <v>41.11</v>
      </c>
      <c r="F119" s="130">
        <f t="shared" ref="F119:Q119" si="16">+F101+F103+F107+F113+F115+F117</f>
        <v>34.29</v>
      </c>
      <c r="G119" s="130">
        <f t="shared" si="16"/>
        <v>0</v>
      </c>
      <c r="H119" s="130">
        <f t="shared" si="16"/>
        <v>0</v>
      </c>
      <c r="I119" s="130">
        <f t="shared" si="16"/>
        <v>134.26</v>
      </c>
      <c r="J119" s="130">
        <f t="shared" si="16"/>
        <v>0</v>
      </c>
      <c r="K119" s="130">
        <f t="shared" si="16"/>
        <v>9.06</v>
      </c>
      <c r="L119" s="130">
        <f t="shared" si="16"/>
        <v>0</v>
      </c>
      <c r="M119" s="130">
        <f t="shared" si="16"/>
        <v>0</v>
      </c>
      <c r="N119" s="130">
        <f t="shared" si="16"/>
        <v>0</v>
      </c>
      <c r="O119" s="130">
        <f t="shared" si="16"/>
        <v>0</v>
      </c>
      <c r="P119" s="130">
        <f t="shared" si="16"/>
        <v>0</v>
      </c>
      <c r="Q119" s="130">
        <f t="shared" si="16"/>
        <v>218.71999999999997</v>
      </c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  <c r="AO119" s="68"/>
      <c r="AP119" s="68"/>
      <c r="AQ119" s="68"/>
      <c r="AR119" s="68"/>
      <c r="AS119" s="68"/>
      <c r="AT119" s="68"/>
      <c r="AU119" s="68"/>
      <c r="AV119" s="68"/>
      <c r="AW119" s="68"/>
      <c r="AX119" s="68"/>
      <c r="AY119" s="68"/>
      <c r="AZ119" s="68"/>
      <c r="BA119" s="68"/>
      <c r="BB119" s="68"/>
      <c r="BC119" s="68"/>
      <c r="BD119" s="68"/>
      <c r="BE119" s="68"/>
      <c r="BF119" s="68"/>
      <c r="BG119" s="68"/>
      <c r="BH119" s="68"/>
      <c r="BI119" s="68"/>
      <c r="BJ119" s="68"/>
      <c r="BK119" s="68"/>
      <c r="BL119" s="68"/>
      <c r="BM119" s="68"/>
      <c r="BN119" s="68"/>
      <c r="BO119" s="68"/>
      <c r="BP119" s="68"/>
      <c r="BQ119" s="68"/>
      <c r="BR119" s="68"/>
      <c r="BS119" s="68"/>
      <c r="BT119" s="68"/>
      <c r="BU119" s="68"/>
      <c r="BV119" s="68"/>
      <c r="BW119" s="68"/>
      <c r="BX119" s="68"/>
      <c r="BY119" s="68"/>
      <c r="BZ119" s="68"/>
      <c r="CA119" s="68"/>
      <c r="CB119" s="68"/>
      <c r="CC119" s="68"/>
      <c r="CD119" s="68"/>
      <c r="CE119" s="68"/>
      <c r="CF119" s="68"/>
      <c r="CG119" s="68"/>
      <c r="CH119" s="68"/>
      <c r="CI119" s="68"/>
      <c r="CJ119" s="68"/>
      <c r="CK119" s="68"/>
      <c r="CL119" s="68"/>
      <c r="CM119" s="68"/>
      <c r="CN119" s="68"/>
      <c r="CO119" s="68"/>
      <c r="CP119" s="68"/>
      <c r="CQ119" s="68"/>
      <c r="CR119" s="68"/>
      <c r="CS119" s="68"/>
      <c r="CT119" s="68"/>
      <c r="CU119" s="68"/>
      <c r="CV119" s="68"/>
      <c r="CW119" s="68"/>
      <c r="CX119" s="68"/>
      <c r="CY119" s="68"/>
      <c r="CZ119" s="68"/>
      <c r="DA119" s="68"/>
      <c r="DB119" s="68"/>
      <c r="DC119" s="68"/>
      <c r="DD119" s="68"/>
      <c r="DE119" s="68"/>
      <c r="DF119" s="68"/>
      <c r="DG119" s="68"/>
      <c r="DH119" s="68"/>
      <c r="DI119" s="68"/>
      <c r="DJ119" s="68"/>
      <c r="DK119" s="68"/>
      <c r="DL119" s="68"/>
      <c r="DM119" s="68"/>
      <c r="DN119" s="68"/>
      <c r="DO119" s="68"/>
      <c r="DP119" s="68"/>
      <c r="DQ119" s="68"/>
      <c r="DR119" s="68"/>
      <c r="DS119" s="68"/>
      <c r="DT119" s="68"/>
      <c r="DU119" s="68"/>
      <c r="DV119" s="68"/>
      <c r="DW119" s="68"/>
      <c r="DX119" s="68"/>
      <c r="DY119" s="68"/>
      <c r="DZ119" s="68"/>
      <c r="EA119" s="68"/>
      <c r="EB119" s="68"/>
      <c r="EC119" s="68"/>
      <c r="ED119" s="68"/>
      <c r="EE119" s="68"/>
      <c r="EF119" s="68"/>
      <c r="EG119" s="68"/>
      <c r="EH119" s="68"/>
      <c r="EI119" s="68"/>
      <c r="EJ119" s="68"/>
      <c r="EK119" s="68"/>
      <c r="EL119" s="68"/>
      <c r="EM119" s="68"/>
      <c r="EN119" s="68"/>
      <c r="EO119" s="68"/>
      <c r="EP119" s="68"/>
    </row>
    <row r="120" spans="1:146" s="78" customFormat="1" ht="12" thickTop="1">
      <c r="A120" s="87" t="str">
        <f t="shared" si="12"/>
        <v>Miscellaneous Riders</v>
      </c>
      <c r="C120" s="212"/>
      <c r="D120" s="212"/>
      <c r="E120" s="231"/>
      <c r="F120" s="231"/>
      <c r="G120" s="231"/>
      <c r="H120" s="231"/>
      <c r="I120" s="231"/>
      <c r="J120" s="231"/>
      <c r="K120" s="231"/>
      <c r="L120" s="231"/>
      <c r="M120" s="231"/>
      <c r="N120" s="231"/>
      <c r="O120" s="231"/>
      <c r="P120" s="90"/>
      <c r="Q120" s="93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  <c r="AO120" s="68"/>
      <c r="AP120" s="68"/>
      <c r="AQ120" s="68"/>
      <c r="AR120" s="68"/>
      <c r="AS120" s="68"/>
      <c r="AT120" s="68"/>
      <c r="AU120" s="68"/>
      <c r="AV120" s="68"/>
      <c r="AW120" s="68"/>
      <c r="AX120" s="68"/>
      <c r="AY120" s="68"/>
      <c r="AZ120" s="68"/>
      <c r="BA120" s="68"/>
      <c r="BB120" s="68"/>
      <c r="BC120" s="68"/>
      <c r="BD120" s="68"/>
      <c r="BE120" s="68"/>
      <c r="BF120" s="68"/>
      <c r="BG120" s="68"/>
      <c r="BH120" s="68"/>
      <c r="BI120" s="68"/>
      <c r="BJ120" s="68"/>
      <c r="BK120" s="68"/>
      <c r="BL120" s="68"/>
      <c r="BM120" s="68"/>
      <c r="BN120" s="68"/>
      <c r="BO120" s="68"/>
      <c r="BP120" s="68"/>
      <c r="BQ120" s="68"/>
      <c r="BR120" s="68"/>
      <c r="BS120" s="68"/>
      <c r="BT120" s="68"/>
      <c r="BU120" s="68"/>
      <c r="BV120" s="68"/>
      <c r="BW120" s="68"/>
      <c r="BX120" s="68"/>
      <c r="BY120" s="68"/>
      <c r="BZ120" s="68"/>
      <c r="CA120" s="68"/>
      <c r="CB120" s="68"/>
      <c r="CC120" s="68"/>
      <c r="CD120" s="68"/>
      <c r="CE120" s="68"/>
      <c r="CF120" s="68"/>
      <c r="CG120" s="68"/>
      <c r="CH120" s="68"/>
      <c r="CI120" s="68"/>
      <c r="CJ120" s="68"/>
      <c r="CK120" s="68"/>
      <c r="CL120" s="68"/>
      <c r="CM120" s="68"/>
      <c r="CN120" s="68"/>
      <c r="CO120" s="68"/>
      <c r="CP120" s="68"/>
      <c r="CQ120" s="68"/>
      <c r="CR120" s="68"/>
      <c r="CS120" s="68"/>
      <c r="CT120" s="68"/>
      <c r="CU120" s="68"/>
      <c r="CV120" s="68"/>
      <c r="CW120" s="68"/>
      <c r="CX120" s="68"/>
      <c r="CY120" s="68"/>
      <c r="CZ120" s="68"/>
      <c r="DA120" s="68"/>
      <c r="DB120" s="68"/>
      <c r="DC120" s="68"/>
      <c r="DD120" s="68"/>
      <c r="DE120" s="68"/>
      <c r="DF120" s="68"/>
      <c r="DG120" s="68"/>
      <c r="DH120" s="68"/>
      <c r="DI120" s="68"/>
      <c r="DJ120" s="68"/>
      <c r="DK120" s="68"/>
      <c r="DL120" s="68"/>
      <c r="DM120" s="68"/>
      <c r="DN120" s="68"/>
      <c r="DO120" s="68"/>
      <c r="DP120" s="68"/>
      <c r="DQ120" s="68"/>
      <c r="DR120" s="68"/>
      <c r="DS120" s="68"/>
      <c r="DT120" s="68"/>
      <c r="DU120" s="68"/>
      <c r="DV120" s="68"/>
      <c r="DW120" s="68"/>
      <c r="DX120" s="68"/>
      <c r="DY120" s="68"/>
      <c r="DZ120" s="68"/>
      <c r="EA120" s="68"/>
      <c r="EB120" s="68"/>
      <c r="EC120" s="68"/>
      <c r="ED120" s="68"/>
      <c r="EE120" s="68"/>
      <c r="EF120" s="68"/>
      <c r="EG120" s="68"/>
      <c r="EH120" s="68"/>
      <c r="EI120" s="68"/>
      <c r="EJ120" s="68"/>
      <c r="EK120" s="68"/>
      <c r="EL120" s="68"/>
      <c r="EM120" s="68"/>
      <c r="EN120" s="68"/>
      <c r="EO120" s="68"/>
      <c r="EP120" s="68"/>
    </row>
    <row r="121" spans="1:146" s="78" customFormat="1" ht="11.25">
      <c r="A121" s="87" t="str">
        <f t="shared" si="12"/>
        <v>Miscellaneous Riders</v>
      </c>
      <c r="B121" s="83">
        <v>12</v>
      </c>
      <c r="C121" s="89"/>
      <c r="D121" s="7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03"/>
      <c r="R121" s="89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  <c r="AO121" s="68"/>
      <c r="AP121" s="68"/>
      <c r="AQ121" s="68"/>
      <c r="AR121" s="68"/>
      <c r="AS121" s="68"/>
      <c r="AT121" s="68"/>
      <c r="AU121" s="68"/>
      <c r="AV121" s="68"/>
      <c r="AW121" s="68"/>
      <c r="AX121" s="68"/>
      <c r="AY121" s="68"/>
      <c r="AZ121" s="68"/>
      <c r="BA121" s="68"/>
      <c r="BB121" s="68"/>
      <c r="BC121" s="68"/>
      <c r="BD121" s="68"/>
      <c r="BE121" s="68"/>
      <c r="BF121" s="68"/>
      <c r="BG121" s="68"/>
      <c r="BH121" s="68"/>
      <c r="BI121" s="68"/>
      <c r="BJ121" s="68"/>
      <c r="BK121" s="68"/>
      <c r="BL121" s="68"/>
      <c r="BM121" s="68"/>
      <c r="BN121" s="68"/>
      <c r="BO121" s="68"/>
      <c r="BP121" s="68"/>
      <c r="BQ121" s="68"/>
      <c r="BR121" s="68"/>
      <c r="BS121" s="68"/>
      <c r="BT121" s="68"/>
      <c r="BU121" s="68"/>
      <c r="BV121" s="68"/>
      <c r="BW121" s="68"/>
      <c r="BX121" s="68"/>
      <c r="BY121" s="68"/>
      <c r="BZ121" s="68"/>
      <c r="CA121" s="68"/>
      <c r="CB121" s="68"/>
      <c r="CC121" s="68"/>
      <c r="CD121" s="68"/>
      <c r="CE121" s="68"/>
      <c r="CF121" s="68"/>
      <c r="CG121" s="68"/>
      <c r="CH121" s="68"/>
      <c r="CI121" s="68"/>
      <c r="CJ121" s="68"/>
      <c r="CK121" s="68"/>
      <c r="CL121" s="68"/>
      <c r="CM121" s="68"/>
      <c r="CN121" s="68"/>
      <c r="CO121" s="68"/>
      <c r="CP121" s="68"/>
      <c r="CQ121" s="68"/>
      <c r="CR121" s="68"/>
      <c r="CS121" s="68"/>
      <c r="CT121" s="68"/>
      <c r="CU121" s="68"/>
      <c r="CV121" s="68"/>
      <c r="CW121" s="68"/>
      <c r="CX121" s="68"/>
      <c r="CY121" s="68"/>
      <c r="CZ121" s="68"/>
      <c r="DA121" s="68"/>
      <c r="DB121" s="68"/>
      <c r="DC121" s="68"/>
      <c r="DD121" s="68"/>
      <c r="DE121" s="68"/>
      <c r="DF121" s="68"/>
      <c r="DG121" s="68"/>
      <c r="DH121" s="68"/>
      <c r="DI121" s="68"/>
      <c r="DJ121" s="68"/>
      <c r="DK121" s="68"/>
      <c r="DL121" s="68"/>
      <c r="DM121" s="68"/>
      <c r="DN121" s="68"/>
      <c r="DO121" s="68"/>
      <c r="DP121" s="68"/>
      <c r="DQ121" s="68"/>
      <c r="DR121" s="68"/>
      <c r="DS121" s="68"/>
      <c r="DT121" s="68"/>
      <c r="DU121" s="68"/>
      <c r="DV121" s="68"/>
      <c r="DW121" s="68"/>
      <c r="DX121" s="68"/>
      <c r="DY121" s="68"/>
      <c r="DZ121" s="68"/>
      <c r="EA121" s="68"/>
      <c r="EB121" s="68"/>
      <c r="EC121" s="68"/>
      <c r="ED121" s="68"/>
      <c r="EE121" s="68"/>
      <c r="EF121" s="68"/>
      <c r="EG121" s="68"/>
      <c r="EH121" s="68"/>
      <c r="EI121" s="68"/>
      <c r="EJ121" s="68"/>
      <c r="EK121" s="68"/>
      <c r="EL121" s="68"/>
      <c r="EM121" s="68"/>
      <c r="EN121" s="68"/>
      <c r="EO121" s="68"/>
      <c r="EP121" s="68"/>
    </row>
    <row r="122" spans="1:146" s="78" customFormat="1" ht="11.25">
      <c r="A122" s="87" t="str">
        <f t="shared" si="12"/>
        <v>Miscellaneous Riders</v>
      </c>
      <c r="B122" s="83">
        <v>13</v>
      </c>
      <c r="C122" s="89"/>
      <c r="D122" s="7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03"/>
      <c r="R122" s="133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/>
      <c r="AX122" s="68"/>
      <c r="AY122" s="68"/>
      <c r="AZ122" s="68"/>
      <c r="BA122" s="68"/>
      <c r="BB122" s="68"/>
      <c r="BC122" s="68"/>
      <c r="BD122" s="68"/>
      <c r="BE122" s="68"/>
      <c r="BF122" s="68"/>
      <c r="BG122" s="68"/>
      <c r="BH122" s="68"/>
      <c r="BI122" s="68"/>
      <c r="BJ122" s="68"/>
      <c r="BK122" s="68"/>
      <c r="BL122" s="68"/>
      <c r="BM122" s="68"/>
      <c r="BN122" s="68"/>
      <c r="BO122" s="68"/>
      <c r="BP122" s="68"/>
      <c r="BQ122" s="68"/>
      <c r="BR122" s="68"/>
      <c r="BS122" s="68"/>
      <c r="BT122" s="68"/>
      <c r="BU122" s="68"/>
      <c r="BV122" s="68"/>
      <c r="BW122" s="68"/>
      <c r="BX122" s="68"/>
      <c r="BY122" s="68"/>
      <c r="BZ122" s="68"/>
      <c r="CA122" s="68"/>
      <c r="CB122" s="68"/>
      <c r="CC122" s="68"/>
      <c r="CD122" s="68"/>
      <c r="CE122" s="68"/>
      <c r="CF122" s="68"/>
      <c r="CG122" s="68"/>
      <c r="CH122" s="68"/>
      <c r="CI122" s="68"/>
      <c r="CJ122" s="68"/>
      <c r="CK122" s="68"/>
      <c r="CL122" s="68"/>
      <c r="CM122" s="68"/>
      <c r="CN122" s="68"/>
      <c r="CO122" s="68"/>
      <c r="CP122" s="68"/>
      <c r="CQ122" s="68"/>
      <c r="CR122" s="68"/>
      <c r="CS122" s="68"/>
      <c r="CT122" s="68"/>
      <c r="CU122" s="68"/>
      <c r="CV122" s="68"/>
      <c r="CW122" s="68"/>
      <c r="CX122" s="68"/>
      <c r="CY122" s="68"/>
      <c r="CZ122" s="68"/>
      <c r="DA122" s="68"/>
      <c r="DB122" s="68"/>
      <c r="DC122" s="68"/>
      <c r="DD122" s="68"/>
      <c r="DE122" s="68"/>
      <c r="DF122" s="68"/>
      <c r="DG122" s="68"/>
      <c r="DH122" s="68"/>
      <c r="DI122" s="68"/>
      <c r="DJ122" s="68"/>
      <c r="DK122" s="68"/>
      <c r="DL122" s="68"/>
      <c r="DM122" s="68"/>
      <c r="DN122" s="68"/>
      <c r="DO122" s="68"/>
      <c r="DP122" s="68"/>
      <c r="DQ122" s="68"/>
      <c r="DR122" s="68"/>
      <c r="DS122" s="68"/>
      <c r="DT122" s="68"/>
      <c r="DU122" s="68"/>
      <c r="DV122" s="68"/>
      <c r="DW122" s="68"/>
      <c r="DX122" s="68"/>
      <c r="DY122" s="68"/>
      <c r="DZ122" s="68"/>
      <c r="EA122" s="68"/>
      <c r="EB122" s="68"/>
      <c r="EC122" s="68"/>
      <c r="ED122" s="68"/>
      <c r="EE122" s="68"/>
      <c r="EF122" s="68"/>
      <c r="EG122" s="68"/>
      <c r="EH122" s="68"/>
      <c r="EI122" s="68"/>
      <c r="EJ122" s="68"/>
      <c r="EK122" s="68"/>
      <c r="EL122" s="68"/>
      <c r="EM122" s="68"/>
      <c r="EN122" s="68"/>
      <c r="EO122" s="68"/>
      <c r="EP122" s="68"/>
    </row>
    <row r="123" spans="1:146" s="78" customFormat="1" ht="11.25">
      <c r="A123" s="87" t="str">
        <f t="shared" si="12"/>
        <v>Miscellaneous Riders</v>
      </c>
      <c r="B123" s="83">
        <v>14</v>
      </c>
      <c r="C123" s="114"/>
      <c r="D123" s="212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24"/>
      <c r="Q123" s="103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  <c r="AS123" s="68"/>
      <c r="AT123" s="68"/>
      <c r="AU123" s="68"/>
      <c r="AV123" s="68"/>
      <c r="AW123" s="68"/>
      <c r="AX123" s="68"/>
      <c r="AY123" s="68"/>
      <c r="AZ123" s="68"/>
      <c r="BA123" s="68"/>
      <c r="BB123" s="68"/>
      <c r="BC123" s="68"/>
      <c r="BD123" s="68"/>
      <c r="BE123" s="68"/>
      <c r="BF123" s="68"/>
      <c r="BG123" s="68"/>
      <c r="BH123" s="68"/>
      <c r="BI123" s="68"/>
      <c r="BJ123" s="68"/>
      <c r="BK123" s="68"/>
      <c r="BL123" s="68"/>
      <c r="BM123" s="68"/>
      <c r="BN123" s="68"/>
      <c r="BO123" s="68"/>
      <c r="BP123" s="68"/>
      <c r="BQ123" s="68"/>
      <c r="BR123" s="68"/>
      <c r="BS123" s="68"/>
      <c r="BT123" s="68"/>
      <c r="BU123" s="68"/>
      <c r="BV123" s="68"/>
      <c r="BW123" s="68"/>
      <c r="BX123" s="68"/>
      <c r="BY123" s="68"/>
      <c r="BZ123" s="68"/>
      <c r="CA123" s="68"/>
      <c r="CB123" s="68"/>
      <c r="CC123" s="68"/>
      <c r="CD123" s="68"/>
      <c r="CE123" s="68"/>
      <c r="CF123" s="68"/>
      <c r="CG123" s="68"/>
      <c r="CH123" s="68"/>
      <c r="CI123" s="68"/>
      <c r="CJ123" s="68"/>
      <c r="CK123" s="68"/>
      <c r="CL123" s="68"/>
      <c r="CM123" s="68"/>
      <c r="CN123" s="68"/>
      <c r="CO123" s="68"/>
      <c r="CP123" s="68"/>
      <c r="CQ123" s="68"/>
      <c r="CR123" s="68"/>
      <c r="CS123" s="68"/>
      <c r="CT123" s="68"/>
      <c r="CU123" s="68"/>
      <c r="CV123" s="68"/>
      <c r="CW123" s="68"/>
      <c r="CX123" s="68"/>
      <c r="CY123" s="68"/>
      <c r="CZ123" s="68"/>
      <c r="DA123" s="68"/>
      <c r="DB123" s="68"/>
      <c r="DC123" s="68"/>
      <c r="DD123" s="68"/>
      <c r="DE123" s="68"/>
      <c r="DF123" s="68"/>
      <c r="DG123" s="68"/>
      <c r="DH123" s="68"/>
      <c r="DI123" s="68"/>
      <c r="DJ123" s="68"/>
      <c r="DK123" s="68"/>
      <c r="DL123" s="68"/>
      <c r="DM123" s="68"/>
      <c r="DN123" s="68"/>
      <c r="DO123" s="68"/>
      <c r="DP123" s="68"/>
      <c r="DQ123" s="68"/>
      <c r="DR123" s="68"/>
      <c r="DS123" s="68"/>
      <c r="DT123" s="68"/>
      <c r="DU123" s="68"/>
      <c r="DV123" s="68"/>
      <c r="DW123" s="68"/>
      <c r="DX123" s="68"/>
      <c r="DY123" s="68"/>
      <c r="DZ123" s="68"/>
      <c r="EA123" s="68"/>
      <c r="EB123" s="68"/>
      <c r="EC123" s="68"/>
      <c r="ED123" s="68"/>
      <c r="EE123" s="68"/>
      <c r="EF123" s="68"/>
      <c r="EG123" s="68"/>
      <c r="EH123" s="68"/>
      <c r="EI123" s="68"/>
      <c r="EJ123" s="68"/>
      <c r="EK123" s="68"/>
      <c r="EL123" s="68"/>
      <c r="EM123" s="68"/>
      <c r="EN123" s="68"/>
      <c r="EO123" s="68"/>
      <c r="EP123" s="68"/>
    </row>
    <row r="124" spans="1:146" s="78" customFormat="1" ht="11.25">
      <c r="A124" s="87" t="str">
        <f t="shared" si="12"/>
        <v>Miscellaneous Riders</v>
      </c>
      <c r="B124" s="83"/>
      <c r="D124" s="116"/>
      <c r="E124" s="231"/>
      <c r="F124" s="231"/>
      <c r="G124" s="231"/>
      <c r="H124" s="231"/>
      <c r="I124" s="231"/>
      <c r="J124" s="231"/>
      <c r="K124" s="231"/>
      <c r="L124" s="231"/>
      <c r="M124" s="231"/>
      <c r="N124" s="231"/>
      <c r="O124" s="231"/>
      <c r="P124" s="90"/>
      <c r="Q124" s="71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  <c r="AO124" s="68"/>
      <c r="AP124" s="68"/>
      <c r="AQ124" s="68"/>
      <c r="AR124" s="68"/>
      <c r="AS124" s="68"/>
      <c r="AT124" s="68"/>
      <c r="AU124" s="68"/>
      <c r="AV124" s="68"/>
      <c r="AW124" s="68"/>
      <c r="AX124" s="68"/>
      <c r="AY124" s="68"/>
      <c r="AZ124" s="68"/>
      <c r="BA124" s="68"/>
      <c r="BB124" s="68"/>
      <c r="BC124" s="68"/>
      <c r="BD124" s="68"/>
      <c r="BE124" s="68"/>
      <c r="BF124" s="68"/>
      <c r="BG124" s="68"/>
      <c r="BH124" s="68"/>
      <c r="BI124" s="68"/>
      <c r="BJ124" s="68"/>
      <c r="BK124" s="68"/>
      <c r="BL124" s="68"/>
      <c r="BM124" s="68"/>
      <c r="BN124" s="68"/>
      <c r="BO124" s="68"/>
      <c r="BP124" s="68"/>
      <c r="BQ124" s="68"/>
      <c r="BR124" s="68"/>
      <c r="BS124" s="68"/>
      <c r="BT124" s="68"/>
      <c r="BU124" s="68"/>
      <c r="BV124" s="68"/>
      <c r="BW124" s="68"/>
      <c r="BX124" s="68"/>
      <c r="BY124" s="68"/>
      <c r="BZ124" s="68"/>
      <c r="CA124" s="68"/>
      <c r="CB124" s="68"/>
      <c r="CC124" s="68"/>
      <c r="CD124" s="68"/>
      <c r="CE124" s="68"/>
      <c r="CF124" s="68"/>
      <c r="CG124" s="68"/>
      <c r="CH124" s="68"/>
      <c r="CI124" s="68"/>
      <c r="CJ124" s="68"/>
      <c r="CK124" s="68"/>
      <c r="CL124" s="68"/>
      <c r="CM124" s="68"/>
      <c r="CN124" s="68"/>
      <c r="CO124" s="68"/>
      <c r="CP124" s="68"/>
      <c r="CQ124" s="68"/>
      <c r="CR124" s="68"/>
      <c r="CS124" s="68"/>
      <c r="CT124" s="68"/>
      <c r="CU124" s="68"/>
      <c r="CV124" s="68"/>
      <c r="CW124" s="68"/>
      <c r="CX124" s="68"/>
      <c r="CY124" s="68"/>
      <c r="CZ124" s="68"/>
      <c r="DA124" s="68"/>
      <c r="DB124" s="68"/>
      <c r="DC124" s="68"/>
      <c r="DD124" s="68"/>
      <c r="DE124" s="68"/>
      <c r="DF124" s="68"/>
      <c r="DG124" s="68"/>
      <c r="DH124" s="68"/>
      <c r="DI124" s="68"/>
      <c r="DJ124" s="68"/>
      <c r="DK124" s="68"/>
      <c r="DL124" s="68"/>
      <c r="DM124" s="68"/>
      <c r="DN124" s="68"/>
      <c r="DO124" s="68"/>
      <c r="DP124" s="68"/>
      <c r="DQ124" s="68"/>
      <c r="DR124" s="68"/>
      <c r="DS124" s="68"/>
      <c r="DT124" s="68"/>
      <c r="DU124" s="68"/>
      <c r="DV124" s="68"/>
      <c r="DW124" s="68"/>
      <c r="DX124" s="68"/>
      <c r="DY124" s="68"/>
      <c r="DZ124" s="68"/>
      <c r="EA124" s="68"/>
      <c r="EB124" s="68"/>
      <c r="EC124" s="68"/>
      <c r="ED124" s="68"/>
      <c r="EE124" s="68"/>
      <c r="EF124" s="68"/>
      <c r="EG124" s="68"/>
      <c r="EH124" s="68"/>
      <c r="EI124" s="68"/>
      <c r="EJ124" s="68"/>
      <c r="EK124" s="68"/>
      <c r="EL124" s="68"/>
      <c r="EM124" s="68"/>
      <c r="EN124" s="68"/>
      <c r="EO124" s="68"/>
      <c r="EP124" s="68"/>
    </row>
    <row r="125" spans="1:146" s="78" customFormat="1" ht="12" thickBot="1">
      <c r="A125" s="87" t="str">
        <f t="shared" si="12"/>
        <v xml:space="preserve">Miscellaneous RidersTOTAL </v>
      </c>
      <c r="B125" s="83">
        <v>15</v>
      </c>
      <c r="C125" s="147" t="s">
        <v>95</v>
      </c>
      <c r="D125" s="211"/>
      <c r="E125" s="117">
        <v>41.11</v>
      </c>
      <c r="F125" s="117">
        <v>34.29</v>
      </c>
      <c r="G125" s="117">
        <v>0</v>
      </c>
      <c r="H125" s="117">
        <v>0</v>
      </c>
      <c r="I125" s="117">
        <v>134.26</v>
      </c>
      <c r="J125" s="117">
        <v>0</v>
      </c>
      <c r="K125" s="117">
        <v>9.06</v>
      </c>
      <c r="L125" s="117">
        <v>0</v>
      </c>
      <c r="M125" s="117">
        <v>0</v>
      </c>
      <c r="N125" s="117">
        <v>0</v>
      </c>
      <c r="O125" s="117">
        <v>0</v>
      </c>
      <c r="P125" s="117">
        <v>0</v>
      </c>
      <c r="Q125" s="117">
        <v>218.71999999999997</v>
      </c>
      <c r="R125" s="12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  <c r="AO125" s="68"/>
      <c r="AP125" s="68"/>
      <c r="AQ125" s="68"/>
      <c r="AR125" s="68"/>
      <c r="AS125" s="68"/>
      <c r="AT125" s="68"/>
      <c r="AU125" s="68"/>
      <c r="AV125" s="68"/>
      <c r="AW125" s="68"/>
      <c r="AX125" s="68"/>
      <c r="AY125" s="68"/>
      <c r="AZ125" s="68"/>
      <c r="BA125" s="68"/>
      <c r="BB125" s="68"/>
      <c r="BC125" s="68"/>
      <c r="BD125" s="68"/>
      <c r="BE125" s="68"/>
      <c r="BF125" s="68"/>
      <c r="BG125" s="68"/>
      <c r="BH125" s="68"/>
      <c r="BI125" s="68"/>
      <c r="BJ125" s="68"/>
      <c r="BK125" s="68"/>
      <c r="BL125" s="68"/>
      <c r="BM125" s="68"/>
      <c r="BN125" s="68"/>
      <c r="BO125" s="68"/>
      <c r="BP125" s="68"/>
      <c r="BQ125" s="68"/>
      <c r="BR125" s="68"/>
      <c r="BS125" s="68"/>
      <c r="BT125" s="68"/>
      <c r="BU125" s="68"/>
      <c r="BV125" s="68"/>
      <c r="BW125" s="68"/>
      <c r="BX125" s="68"/>
      <c r="BY125" s="68"/>
      <c r="BZ125" s="68"/>
      <c r="CA125" s="68"/>
      <c r="CB125" s="68"/>
      <c r="CC125" s="68"/>
      <c r="CD125" s="68"/>
      <c r="CE125" s="68"/>
      <c r="CF125" s="68"/>
      <c r="CG125" s="68"/>
      <c r="CH125" s="68"/>
      <c r="CI125" s="68"/>
      <c r="CJ125" s="68"/>
      <c r="CK125" s="68"/>
      <c r="CL125" s="68"/>
      <c r="CM125" s="68"/>
      <c r="CN125" s="68"/>
      <c r="CO125" s="68"/>
      <c r="CP125" s="68"/>
      <c r="CQ125" s="68"/>
      <c r="CR125" s="68"/>
      <c r="CS125" s="68"/>
      <c r="CT125" s="68"/>
      <c r="CU125" s="68"/>
      <c r="CV125" s="68"/>
      <c r="CW125" s="68"/>
      <c r="CX125" s="68"/>
      <c r="CY125" s="68"/>
      <c r="CZ125" s="68"/>
      <c r="DA125" s="68"/>
      <c r="DB125" s="68"/>
      <c r="DC125" s="68"/>
      <c r="DD125" s="68"/>
      <c r="DE125" s="68"/>
      <c r="DF125" s="68"/>
      <c r="DG125" s="68"/>
      <c r="DH125" s="68"/>
      <c r="DI125" s="68"/>
      <c r="DJ125" s="68"/>
      <c r="DK125" s="68"/>
      <c r="DL125" s="68"/>
      <c r="DM125" s="68"/>
      <c r="DN125" s="68"/>
      <c r="DO125" s="68"/>
      <c r="DP125" s="68"/>
      <c r="DQ125" s="68"/>
      <c r="DR125" s="68"/>
      <c r="DS125" s="68"/>
      <c r="DT125" s="68"/>
      <c r="DU125" s="68"/>
      <c r="DV125" s="68"/>
      <c r="DW125" s="68"/>
      <c r="DX125" s="68"/>
      <c r="DY125" s="68"/>
      <c r="DZ125" s="68"/>
      <c r="EA125" s="68"/>
      <c r="EB125" s="68"/>
      <c r="EC125" s="68"/>
      <c r="ED125" s="68"/>
      <c r="EE125" s="68"/>
      <c r="EF125" s="68"/>
      <c r="EG125" s="68"/>
      <c r="EH125" s="68"/>
      <c r="EI125" s="68"/>
      <c r="EJ125" s="68"/>
      <c r="EK125" s="68"/>
      <c r="EL125" s="68"/>
      <c r="EM125" s="68"/>
      <c r="EN125" s="68"/>
      <c r="EO125" s="68"/>
      <c r="EP125" s="68"/>
    </row>
    <row r="126" spans="1:146" customFormat="1" ht="13.5" thickTop="1"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</row>
    <row r="127" spans="1:146" s="87" customFormat="1" ht="11.25">
      <c r="C127" s="73" t="s">
        <v>165</v>
      </c>
      <c r="D127" s="99"/>
      <c r="E127" s="228"/>
      <c r="F127" s="229"/>
      <c r="G127" s="229"/>
      <c r="H127" s="230"/>
      <c r="I127" s="231"/>
      <c r="J127" s="231"/>
      <c r="K127" s="231"/>
      <c r="L127" s="231"/>
      <c r="M127" s="231"/>
      <c r="N127" s="231"/>
      <c r="O127" s="231"/>
      <c r="P127" s="90"/>
      <c r="Q127" s="10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  <c r="AS127" s="89"/>
      <c r="AT127" s="89"/>
      <c r="AU127" s="89"/>
      <c r="AV127" s="89"/>
      <c r="AW127" s="89"/>
      <c r="AX127" s="89"/>
      <c r="AY127" s="89"/>
      <c r="AZ127" s="89"/>
      <c r="BA127" s="89"/>
      <c r="BB127" s="89"/>
      <c r="BC127" s="89"/>
      <c r="BD127" s="89"/>
      <c r="BE127" s="89"/>
      <c r="BF127" s="89"/>
      <c r="BG127" s="89"/>
      <c r="BH127" s="89"/>
      <c r="BI127" s="89"/>
      <c r="BJ127" s="89"/>
      <c r="BK127" s="89"/>
      <c r="BL127" s="89"/>
      <c r="BM127" s="89"/>
      <c r="BN127" s="89"/>
      <c r="BO127" s="89"/>
      <c r="BP127" s="89"/>
      <c r="BQ127" s="89"/>
      <c r="BR127" s="89"/>
      <c r="BS127" s="89"/>
      <c r="BT127" s="89"/>
      <c r="BU127" s="89"/>
      <c r="BV127" s="89"/>
      <c r="BW127" s="89"/>
      <c r="BX127" s="89"/>
      <c r="BY127" s="89"/>
      <c r="BZ127" s="89"/>
      <c r="CA127" s="89"/>
      <c r="CB127" s="89"/>
      <c r="CC127" s="89"/>
      <c r="CD127" s="89"/>
      <c r="CE127" s="89"/>
      <c r="CF127" s="89"/>
      <c r="CG127" s="89"/>
      <c r="CH127" s="89"/>
      <c r="CI127" s="89"/>
      <c r="CJ127" s="89"/>
      <c r="CK127" s="89"/>
      <c r="CL127" s="89"/>
      <c r="CM127" s="89"/>
      <c r="CN127" s="89"/>
      <c r="CO127" s="89"/>
      <c r="CP127" s="89"/>
      <c r="CQ127" s="89"/>
      <c r="CR127" s="89"/>
      <c r="CS127" s="89"/>
      <c r="CT127" s="89"/>
      <c r="CU127" s="89"/>
      <c r="CV127" s="89"/>
      <c r="CW127" s="89"/>
      <c r="CX127" s="89"/>
      <c r="CY127" s="89"/>
      <c r="CZ127" s="89"/>
      <c r="DA127" s="89"/>
      <c r="DB127" s="89"/>
      <c r="DC127" s="89"/>
      <c r="DD127" s="89"/>
      <c r="DE127" s="89"/>
      <c r="DF127" s="89"/>
      <c r="DG127" s="89"/>
      <c r="DH127" s="89"/>
      <c r="DI127" s="89"/>
      <c r="DJ127" s="89"/>
      <c r="DK127" s="89"/>
      <c r="DL127" s="89"/>
      <c r="DM127" s="89"/>
      <c r="DN127" s="89"/>
      <c r="DO127" s="89"/>
      <c r="DP127" s="89"/>
      <c r="DQ127" s="89"/>
      <c r="DR127" s="89"/>
      <c r="DS127" s="89"/>
      <c r="DT127" s="89"/>
      <c r="DU127" s="89"/>
      <c r="DV127" s="89"/>
      <c r="DW127" s="89"/>
      <c r="DX127" s="89"/>
      <c r="DY127" s="89"/>
      <c r="DZ127" s="89"/>
      <c r="EA127" s="89"/>
      <c r="EB127" s="89"/>
      <c r="EC127" s="89"/>
      <c r="ED127" s="89"/>
      <c r="EE127" s="89"/>
      <c r="EF127" s="89"/>
      <c r="EG127" s="89"/>
      <c r="EH127" s="89"/>
      <c r="EI127" s="89"/>
      <c r="EJ127" s="89"/>
      <c r="EK127" s="89"/>
      <c r="EL127" s="89"/>
      <c r="EM127" s="89"/>
      <c r="EN127" s="89"/>
      <c r="EO127" s="89"/>
      <c r="EP127" s="89"/>
    </row>
    <row r="128" spans="1:146" s="87" customFormat="1" ht="11.25">
      <c r="B128" s="211" t="s">
        <v>8</v>
      </c>
      <c r="C128" s="213" t="s">
        <v>0</v>
      </c>
      <c r="D128" s="213" t="s">
        <v>7</v>
      </c>
      <c r="E128" s="232" t="s">
        <v>151</v>
      </c>
      <c r="F128" s="232" t="s">
        <v>152</v>
      </c>
      <c r="G128" s="232" t="s">
        <v>153</v>
      </c>
      <c r="H128" s="232" t="s">
        <v>154</v>
      </c>
      <c r="I128" s="232" t="s">
        <v>155</v>
      </c>
      <c r="J128" s="232" t="s">
        <v>156</v>
      </c>
      <c r="K128" s="232" t="s">
        <v>157</v>
      </c>
      <c r="L128" s="232" t="s">
        <v>158</v>
      </c>
      <c r="M128" s="232" t="s">
        <v>159</v>
      </c>
      <c r="N128" s="232" t="s">
        <v>160</v>
      </c>
      <c r="O128" s="232" t="s">
        <v>161</v>
      </c>
      <c r="P128" s="232" t="s">
        <v>162</v>
      </c>
      <c r="Q128" s="110" t="s">
        <v>2</v>
      </c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  <c r="AS128" s="89"/>
      <c r="AT128" s="89"/>
      <c r="AU128" s="89"/>
      <c r="AV128" s="89"/>
      <c r="AW128" s="89"/>
      <c r="AX128" s="89"/>
      <c r="AY128" s="89"/>
      <c r="AZ128" s="89"/>
      <c r="BA128" s="89"/>
      <c r="BB128" s="89"/>
      <c r="BC128" s="89"/>
      <c r="BD128" s="89"/>
      <c r="BE128" s="89"/>
      <c r="BF128" s="89"/>
      <c r="BG128" s="89"/>
      <c r="BH128" s="89"/>
      <c r="BI128" s="89"/>
      <c r="BJ128" s="89"/>
      <c r="BK128" s="89"/>
      <c r="BL128" s="89"/>
      <c r="BM128" s="89"/>
      <c r="BN128" s="89"/>
      <c r="BO128" s="89"/>
      <c r="BP128" s="89"/>
      <c r="BQ128" s="89"/>
      <c r="BR128" s="89"/>
      <c r="BS128" s="89"/>
      <c r="BT128" s="89"/>
      <c r="BU128" s="89"/>
      <c r="BV128" s="89"/>
      <c r="BW128" s="89"/>
      <c r="BX128" s="89"/>
      <c r="BY128" s="89"/>
      <c r="BZ128" s="89"/>
      <c r="CA128" s="89"/>
      <c r="CB128" s="89"/>
      <c r="CC128" s="89"/>
      <c r="CD128" s="89"/>
      <c r="CE128" s="89"/>
      <c r="CF128" s="89"/>
      <c r="CG128" s="89"/>
      <c r="CH128" s="89"/>
      <c r="CI128" s="89"/>
      <c r="CJ128" s="89"/>
      <c r="CK128" s="89"/>
      <c r="CL128" s="89"/>
      <c r="CM128" s="89"/>
      <c r="CN128" s="89"/>
      <c r="CO128" s="89"/>
      <c r="CP128" s="89"/>
      <c r="CQ128" s="89"/>
      <c r="CR128" s="89"/>
      <c r="CS128" s="89"/>
      <c r="CT128" s="89"/>
      <c r="CU128" s="89"/>
      <c r="CV128" s="89"/>
      <c r="CW128" s="89"/>
      <c r="CX128" s="89"/>
      <c r="CY128" s="89"/>
      <c r="CZ128" s="89"/>
      <c r="DA128" s="89"/>
      <c r="DB128" s="89"/>
      <c r="DC128" s="89"/>
      <c r="DD128" s="89"/>
      <c r="DE128" s="89"/>
      <c r="DF128" s="89"/>
      <c r="DG128" s="89"/>
      <c r="DH128" s="89"/>
      <c r="DI128" s="89"/>
      <c r="DJ128" s="89"/>
      <c r="DK128" s="89"/>
      <c r="DL128" s="89"/>
      <c r="DM128" s="89"/>
      <c r="DN128" s="89"/>
      <c r="DO128" s="89"/>
      <c r="DP128" s="89"/>
      <c r="DQ128" s="89"/>
      <c r="DR128" s="89"/>
      <c r="DS128" s="89"/>
      <c r="DT128" s="89"/>
      <c r="DU128" s="89"/>
      <c r="DV128" s="89"/>
      <c r="DW128" s="89"/>
      <c r="DX128" s="89"/>
      <c r="DY128" s="89"/>
      <c r="DZ128" s="89"/>
      <c r="EA128" s="89"/>
      <c r="EB128" s="89"/>
      <c r="EC128" s="89"/>
      <c r="ED128" s="89"/>
      <c r="EE128" s="89"/>
      <c r="EF128" s="89"/>
      <c r="EG128" s="89"/>
      <c r="EH128" s="89"/>
      <c r="EI128" s="89"/>
      <c r="EJ128" s="89"/>
      <c r="EK128" s="89"/>
      <c r="EL128" s="89"/>
      <c r="EM128" s="89"/>
      <c r="EN128" s="89"/>
      <c r="EO128" s="89"/>
      <c r="EP128" s="89"/>
    </row>
    <row r="129" spans="1:146" s="87" customFormat="1" ht="11.25">
      <c r="C129" s="213"/>
      <c r="D129" s="213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27"/>
      <c r="Q129" s="110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  <c r="AS129" s="89"/>
      <c r="AT129" s="89"/>
      <c r="AU129" s="89"/>
      <c r="AV129" s="89"/>
      <c r="AW129" s="89"/>
      <c r="AX129" s="89"/>
      <c r="AY129" s="89"/>
      <c r="AZ129" s="89"/>
      <c r="BA129" s="89"/>
      <c r="BB129" s="89"/>
      <c r="BC129" s="89"/>
      <c r="BD129" s="89"/>
      <c r="BE129" s="89"/>
      <c r="BF129" s="89"/>
      <c r="BG129" s="89"/>
      <c r="BH129" s="89"/>
      <c r="BI129" s="89"/>
      <c r="BJ129" s="89"/>
      <c r="BK129" s="89"/>
      <c r="BL129" s="89"/>
      <c r="BM129" s="89"/>
      <c r="BN129" s="89"/>
      <c r="BO129" s="89"/>
      <c r="BP129" s="89"/>
      <c r="BQ129" s="89"/>
      <c r="BR129" s="89"/>
      <c r="BS129" s="89"/>
      <c r="BT129" s="89"/>
      <c r="BU129" s="89"/>
      <c r="BV129" s="89"/>
      <c r="BW129" s="89"/>
      <c r="BX129" s="89"/>
      <c r="BY129" s="89"/>
      <c r="BZ129" s="89"/>
      <c r="CA129" s="89"/>
      <c r="CB129" s="89"/>
      <c r="CC129" s="89"/>
      <c r="CD129" s="89"/>
      <c r="CE129" s="89"/>
      <c r="CF129" s="89"/>
      <c r="CG129" s="89"/>
      <c r="CH129" s="89"/>
      <c r="CI129" s="89"/>
      <c r="CJ129" s="89"/>
      <c r="CK129" s="89"/>
      <c r="CL129" s="89"/>
      <c r="CM129" s="89"/>
      <c r="CN129" s="89"/>
      <c r="CO129" s="89"/>
      <c r="CP129" s="89"/>
      <c r="CQ129" s="89"/>
      <c r="CR129" s="89"/>
      <c r="CS129" s="89"/>
      <c r="CT129" s="89"/>
      <c r="CU129" s="89"/>
      <c r="CV129" s="89"/>
      <c r="CW129" s="89"/>
      <c r="CX129" s="89"/>
      <c r="CY129" s="89"/>
      <c r="CZ129" s="89"/>
      <c r="DA129" s="89"/>
      <c r="DB129" s="89"/>
      <c r="DC129" s="89"/>
      <c r="DD129" s="89"/>
      <c r="DE129" s="89"/>
      <c r="DF129" s="89"/>
      <c r="DG129" s="89"/>
      <c r="DH129" s="89"/>
      <c r="DI129" s="89"/>
      <c r="DJ129" s="89"/>
      <c r="DK129" s="89"/>
      <c r="DL129" s="89"/>
      <c r="DM129" s="89"/>
      <c r="DN129" s="89"/>
      <c r="DO129" s="89"/>
      <c r="DP129" s="89"/>
      <c r="DQ129" s="89"/>
      <c r="DR129" s="89"/>
      <c r="DS129" s="89"/>
      <c r="DT129" s="89"/>
      <c r="DU129" s="89"/>
      <c r="DV129" s="89"/>
      <c r="DW129" s="89"/>
      <c r="DX129" s="89"/>
      <c r="DY129" s="89"/>
      <c r="DZ129" s="89"/>
      <c r="EA129" s="89"/>
      <c r="EB129" s="89"/>
      <c r="EC129" s="89"/>
      <c r="ED129" s="89"/>
      <c r="EE129" s="89"/>
      <c r="EF129" s="89"/>
      <c r="EG129" s="89"/>
      <c r="EH129" s="89"/>
      <c r="EI129" s="89"/>
      <c r="EJ129" s="89"/>
      <c r="EK129" s="89"/>
      <c r="EL129" s="89"/>
      <c r="EM129" s="89"/>
      <c r="EN129" s="89"/>
      <c r="EO129" s="89"/>
      <c r="EP129" s="89"/>
    </row>
    <row r="130" spans="1:146" s="78" customFormat="1" ht="11.25">
      <c r="A130" s="87" t="str">
        <f>CONCATENATE($C$127,C130)</f>
        <v>MTEEERESIDENTIAL SERVICE</v>
      </c>
      <c r="B130" s="83" t="s">
        <v>9</v>
      </c>
      <c r="C130" s="78" t="s">
        <v>17</v>
      </c>
      <c r="D130" s="85" t="s">
        <v>4</v>
      </c>
      <c r="E130" s="124">
        <v>0</v>
      </c>
      <c r="F130" s="124">
        <v>0</v>
      </c>
      <c r="G130" s="124">
        <v>0</v>
      </c>
      <c r="H130" s="124">
        <v>0</v>
      </c>
      <c r="I130" s="124">
        <v>0</v>
      </c>
      <c r="J130" s="124">
        <v>0</v>
      </c>
      <c r="K130" s="124">
        <v>0</v>
      </c>
      <c r="L130" s="124">
        <v>0</v>
      </c>
      <c r="M130" s="124">
        <v>0</v>
      </c>
      <c r="N130" s="124">
        <v>0</v>
      </c>
      <c r="O130" s="124">
        <v>0</v>
      </c>
      <c r="P130" s="124">
        <v>1232462.07</v>
      </c>
      <c r="Q130" s="90">
        <f>SUM(E130:P130)</f>
        <v>1232462.07</v>
      </c>
      <c r="R130" s="125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  <c r="AO130" s="68"/>
      <c r="AP130" s="68"/>
      <c r="AQ130" s="68"/>
      <c r="AR130" s="68"/>
      <c r="AS130" s="68"/>
      <c r="AT130" s="68"/>
      <c r="AU130" s="68"/>
      <c r="AV130" s="68"/>
      <c r="AW130" s="68"/>
      <c r="AX130" s="68"/>
      <c r="AY130" s="68"/>
      <c r="AZ130" s="68"/>
      <c r="BA130" s="68"/>
      <c r="BB130" s="68"/>
      <c r="BC130" s="68"/>
      <c r="BD130" s="68"/>
      <c r="BE130" s="68"/>
      <c r="BF130" s="68"/>
      <c r="BG130" s="68"/>
      <c r="BH130" s="68"/>
      <c r="BI130" s="68"/>
      <c r="BJ130" s="68"/>
      <c r="BK130" s="68"/>
      <c r="BL130" s="68"/>
      <c r="BM130" s="68"/>
      <c r="BN130" s="68"/>
      <c r="BO130" s="68"/>
      <c r="BP130" s="68"/>
      <c r="BQ130" s="68"/>
      <c r="BR130" s="68"/>
      <c r="BS130" s="68"/>
      <c r="BT130" s="68"/>
      <c r="BU130" s="68"/>
      <c r="BV130" s="68"/>
      <c r="BW130" s="68"/>
      <c r="BX130" s="68"/>
      <c r="BY130" s="68"/>
      <c r="BZ130" s="68"/>
      <c r="CA130" s="68"/>
      <c r="CB130" s="68"/>
      <c r="CC130" s="68"/>
      <c r="CD130" s="68"/>
      <c r="CE130" s="68"/>
      <c r="CF130" s="68"/>
      <c r="CG130" s="68"/>
      <c r="CH130" s="68"/>
      <c r="CI130" s="68"/>
      <c r="CJ130" s="68"/>
      <c r="CK130" s="68"/>
      <c r="CL130" s="68"/>
      <c r="CM130" s="68"/>
      <c r="CN130" s="68"/>
      <c r="CO130" s="68"/>
      <c r="CP130" s="68"/>
      <c r="CQ130" s="68"/>
      <c r="CR130" s="68"/>
      <c r="CS130" s="68"/>
      <c r="CT130" s="68"/>
      <c r="CU130" s="68"/>
      <c r="CV130" s="68"/>
      <c r="CW130" s="68"/>
      <c r="CX130" s="68"/>
      <c r="CY130" s="68"/>
      <c r="CZ130" s="68"/>
      <c r="DA130" s="68"/>
      <c r="DB130" s="68"/>
      <c r="DC130" s="68"/>
      <c r="DD130" s="68"/>
      <c r="DE130" s="68"/>
      <c r="DF130" s="68"/>
      <c r="DG130" s="68"/>
      <c r="DH130" s="68"/>
      <c r="DI130" s="68"/>
      <c r="DJ130" s="68"/>
      <c r="DK130" s="68"/>
      <c r="DL130" s="68"/>
      <c r="DM130" s="68"/>
      <c r="DN130" s="68"/>
      <c r="DO130" s="68"/>
      <c r="DP130" s="68"/>
      <c r="DQ130" s="68"/>
      <c r="DR130" s="68"/>
      <c r="DS130" s="68"/>
      <c r="DT130" s="68"/>
      <c r="DU130" s="68"/>
      <c r="DV130" s="68"/>
      <c r="DW130" s="68"/>
      <c r="DX130" s="68"/>
      <c r="DY130" s="68"/>
      <c r="DZ130" s="68"/>
      <c r="EA130" s="68"/>
      <c r="EB130" s="68"/>
      <c r="EC130" s="68"/>
      <c r="ED130" s="68"/>
      <c r="EE130" s="68"/>
      <c r="EF130" s="68"/>
      <c r="EG130" s="68"/>
      <c r="EH130" s="68"/>
      <c r="EI130" s="68"/>
      <c r="EJ130" s="68"/>
      <c r="EK130" s="68"/>
      <c r="EL130" s="68"/>
      <c r="EM130" s="68"/>
      <c r="EN130" s="68"/>
      <c r="EO130" s="68"/>
      <c r="EP130" s="68"/>
    </row>
    <row r="131" spans="1:146" s="78" customFormat="1" ht="11.25">
      <c r="A131" s="87" t="str">
        <f t="shared" ref="A131:A154" si="17">CONCATENATE($C$127,C131)</f>
        <v>MTEEE</v>
      </c>
      <c r="D131" s="85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93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  <c r="AO131" s="68"/>
      <c r="AP131" s="68"/>
      <c r="AQ131" s="68"/>
      <c r="AR131" s="68"/>
      <c r="AS131" s="68"/>
      <c r="AT131" s="68"/>
      <c r="AU131" s="68"/>
      <c r="AV131" s="68"/>
      <c r="AW131" s="68"/>
      <c r="AX131" s="68"/>
      <c r="AY131" s="68"/>
      <c r="AZ131" s="68"/>
      <c r="BA131" s="68"/>
      <c r="BB131" s="68"/>
      <c r="BC131" s="68"/>
      <c r="BD131" s="68"/>
      <c r="BE131" s="68"/>
      <c r="BF131" s="68"/>
      <c r="BG131" s="68"/>
      <c r="BH131" s="68"/>
      <c r="BI131" s="68"/>
      <c r="BJ131" s="68"/>
      <c r="BK131" s="68"/>
      <c r="BL131" s="68"/>
      <c r="BM131" s="68"/>
      <c r="BN131" s="68"/>
      <c r="BO131" s="68"/>
      <c r="BP131" s="68"/>
      <c r="BQ131" s="68"/>
      <c r="BR131" s="68"/>
      <c r="BS131" s="68"/>
      <c r="BT131" s="68"/>
      <c r="BU131" s="68"/>
      <c r="BV131" s="68"/>
      <c r="BW131" s="68"/>
      <c r="BX131" s="68"/>
      <c r="BY131" s="68"/>
      <c r="BZ131" s="68"/>
      <c r="CA131" s="68"/>
      <c r="CB131" s="68"/>
      <c r="CC131" s="68"/>
      <c r="CD131" s="68"/>
      <c r="CE131" s="68"/>
      <c r="CF131" s="68"/>
      <c r="CG131" s="68"/>
      <c r="CH131" s="68"/>
      <c r="CI131" s="68"/>
      <c r="CJ131" s="68"/>
      <c r="CK131" s="68"/>
      <c r="CL131" s="68"/>
      <c r="CM131" s="68"/>
      <c r="CN131" s="68"/>
      <c r="CO131" s="68"/>
      <c r="CP131" s="68"/>
      <c r="CQ131" s="68"/>
      <c r="CR131" s="68"/>
      <c r="CS131" s="68"/>
      <c r="CT131" s="68"/>
      <c r="CU131" s="68"/>
      <c r="CV131" s="68"/>
      <c r="CW131" s="68"/>
      <c r="CX131" s="68"/>
      <c r="CY131" s="68"/>
      <c r="CZ131" s="68"/>
      <c r="DA131" s="68"/>
      <c r="DB131" s="68"/>
      <c r="DC131" s="68"/>
      <c r="DD131" s="68"/>
      <c r="DE131" s="68"/>
      <c r="DF131" s="68"/>
      <c r="DG131" s="68"/>
      <c r="DH131" s="68"/>
      <c r="DI131" s="68"/>
      <c r="DJ131" s="68"/>
      <c r="DK131" s="68"/>
      <c r="DL131" s="68"/>
      <c r="DM131" s="68"/>
      <c r="DN131" s="68"/>
      <c r="DO131" s="68"/>
      <c r="DP131" s="68"/>
      <c r="DQ131" s="68"/>
      <c r="DR131" s="68"/>
      <c r="DS131" s="68"/>
      <c r="DT131" s="68"/>
      <c r="DU131" s="68"/>
      <c r="DV131" s="68"/>
      <c r="DW131" s="68"/>
      <c r="DX131" s="68"/>
      <c r="DY131" s="68"/>
      <c r="DZ131" s="68"/>
      <c r="EA131" s="68"/>
      <c r="EB131" s="68"/>
      <c r="EC131" s="68"/>
      <c r="ED131" s="68"/>
      <c r="EE131" s="68"/>
      <c r="EF131" s="68"/>
      <c r="EG131" s="68"/>
      <c r="EH131" s="68"/>
      <c r="EI131" s="68"/>
      <c r="EJ131" s="68"/>
      <c r="EK131" s="68"/>
      <c r="EL131" s="68"/>
      <c r="EM131" s="68"/>
      <c r="EN131" s="68"/>
      <c r="EO131" s="68"/>
      <c r="EP131" s="68"/>
    </row>
    <row r="132" spans="1:146" s="78" customFormat="1" ht="11.25">
      <c r="A132" s="87" t="str">
        <f t="shared" si="17"/>
        <v>MTEEESECONDARY &lt; 10 kW</v>
      </c>
      <c r="B132" s="83">
        <v>2</v>
      </c>
      <c r="C132" s="78" t="s">
        <v>150</v>
      </c>
      <c r="D132" s="85" t="s">
        <v>4</v>
      </c>
      <c r="E132" s="124">
        <v>0</v>
      </c>
      <c r="F132" s="124">
        <v>0</v>
      </c>
      <c r="G132" s="124">
        <v>0</v>
      </c>
      <c r="H132" s="124">
        <v>0</v>
      </c>
      <c r="I132" s="124">
        <v>0</v>
      </c>
      <c r="J132" s="124">
        <v>0</v>
      </c>
      <c r="K132" s="124">
        <v>0</v>
      </c>
      <c r="L132" s="124">
        <v>0</v>
      </c>
      <c r="M132" s="124">
        <v>0</v>
      </c>
      <c r="N132" s="124">
        <v>0</v>
      </c>
      <c r="O132" s="124">
        <v>0</v>
      </c>
      <c r="P132" s="124">
        <v>107094.36000000002</v>
      </c>
      <c r="Q132" s="90">
        <f>SUM(E132:P132)</f>
        <v>107094.36000000002</v>
      </c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  <c r="AO132" s="68"/>
      <c r="AP132" s="68"/>
      <c r="AQ132" s="68"/>
      <c r="AR132" s="68"/>
      <c r="AS132" s="68"/>
      <c r="AT132" s="68"/>
      <c r="AU132" s="68"/>
      <c r="AV132" s="68"/>
      <c r="AW132" s="68"/>
      <c r="AX132" s="68"/>
      <c r="AY132" s="68"/>
      <c r="AZ132" s="68"/>
      <c r="BA132" s="68"/>
      <c r="BB132" s="68"/>
      <c r="BC132" s="68"/>
      <c r="BD132" s="68"/>
      <c r="BE132" s="68"/>
      <c r="BF132" s="68"/>
      <c r="BG132" s="68"/>
      <c r="BH132" s="68"/>
      <c r="BI132" s="68"/>
      <c r="BJ132" s="68"/>
      <c r="BK132" s="68"/>
      <c r="BL132" s="68"/>
      <c r="BM132" s="68"/>
      <c r="BN132" s="68"/>
      <c r="BO132" s="68"/>
      <c r="BP132" s="68"/>
      <c r="BQ132" s="68"/>
      <c r="BR132" s="68"/>
      <c r="BS132" s="68"/>
      <c r="BT132" s="68"/>
      <c r="BU132" s="68"/>
      <c r="BV132" s="68"/>
      <c r="BW132" s="68"/>
      <c r="BX132" s="68"/>
      <c r="BY132" s="68"/>
      <c r="BZ132" s="68"/>
      <c r="CA132" s="68"/>
      <c r="CB132" s="68"/>
      <c r="CC132" s="68"/>
      <c r="CD132" s="68"/>
      <c r="CE132" s="68"/>
      <c r="CF132" s="68"/>
      <c r="CG132" s="68"/>
      <c r="CH132" s="68"/>
      <c r="CI132" s="68"/>
      <c r="CJ132" s="68"/>
      <c r="CK132" s="68"/>
      <c r="CL132" s="68"/>
      <c r="CM132" s="68"/>
      <c r="CN132" s="68"/>
      <c r="CO132" s="68"/>
      <c r="CP132" s="68"/>
      <c r="CQ132" s="68"/>
      <c r="CR132" s="68"/>
      <c r="CS132" s="68"/>
      <c r="CT132" s="68"/>
      <c r="CU132" s="68"/>
      <c r="CV132" s="68"/>
      <c r="CW132" s="68"/>
      <c r="CX132" s="68"/>
      <c r="CY132" s="68"/>
      <c r="CZ132" s="68"/>
      <c r="DA132" s="68"/>
      <c r="DB132" s="68"/>
      <c r="DC132" s="68"/>
      <c r="DD132" s="68"/>
      <c r="DE132" s="68"/>
      <c r="DF132" s="68"/>
      <c r="DG132" s="68"/>
      <c r="DH132" s="68"/>
      <c r="DI132" s="68"/>
      <c r="DJ132" s="68"/>
      <c r="DK132" s="68"/>
      <c r="DL132" s="68"/>
      <c r="DM132" s="68"/>
      <c r="DN132" s="68"/>
      <c r="DO132" s="68"/>
      <c r="DP132" s="68"/>
      <c r="DQ132" s="68"/>
      <c r="DR132" s="68"/>
      <c r="DS132" s="68"/>
      <c r="DT132" s="68"/>
      <c r="DU132" s="68"/>
      <c r="DV132" s="68"/>
      <c r="DW132" s="68"/>
      <c r="DX132" s="68"/>
      <c r="DY132" s="68"/>
      <c r="DZ132" s="68"/>
      <c r="EA132" s="68"/>
      <c r="EB132" s="68"/>
      <c r="EC132" s="68"/>
      <c r="ED132" s="68"/>
      <c r="EE132" s="68"/>
      <c r="EF132" s="68"/>
      <c r="EG132" s="68"/>
      <c r="EH132" s="68"/>
      <c r="EI132" s="68"/>
      <c r="EJ132" s="68"/>
      <c r="EK132" s="68"/>
      <c r="EL132" s="68"/>
      <c r="EM132" s="68"/>
      <c r="EN132" s="68"/>
      <c r="EO132" s="68"/>
      <c r="EP132" s="68"/>
    </row>
    <row r="133" spans="1:146" s="78" customFormat="1" ht="11.25">
      <c r="A133" s="87" t="str">
        <f t="shared" si="17"/>
        <v>MTEEE</v>
      </c>
      <c r="B133" s="83"/>
      <c r="D133" s="85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93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  <c r="AO133" s="68"/>
      <c r="AP133" s="68"/>
      <c r="AQ133" s="68"/>
      <c r="AR133" s="68"/>
      <c r="AS133" s="68"/>
      <c r="AT133" s="68"/>
      <c r="AU133" s="68"/>
      <c r="AV133" s="68"/>
      <c r="AW133" s="68"/>
      <c r="AX133" s="68"/>
      <c r="AY133" s="68"/>
      <c r="AZ133" s="68"/>
      <c r="BA133" s="68"/>
      <c r="BB133" s="68"/>
      <c r="BC133" s="68"/>
      <c r="BD133" s="68"/>
      <c r="BE133" s="68"/>
      <c r="BF133" s="68"/>
      <c r="BG133" s="68"/>
      <c r="BH133" s="68"/>
      <c r="BI133" s="68"/>
      <c r="BJ133" s="68"/>
      <c r="BK133" s="68"/>
      <c r="BL133" s="68"/>
      <c r="BM133" s="68"/>
      <c r="BN133" s="68"/>
      <c r="BO133" s="68"/>
      <c r="BP133" s="68"/>
      <c r="BQ133" s="68"/>
      <c r="BR133" s="68"/>
      <c r="BS133" s="68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68"/>
      <c r="DI133" s="68"/>
      <c r="DJ133" s="68"/>
      <c r="DK133" s="68"/>
      <c r="DL133" s="68"/>
      <c r="DM133" s="68"/>
      <c r="DN133" s="68"/>
      <c r="DO133" s="68"/>
      <c r="DP133" s="68"/>
      <c r="DQ133" s="68"/>
      <c r="DR133" s="68"/>
      <c r="DS133" s="68"/>
      <c r="DT133" s="68"/>
      <c r="DU133" s="68"/>
      <c r="DV133" s="68"/>
      <c r="DW133" s="68"/>
      <c r="DX133" s="68"/>
      <c r="DY133" s="68"/>
      <c r="DZ133" s="68"/>
      <c r="EA133" s="68"/>
      <c r="EB133" s="68"/>
      <c r="EC133" s="68"/>
      <c r="ED133" s="68"/>
      <c r="EE133" s="68"/>
      <c r="EF133" s="68"/>
      <c r="EG133" s="68"/>
      <c r="EH133" s="68"/>
      <c r="EI133" s="68"/>
      <c r="EJ133" s="68"/>
      <c r="EK133" s="68"/>
      <c r="EL133" s="68"/>
      <c r="EM133" s="68"/>
      <c r="EN133" s="68"/>
      <c r="EO133" s="68"/>
      <c r="EP133" s="68"/>
    </row>
    <row r="134" spans="1:146" s="78" customFormat="1" ht="11.25">
      <c r="A134" s="87" t="str">
        <f t="shared" si="17"/>
        <v>MTEEESECONDARY &gt; 10 kW NCP</v>
      </c>
      <c r="B134" s="83">
        <v>3</v>
      </c>
      <c r="C134" s="87" t="s">
        <v>81</v>
      </c>
      <c r="D134" s="74" t="s">
        <v>4</v>
      </c>
      <c r="E134" s="124">
        <v>0</v>
      </c>
      <c r="F134" s="124">
        <v>0</v>
      </c>
      <c r="G134" s="124">
        <v>0</v>
      </c>
      <c r="H134" s="124">
        <v>0</v>
      </c>
      <c r="I134" s="124">
        <v>0</v>
      </c>
      <c r="J134" s="124">
        <v>0</v>
      </c>
      <c r="K134" s="124">
        <v>0</v>
      </c>
      <c r="L134" s="124">
        <v>0</v>
      </c>
      <c r="M134" s="124">
        <v>0</v>
      </c>
      <c r="N134" s="124">
        <v>0</v>
      </c>
      <c r="O134" s="124">
        <v>0</v>
      </c>
      <c r="P134" s="124">
        <v>438124.11</v>
      </c>
      <c r="Q134" s="90">
        <f t="shared" ref="Q134:Q135" si="18">SUM(E134:P134)</f>
        <v>438124.11</v>
      </c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68"/>
      <c r="BN134" s="68"/>
      <c r="BO134" s="68"/>
      <c r="BP134" s="68"/>
      <c r="BQ134" s="68"/>
      <c r="BR134" s="68"/>
      <c r="BS134" s="68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68"/>
      <c r="DI134" s="68"/>
      <c r="DJ134" s="68"/>
      <c r="DK134" s="68"/>
      <c r="DL134" s="68"/>
      <c r="DM134" s="68"/>
      <c r="DN134" s="68"/>
      <c r="DO134" s="68"/>
      <c r="DP134" s="68"/>
      <c r="DQ134" s="68"/>
      <c r="DR134" s="68"/>
      <c r="DS134" s="68"/>
      <c r="DT134" s="68"/>
      <c r="DU134" s="68"/>
      <c r="DV134" s="68"/>
      <c r="DW134" s="68"/>
      <c r="DX134" s="68"/>
      <c r="DY134" s="68"/>
      <c r="DZ134" s="68"/>
      <c r="EA134" s="68"/>
      <c r="EB134" s="68"/>
      <c r="EC134" s="68"/>
      <c r="ED134" s="68"/>
      <c r="EE134" s="68"/>
      <c r="EF134" s="68"/>
      <c r="EG134" s="68"/>
      <c r="EH134" s="68"/>
      <c r="EI134" s="68"/>
      <c r="EJ134" s="68"/>
      <c r="EK134" s="68"/>
      <c r="EL134" s="68"/>
      <c r="EM134" s="68"/>
      <c r="EN134" s="68"/>
      <c r="EO134" s="68"/>
      <c r="EP134" s="68"/>
    </row>
    <row r="135" spans="1:146" s="78" customFormat="1" ht="11.25">
      <c r="A135" s="87" t="str">
        <f t="shared" si="17"/>
        <v>MTEEESECONDARY &gt; 10 kW 4CP</v>
      </c>
      <c r="B135" s="83">
        <v>4</v>
      </c>
      <c r="C135" s="87" t="s">
        <v>85</v>
      </c>
      <c r="D135" s="74" t="s">
        <v>4</v>
      </c>
      <c r="E135" s="149">
        <v>0</v>
      </c>
      <c r="F135" s="149">
        <v>0</v>
      </c>
      <c r="G135" s="149">
        <v>0</v>
      </c>
      <c r="H135" s="149">
        <v>0</v>
      </c>
      <c r="I135" s="149">
        <v>0</v>
      </c>
      <c r="J135" s="149">
        <v>0</v>
      </c>
      <c r="K135" s="149">
        <v>0</v>
      </c>
      <c r="L135" s="149">
        <v>0</v>
      </c>
      <c r="M135" s="149">
        <v>0</v>
      </c>
      <c r="N135" s="149">
        <v>0</v>
      </c>
      <c r="O135" s="149">
        <v>0</v>
      </c>
      <c r="P135" s="149">
        <v>58722.27</v>
      </c>
      <c r="Q135" s="149">
        <f t="shared" si="18"/>
        <v>58722.27</v>
      </c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  <c r="AO135" s="68"/>
      <c r="AP135" s="68"/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68"/>
      <c r="BN135" s="68"/>
      <c r="BO135" s="68"/>
      <c r="BP135" s="68"/>
      <c r="BQ135" s="68"/>
      <c r="BR135" s="68"/>
      <c r="BS135" s="68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68"/>
      <c r="DI135" s="68"/>
      <c r="DJ135" s="68"/>
      <c r="DK135" s="68"/>
      <c r="DL135" s="68"/>
      <c r="DM135" s="68"/>
      <c r="DN135" s="68"/>
      <c r="DO135" s="68"/>
      <c r="DP135" s="68"/>
      <c r="DQ135" s="68"/>
      <c r="DR135" s="68"/>
      <c r="DS135" s="68"/>
      <c r="DT135" s="68"/>
      <c r="DU135" s="68"/>
      <c r="DV135" s="68"/>
      <c r="DW135" s="68"/>
      <c r="DX135" s="68"/>
      <c r="DY135" s="68"/>
      <c r="DZ135" s="68"/>
      <c r="EA135" s="68"/>
      <c r="EB135" s="68"/>
      <c r="EC135" s="68"/>
      <c r="ED135" s="68"/>
      <c r="EE135" s="68"/>
      <c r="EF135" s="68"/>
      <c r="EG135" s="68"/>
      <c r="EH135" s="68"/>
      <c r="EI135" s="68"/>
      <c r="EJ135" s="68"/>
      <c r="EK135" s="68"/>
      <c r="EL135" s="68"/>
      <c r="EM135" s="68"/>
      <c r="EN135" s="68"/>
      <c r="EO135" s="68"/>
      <c r="EP135" s="68"/>
    </row>
    <row r="136" spans="1:146" s="78" customFormat="1" ht="11.25">
      <c r="A136" s="87" t="str">
        <f t="shared" si="17"/>
        <v>MTEEETOTAL SECONDARY &gt; 10 kW</v>
      </c>
      <c r="B136" s="83">
        <v>5</v>
      </c>
      <c r="C136" s="96" t="s">
        <v>18</v>
      </c>
      <c r="D136" s="85"/>
      <c r="E136" s="231">
        <f>SUM(E134:E135)</f>
        <v>0</v>
      </c>
      <c r="F136" s="231">
        <f t="shared" ref="F136:Q136" si="19">SUM(F134:F135)</f>
        <v>0</v>
      </c>
      <c r="G136" s="231">
        <f t="shared" si="19"/>
        <v>0</v>
      </c>
      <c r="H136" s="231">
        <f t="shared" si="19"/>
        <v>0</v>
      </c>
      <c r="I136" s="231">
        <f t="shared" si="19"/>
        <v>0</v>
      </c>
      <c r="J136" s="231">
        <f t="shared" si="19"/>
        <v>0</v>
      </c>
      <c r="K136" s="231">
        <f t="shared" si="19"/>
        <v>0</v>
      </c>
      <c r="L136" s="231">
        <f t="shared" si="19"/>
        <v>0</v>
      </c>
      <c r="M136" s="231">
        <f t="shared" si="19"/>
        <v>0</v>
      </c>
      <c r="N136" s="231">
        <f t="shared" si="19"/>
        <v>0</v>
      </c>
      <c r="O136" s="231">
        <f t="shared" si="19"/>
        <v>0</v>
      </c>
      <c r="P136" s="231">
        <f t="shared" si="19"/>
        <v>496846.38</v>
      </c>
      <c r="Q136" s="231">
        <f t="shared" si="19"/>
        <v>496846.38</v>
      </c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68"/>
      <c r="BN136" s="68"/>
      <c r="BO136" s="68"/>
      <c r="BP136" s="68"/>
      <c r="BQ136" s="68"/>
      <c r="BR136" s="68"/>
      <c r="BS136" s="68"/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68"/>
      <c r="DI136" s="68"/>
      <c r="DJ136" s="68"/>
      <c r="DK136" s="68"/>
      <c r="DL136" s="68"/>
      <c r="DM136" s="68"/>
      <c r="DN136" s="68"/>
      <c r="DO136" s="68"/>
      <c r="DP136" s="68"/>
      <c r="DQ136" s="68"/>
      <c r="DR136" s="68"/>
      <c r="DS136" s="68"/>
      <c r="DT136" s="68"/>
      <c r="DU136" s="68"/>
      <c r="DV136" s="68"/>
      <c r="DW136" s="68"/>
      <c r="DX136" s="68"/>
      <c r="DY136" s="68"/>
      <c r="DZ136" s="68"/>
      <c r="EA136" s="68"/>
      <c r="EB136" s="68"/>
      <c r="EC136" s="68"/>
      <c r="ED136" s="68"/>
      <c r="EE136" s="68"/>
      <c r="EF136" s="68"/>
      <c r="EG136" s="68"/>
      <c r="EH136" s="68"/>
      <c r="EI136" s="68"/>
      <c r="EJ136" s="68"/>
      <c r="EK136" s="68"/>
      <c r="EL136" s="68"/>
      <c r="EM136" s="68"/>
      <c r="EN136" s="68"/>
      <c r="EO136" s="68"/>
      <c r="EP136" s="68"/>
    </row>
    <row r="137" spans="1:146" s="78" customFormat="1" ht="11.25">
      <c r="A137" s="87" t="str">
        <f t="shared" si="17"/>
        <v>MTEEE</v>
      </c>
      <c r="C137" s="146"/>
      <c r="D137" s="85"/>
      <c r="E137" s="231"/>
      <c r="F137" s="231"/>
      <c r="G137" s="231"/>
      <c r="H137" s="231"/>
      <c r="I137" s="231"/>
      <c r="J137" s="231"/>
      <c r="K137" s="231"/>
      <c r="L137" s="231"/>
      <c r="M137" s="231"/>
      <c r="N137" s="231"/>
      <c r="O137" s="231"/>
      <c r="P137" s="90"/>
      <c r="Q137" s="71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  <c r="AO137" s="68"/>
      <c r="AP137" s="68"/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68"/>
      <c r="BN137" s="68"/>
      <c r="BO137" s="68"/>
      <c r="BP137" s="68"/>
      <c r="BQ137" s="68"/>
      <c r="BR137" s="68"/>
      <c r="BS137" s="68"/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68"/>
      <c r="DI137" s="68"/>
      <c r="DJ137" s="68"/>
      <c r="DK137" s="68"/>
      <c r="DL137" s="68"/>
      <c r="DM137" s="68"/>
      <c r="DN137" s="68"/>
      <c r="DO137" s="68"/>
      <c r="DP137" s="68"/>
      <c r="DQ137" s="68"/>
      <c r="DR137" s="68"/>
      <c r="DS137" s="68"/>
      <c r="DT137" s="68"/>
      <c r="DU137" s="68"/>
      <c r="DV137" s="68"/>
      <c r="DW137" s="68"/>
      <c r="DX137" s="68"/>
      <c r="DY137" s="68"/>
      <c r="DZ137" s="68"/>
      <c r="EA137" s="68"/>
      <c r="EB137" s="68"/>
      <c r="EC137" s="68"/>
      <c r="ED137" s="68"/>
      <c r="EE137" s="68"/>
      <c r="EF137" s="68"/>
      <c r="EG137" s="68"/>
      <c r="EH137" s="68"/>
      <c r="EI137" s="68"/>
      <c r="EJ137" s="68"/>
      <c r="EK137" s="68"/>
      <c r="EL137" s="68"/>
      <c r="EM137" s="68"/>
      <c r="EN137" s="68"/>
      <c r="EO137" s="68"/>
      <c r="EP137" s="68"/>
    </row>
    <row r="138" spans="1:146" s="78" customFormat="1" ht="11.25">
      <c r="A138" s="87" t="str">
        <f t="shared" si="17"/>
        <v>MTEEEPRIMARY NCP</v>
      </c>
      <c r="B138" s="83">
        <v>6</v>
      </c>
      <c r="C138" s="87" t="s">
        <v>82</v>
      </c>
      <c r="D138" s="74" t="s">
        <v>5</v>
      </c>
      <c r="E138" s="124">
        <v>0</v>
      </c>
      <c r="F138" s="124">
        <v>0</v>
      </c>
      <c r="G138" s="124">
        <v>0</v>
      </c>
      <c r="H138" s="124">
        <v>0</v>
      </c>
      <c r="I138" s="124">
        <v>0</v>
      </c>
      <c r="J138" s="124">
        <v>0</v>
      </c>
      <c r="K138" s="124">
        <v>0</v>
      </c>
      <c r="L138" s="124">
        <v>0</v>
      </c>
      <c r="M138" s="124">
        <v>0</v>
      </c>
      <c r="N138" s="124">
        <v>0</v>
      </c>
      <c r="O138" s="124">
        <v>0</v>
      </c>
      <c r="P138" s="124">
        <f>5967.61-P140</f>
        <v>5785.0499999999993</v>
      </c>
      <c r="Q138" s="90">
        <f t="shared" ref="Q138:Q141" si="20">SUM(E138:P138)</f>
        <v>5785.0499999999993</v>
      </c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  <c r="AO138" s="68"/>
      <c r="AP138" s="68"/>
      <c r="AQ138" s="68"/>
      <c r="AR138" s="68"/>
      <c r="AS138" s="68"/>
      <c r="AT138" s="68"/>
      <c r="AU138" s="68"/>
      <c r="AV138" s="68"/>
      <c r="AW138" s="68"/>
      <c r="AX138" s="68"/>
      <c r="AY138" s="68"/>
      <c r="AZ138" s="68"/>
      <c r="BA138" s="68"/>
      <c r="BB138" s="68"/>
      <c r="BC138" s="68"/>
      <c r="BD138" s="68"/>
      <c r="BE138" s="68"/>
      <c r="BF138" s="68"/>
      <c r="BG138" s="68"/>
      <c r="BH138" s="68"/>
      <c r="BI138" s="68"/>
      <c r="BJ138" s="68"/>
      <c r="BK138" s="68"/>
      <c r="BL138" s="68"/>
      <c r="BM138" s="68"/>
      <c r="BN138" s="68"/>
      <c r="BO138" s="68"/>
      <c r="BP138" s="68"/>
      <c r="BQ138" s="68"/>
      <c r="BR138" s="68"/>
      <c r="BS138" s="68"/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68"/>
      <c r="DI138" s="68"/>
      <c r="DJ138" s="68"/>
      <c r="DK138" s="68"/>
      <c r="DL138" s="68"/>
      <c r="DM138" s="68"/>
      <c r="DN138" s="68"/>
      <c r="DO138" s="68"/>
      <c r="DP138" s="68"/>
      <c r="DQ138" s="68"/>
      <c r="DR138" s="68"/>
      <c r="DS138" s="68"/>
      <c r="DT138" s="68"/>
      <c r="DU138" s="68"/>
      <c r="DV138" s="68"/>
      <c r="DW138" s="68"/>
      <c r="DX138" s="68"/>
      <c r="DY138" s="68"/>
      <c r="DZ138" s="68"/>
      <c r="EA138" s="68"/>
      <c r="EB138" s="68"/>
      <c r="EC138" s="68"/>
      <c r="ED138" s="68"/>
      <c r="EE138" s="68"/>
      <c r="EF138" s="68"/>
      <c r="EG138" s="68"/>
      <c r="EH138" s="68"/>
      <c r="EI138" s="68"/>
      <c r="EJ138" s="68"/>
      <c r="EK138" s="68"/>
      <c r="EL138" s="68"/>
      <c r="EM138" s="68"/>
      <c r="EN138" s="68"/>
      <c r="EO138" s="68"/>
      <c r="EP138" s="68"/>
    </row>
    <row r="139" spans="1:146" s="78" customFormat="1" ht="11.25">
      <c r="A139" s="87" t="str">
        <f t="shared" si="17"/>
        <v>MTEEEPRIMARY 4CP</v>
      </c>
      <c r="B139" s="83">
        <v>7</v>
      </c>
      <c r="C139" s="87" t="s">
        <v>83</v>
      </c>
      <c r="D139" s="74" t="s">
        <v>5</v>
      </c>
      <c r="E139" s="124">
        <v>0</v>
      </c>
      <c r="F139" s="124">
        <v>0</v>
      </c>
      <c r="G139" s="124">
        <v>0</v>
      </c>
      <c r="H139" s="124">
        <v>0</v>
      </c>
      <c r="I139" s="124">
        <v>0</v>
      </c>
      <c r="J139" s="124">
        <v>0</v>
      </c>
      <c r="K139" s="124">
        <v>0</v>
      </c>
      <c r="L139" s="124">
        <v>0</v>
      </c>
      <c r="M139" s="124">
        <v>0</v>
      </c>
      <c r="N139" s="124">
        <v>0</v>
      </c>
      <c r="O139" s="124">
        <v>0</v>
      </c>
      <c r="P139" s="124">
        <f>90184.13-P141</f>
        <v>73420.28</v>
      </c>
      <c r="Q139" s="90">
        <f t="shared" si="20"/>
        <v>73420.28</v>
      </c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  <c r="AO139" s="68"/>
      <c r="AP139" s="68"/>
      <c r="AQ139" s="68"/>
      <c r="AR139" s="68"/>
      <c r="AS139" s="68"/>
      <c r="AT139" s="68"/>
      <c r="AU139" s="68"/>
      <c r="AV139" s="68"/>
      <c r="AW139" s="68"/>
      <c r="AX139" s="68"/>
      <c r="AY139" s="68"/>
      <c r="AZ139" s="68"/>
      <c r="BA139" s="68"/>
      <c r="BB139" s="68"/>
      <c r="BC139" s="68"/>
      <c r="BD139" s="68"/>
      <c r="BE139" s="68"/>
      <c r="BF139" s="68"/>
      <c r="BG139" s="68"/>
      <c r="BH139" s="68"/>
      <c r="BI139" s="68"/>
      <c r="BJ139" s="68"/>
      <c r="BK139" s="68"/>
      <c r="BL139" s="68"/>
      <c r="BM139" s="68"/>
      <c r="BN139" s="68"/>
      <c r="BO139" s="68"/>
      <c r="BP139" s="68"/>
      <c r="BQ139" s="68"/>
      <c r="BR139" s="68"/>
      <c r="BS139" s="68"/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68"/>
      <c r="DI139" s="68"/>
      <c r="DJ139" s="68"/>
      <c r="DK139" s="68"/>
      <c r="DL139" s="68"/>
      <c r="DM139" s="68"/>
      <c r="DN139" s="68"/>
      <c r="DO139" s="68"/>
      <c r="DP139" s="68"/>
      <c r="DQ139" s="68"/>
      <c r="DR139" s="68"/>
      <c r="DS139" s="68"/>
      <c r="DT139" s="68"/>
      <c r="DU139" s="68"/>
      <c r="DV139" s="68"/>
      <c r="DW139" s="68"/>
      <c r="DX139" s="68"/>
      <c r="DY139" s="68"/>
      <c r="DZ139" s="68"/>
      <c r="EA139" s="68"/>
      <c r="EB139" s="68"/>
      <c r="EC139" s="68"/>
      <c r="ED139" s="68"/>
      <c r="EE139" s="68"/>
      <c r="EF139" s="68"/>
      <c r="EG139" s="68"/>
      <c r="EH139" s="68"/>
      <c r="EI139" s="68"/>
      <c r="EJ139" s="68"/>
      <c r="EK139" s="68"/>
      <c r="EL139" s="68"/>
      <c r="EM139" s="68"/>
      <c r="EN139" s="68"/>
      <c r="EO139" s="68"/>
      <c r="EP139" s="68"/>
    </row>
    <row r="140" spans="1:146" s="78" customFormat="1" ht="11.25">
      <c r="A140" s="87" t="str">
        <f t="shared" si="17"/>
        <v>MTEEEPRIMARY SUB NCP</v>
      </c>
      <c r="B140" s="83">
        <v>8</v>
      </c>
      <c r="C140" s="87" t="s">
        <v>148</v>
      </c>
      <c r="D140" s="74" t="s">
        <v>5</v>
      </c>
      <c r="E140" s="124">
        <v>0</v>
      </c>
      <c r="F140" s="124">
        <v>0</v>
      </c>
      <c r="G140" s="124">
        <v>0</v>
      </c>
      <c r="H140" s="124">
        <v>0</v>
      </c>
      <c r="I140" s="124">
        <v>0</v>
      </c>
      <c r="J140" s="124">
        <v>0</v>
      </c>
      <c r="K140" s="124">
        <v>0</v>
      </c>
      <c r="L140" s="124">
        <v>0</v>
      </c>
      <c r="M140" s="124">
        <v>0</v>
      </c>
      <c r="N140" s="124">
        <v>0</v>
      </c>
      <c r="O140" s="124">
        <v>0</v>
      </c>
      <c r="P140" s="124">
        <f>+'[7]Rev Rider Data'!$JI$72</f>
        <v>182.56</v>
      </c>
      <c r="Q140" s="90">
        <f t="shared" si="20"/>
        <v>182.56</v>
      </c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  <c r="AO140" s="68"/>
      <c r="AP140" s="68"/>
      <c r="AQ140" s="68"/>
      <c r="AR140" s="68"/>
      <c r="AS140" s="68"/>
      <c r="AT140" s="68"/>
      <c r="AU140" s="68"/>
      <c r="AV140" s="68"/>
      <c r="AW140" s="68"/>
      <c r="AX140" s="68"/>
      <c r="AY140" s="68"/>
      <c r="AZ140" s="68"/>
      <c r="BA140" s="68"/>
      <c r="BB140" s="68"/>
      <c r="BC140" s="68"/>
      <c r="BD140" s="68"/>
      <c r="BE140" s="68"/>
      <c r="BF140" s="68"/>
      <c r="BG140" s="68"/>
      <c r="BH140" s="68"/>
      <c r="BI140" s="68"/>
      <c r="BJ140" s="68"/>
      <c r="BK140" s="68"/>
      <c r="BL140" s="68"/>
      <c r="BM140" s="68"/>
      <c r="BN140" s="68"/>
      <c r="BO140" s="68"/>
      <c r="BP140" s="68"/>
      <c r="BQ140" s="68"/>
      <c r="BR140" s="68"/>
      <c r="BS140" s="68"/>
      <c r="BT140" s="68"/>
      <c r="BU140" s="68"/>
      <c r="BV140" s="68"/>
      <c r="BW140" s="68"/>
      <c r="BX140" s="68"/>
      <c r="BY140" s="68"/>
      <c r="BZ140" s="68"/>
      <c r="CA140" s="68"/>
      <c r="CB140" s="68"/>
      <c r="CC140" s="68"/>
      <c r="CD140" s="68"/>
      <c r="CE140" s="68"/>
      <c r="CF140" s="68"/>
      <c r="CG140" s="68"/>
      <c r="CH140" s="68"/>
      <c r="CI140" s="68"/>
      <c r="CJ140" s="68"/>
      <c r="CK140" s="68"/>
      <c r="CL140" s="68"/>
      <c r="CM140" s="68"/>
      <c r="CN140" s="68"/>
      <c r="CO140" s="68"/>
      <c r="CP140" s="68"/>
      <c r="CQ140" s="68"/>
      <c r="CR140" s="68"/>
      <c r="CS140" s="68"/>
      <c r="CT140" s="68"/>
      <c r="CU140" s="68"/>
      <c r="CV140" s="68"/>
      <c r="CW140" s="68"/>
      <c r="CX140" s="68"/>
      <c r="CY140" s="68"/>
      <c r="CZ140" s="68"/>
      <c r="DA140" s="68"/>
      <c r="DB140" s="68"/>
      <c r="DC140" s="68"/>
      <c r="DD140" s="68"/>
      <c r="DE140" s="68"/>
      <c r="DF140" s="68"/>
      <c r="DG140" s="68"/>
      <c r="DH140" s="68"/>
      <c r="DI140" s="68"/>
      <c r="DJ140" s="68"/>
      <c r="DK140" s="68"/>
      <c r="DL140" s="68"/>
      <c r="DM140" s="68"/>
      <c r="DN140" s="68"/>
      <c r="DO140" s="68"/>
      <c r="DP140" s="68"/>
      <c r="DQ140" s="68"/>
      <c r="DR140" s="68"/>
      <c r="DS140" s="68"/>
      <c r="DT140" s="68"/>
      <c r="DU140" s="68"/>
      <c r="DV140" s="68"/>
      <c r="DW140" s="68"/>
      <c r="DX140" s="68"/>
      <c r="DY140" s="68"/>
      <c r="DZ140" s="68"/>
      <c r="EA140" s="68"/>
      <c r="EB140" s="68"/>
      <c r="EC140" s="68"/>
      <c r="ED140" s="68"/>
      <c r="EE140" s="68"/>
      <c r="EF140" s="68"/>
      <c r="EG140" s="68"/>
      <c r="EH140" s="68"/>
      <c r="EI140" s="68"/>
      <c r="EJ140" s="68"/>
      <c r="EK140" s="68"/>
      <c r="EL140" s="68"/>
      <c r="EM140" s="68"/>
      <c r="EN140" s="68"/>
      <c r="EO140" s="68"/>
      <c r="EP140" s="68"/>
    </row>
    <row r="141" spans="1:146" s="78" customFormat="1" ht="11.25">
      <c r="A141" s="87" t="str">
        <f t="shared" si="17"/>
        <v>MTEEEPRIMARY SUB 4CP</v>
      </c>
      <c r="B141" s="83">
        <v>9</v>
      </c>
      <c r="C141" s="87" t="s">
        <v>149</v>
      </c>
      <c r="D141" s="74" t="s">
        <v>5</v>
      </c>
      <c r="E141" s="124">
        <v>0</v>
      </c>
      <c r="F141" s="124">
        <v>0</v>
      </c>
      <c r="G141" s="124">
        <v>0</v>
      </c>
      <c r="H141" s="124">
        <v>0</v>
      </c>
      <c r="I141" s="124">
        <v>0</v>
      </c>
      <c r="J141" s="124">
        <v>0</v>
      </c>
      <c r="K141" s="124">
        <v>0</v>
      </c>
      <c r="L141" s="124">
        <v>0</v>
      </c>
      <c r="M141" s="124">
        <v>0</v>
      </c>
      <c r="N141" s="124">
        <v>0</v>
      </c>
      <c r="O141" s="124">
        <v>0</v>
      </c>
      <c r="P141" s="124">
        <f>+'[7]Rev Rider Data'!$JI$60+'[7]Rev Rider Data'!$JI$62</f>
        <v>16763.850000000006</v>
      </c>
      <c r="Q141" s="90">
        <f t="shared" si="20"/>
        <v>16763.850000000006</v>
      </c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  <c r="AV141" s="68"/>
      <c r="AW141" s="68"/>
      <c r="AX141" s="68"/>
      <c r="AY141" s="68"/>
      <c r="AZ141" s="68"/>
      <c r="BA141" s="68"/>
      <c r="BB141" s="68"/>
      <c r="BC141" s="68"/>
      <c r="BD141" s="68"/>
      <c r="BE141" s="68"/>
      <c r="BF141" s="68"/>
      <c r="BG141" s="68"/>
      <c r="BH141" s="68"/>
      <c r="BI141" s="68"/>
      <c r="BJ141" s="68"/>
      <c r="BK141" s="68"/>
      <c r="BL141" s="68"/>
      <c r="BM141" s="68"/>
      <c r="BN141" s="68"/>
      <c r="BO141" s="68"/>
      <c r="BP141" s="68"/>
      <c r="BQ141" s="68"/>
      <c r="BR141" s="68"/>
      <c r="BS141" s="68"/>
      <c r="BT141" s="68"/>
      <c r="BU141" s="68"/>
      <c r="BV141" s="68"/>
      <c r="BW141" s="68"/>
      <c r="BX141" s="68"/>
      <c r="BY141" s="68"/>
      <c r="BZ141" s="68"/>
      <c r="CA141" s="68"/>
      <c r="CB141" s="68"/>
      <c r="CC141" s="68"/>
      <c r="CD141" s="68"/>
      <c r="CE141" s="68"/>
      <c r="CF141" s="68"/>
      <c r="CG141" s="68"/>
      <c r="CH141" s="68"/>
      <c r="CI141" s="68"/>
      <c r="CJ141" s="68"/>
      <c r="CK141" s="68"/>
      <c r="CL141" s="68"/>
      <c r="CM141" s="68"/>
      <c r="CN141" s="68"/>
      <c r="CO141" s="68"/>
      <c r="CP141" s="68"/>
      <c r="CQ141" s="68"/>
      <c r="CR141" s="68"/>
      <c r="CS141" s="68"/>
      <c r="CT141" s="68"/>
      <c r="CU141" s="68"/>
      <c r="CV141" s="68"/>
      <c r="CW141" s="68"/>
      <c r="CX141" s="68"/>
      <c r="CY141" s="68"/>
      <c r="CZ141" s="68"/>
      <c r="DA141" s="68"/>
      <c r="DB141" s="68"/>
      <c r="DC141" s="68"/>
      <c r="DD141" s="68"/>
      <c r="DE141" s="68"/>
      <c r="DF141" s="68"/>
      <c r="DG141" s="68"/>
      <c r="DH141" s="68"/>
      <c r="DI141" s="68"/>
      <c r="DJ141" s="68"/>
      <c r="DK141" s="68"/>
      <c r="DL141" s="68"/>
      <c r="DM141" s="68"/>
      <c r="DN141" s="68"/>
      <c r="DO141" s="68"/>
      <c r="DP141" s="68"/>
      <c r="DQ141" s="68"/>
      <c r="DR141" s="68"/>
      <c r="DS141" s="68"/>
      <c r="DT141" s="68"/>
      <c r="DU141" s="68"/>
      <c r="DV141" s="68"/>
      <c r="DW141" s="68"/>
      <c r="DX141" s="68"/>
      <c r="DY141" s="68"/>
      <c r="DZ141" s="68"/>
      <c r="EA141" s="68"/>
      <c r="EB141" s="68"/>
      <c r="EC141" s="68"/>
      <c r="ED141" s="68"/>
      <c r="EE141" s="68"/>
      <c r="EF141" s="68"/>
      <c r="EG141" s="68"/>
      <c r="EH141" s="68"/>
      <c r="EI141" s="68"/>
      <c r="EJ141" s="68"/>
      <c r="EK141" s="68"/>
      <c r="EL141" s="68"/>
      <c r="EM141" s="68"/>
      <c r="EN141" s="68"/>
      <c r="EO141" s="68"/>
      <c r="EP141" s="68"/>
    </row>
    <row r="142" spans="1:146" s="78" customFormat="1" ht="11.25">
      <c r="A142" s="87" t="str">
        <f t="shared" si="17"/>
        <v>MTEEETOTAL PRIMARY</v>
      </c>
      <c r="B142" s="83">
        <v>10</v>
      </c>
      <c r="C142" s="78" t="s">
        <v>19</v>
      </c>
      <c r="D142" s="74"/>
      <c r="E142" s="233">
        <f>SUM(E138:E141)</f>
        <v>0</v>
      </c>
      <c r="F142" s="233">
        <f t="shared" ref="F142:Q142" si="21">SUM(F138:F141)</f>
        <v>0</v>
      </c>
      <c r="G142" s="233">
        <f t="shared" si="21"/>
        <v>0</v>
      </c>
      <c r="H142" s="233">
        <f t="shared" si="21"/>
        <v>0</v>
      </c>
      <c r="I142" s="233">
        <f t="shared" si="21"/>
        <v>0</v>
      </c>
      <c r="J142" s="233">
        <f t="shared" si="21"/>
        <v>0</v>
      </c>
      <c r="K142" s="233">
        <f t="shared" si="21"/>
        <v>0</v>
      </c>
      <c r="L142" s="233">
        <f t="shared" si="21"/>
        <v>0</v>
      </c>
      <c r="M142" s="233">
        <f t="shared" si="21"/>
        <v>0</v>
      </c>
      <c r="N142" s="233">
        <f t="shared" si="21"/>
        <v>0</v>
      </c>
      <c r="O142" s="233">
        <f t="shared" si="21"/>
        <v>0</v>
      </c>
      <c r="P142" s="233">
        <f t="shared" si="21"/>
        <v>96151.74</v>
      </c>
      <c r="Q142" s="233">
        <f t="shared" si="21"/>
        <v>96151.74</v>
      </c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  <c r="AO142" s="68"/>
      <c r="AP142" s="68"/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68"/>
      <c r="BM142" s="68"/>
      <c r="BN142" s="68"/>
      <c r="BO142" s="68"/>
      <c r="BP142" s="68"/>
      <c r="BQ142" s="68"/>
      <c r="BR142" s="68"/>
      <c r="BS142" s="68"/>
      <c r="BT142" s="68"/>
      <c r="BU142" s="68"/>
      <c r="BV142" s="68"/>
      <c r="BW142" s="68"/>
      <c r="BX142" s="68"/>
      <c r="BY142" s="68"/>
      <c r="BZ142" s="68"/>
      <c r="CA142" s="68"/>
      <c r="CB142" s="68"/>
      <c r="CC142" s="68"/>
      <c r="CD142" s="68"/>
      <c r="CE142" s="68"/>
      <c r="CF142" s="68"/>
      <c r="CG142" s="68"/>
      <c r="CH142" s="68"/>
      <c r="CI142" s="68"/>
      <c r="CJ142" s="68"/>
      <c r="CK142" s="68"/>
      <c r="CL142" s="68"/>
      <c r="CM142" s="68"/>
      <c r="CN142" s="68"/>
      <c r="CO142" s="68"/>
      <c r="CP142" s="68"/>
      <c r="CQ142" s="68"/>
      <c r="CR142" s="68"/>
      <c r="CS142" s="68"/>
      <c r="CT142" s="68"/>
      <c r="CU142" s="68"/>
      <c r="CV142" s="68"/>
      <c r="CW142" s="68"/>
      <c r="CX142" s="68"/>
      <c r="CY142" s="68"/>
      <c r="CZ142" s="68"/>
      <c r="DA142" s="68"/>
      <c r="DB142" s="68"/>
      <c r="DC142" s="68"/>
      <c r="DD142" s="68"/>
      <c r="DE142" s="68"/>
      <c r="DF142" s="68"/>
      <c r="DG142" s="68"/>
      <c r="DH142" s="68"/>
      <c r="DI142" s="68"/>
      <c r="DJ142" s="68"/>
      <c r="DK142" s="68"/>
      <c r="DL142" s="68"/>
      <c r="DM142" s="68"/>
      <c r="DN142" s="68"/>
      <c r="DO142" s="68"/>
      <c r="DP142" s="68"/>
      <c r="DQ142" s="68"/>
      <c r="DR142" s="68"/>
      <c r="DS142" s="68"/>
      <c r="DT142" s="68"/>
      <c r="DU142" s="68"/>
      <c r="DV142" s="68"/>
      <c r="DW142" s="68"/>
      <c r="DX142" s="68"/>
      <c r="DY142" s="68"/>
      <c r="DZ142" s="68"/>
      <c r="EA142" s="68"/>
      <c r="EB142" s="68"/>
      <c r="EC142" s="68"/>
      <c r="ED142" s="68"/>
      <c r="EE142" s="68"/>
      <c r="EF142" s="68"/>
      <c r="EG142" s="68"/>
      <c r="EH142" s="68"/>
      <c r="EI142" s="68"/>
      <c r="EJ142" s="68"/>
      <c r="EK142" s="68"/>
      <c r="EL142" s="68"/>
      <c r="EM142" s="68"/>
      <c r="EN142" s="68"/>
      <c r="EO142" s="68"/>
      <c r="EP142" s="68"/>
    </row>
    <row r="143" spans="1:146" s="78" customFormat="1" ht="11.25">
      <c r="A143" s="87" t="str">
        <f t="shared" si="17"/>
        <v>MTEEE</v>
      </c>
      <c r="B143" s="83"/>
      <c r="D143" s="74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3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  <c r="AO143" s="68"/>
      <c r="AP143" s="68"/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68"/>
      <c r="BM143" s="68"/>
      <c r="BN143" s="68"/>
      <c r="BO143" s="68"/>
      <c r="BP143" s="68"/>
      <c r="BQ143" s="68"/>
      <c r="BR143" s="68"/>
      <c r="BS143" s="68"/>
      <c r="BT143" s="68"/>
      <c r="BU143" s="68"/>
      <c r="BV143" s="68"/>
      <c r="BW143" s="68"/>
      <c r="BX143" s="68"/>
      <c r="BY143" s="68"/>
      <c r="BZ143" s="68"/>
      <c r="CA143" s="68"/>
      <c r="CB143" s="68"/>
      <c r="CC143" s="68"/>
      <c r="CD143" s="68"/>
      <c r="CE143" s="68"/>
      <c r="CF143" s="68"/>
      <c r="CG143" s="68"/>
      <c r="CH143" s="68"/>
      <c r="CI143" s="68"/>
      <c r="CJ143" s="68"/>
      <c r="CK143" s="68"/>
      <c r="CL143" s="68"/>
      <c r="CM143" s="68"/>
      <c r="CN143" s="68"/>
      <c r="CO143" s="68"/>
      <c r="CP143" s="68"/>
      <c r="CQ143" s="68"/>
      <c r="CR143" s="68"/>
      <c r="CS143" s="68"/>
      <c r="CT143" s="68"/>
      <c r="CU143" s="68"/>
      <c r="CV143" s="68"/>
      <c r="CW143" s="68"/>
      <c r="CX143" s="68"/>
      <c r="CY143" s="68"/>
      <c r="CZ143" s="68"/>
      <c r="DA143" s="68"/>
      <c r="DB143" s="68"/>
      <c r="DC143" s="68"/>
      <c r="DD143" s="68"/>
      <c r="DE143" s="68"/>
      <c r="DF143" s="68"/>
      <c r="DG143" s="68"/>
      <c r="DH143" s="68"/>
      <c r="DI143" s="68"/>
      <c r="DJ143" s="68"/>
      <c r="DK143" s="68"/>
      <c r="DL143" s="68"/>
      <c r="DM143" s="68"/>
      <c r="DN143" s="68"/>
      <c r="DO143" s="68"/>
      <c r="DP143" s="68"/>
      <c r="DQ143" s="68"/>
      <c r="DR143" s="68"/>
      <c r="DS143" s="68"/>
      <c r="DT143" s="68"/>
      <c r="DU143" s="68"/>
      <c r="DV143" s="68"/>
      <c r="DW143" s="68"/>
      <c r="DX143" s="68"/>
      <c r="DY143" s="68"/>
      <c r="DZ143" s="68"/>
      <c r="EA143" s="68"/>
      <c r="EB143" s="68"/>
      <c r="EC143" s="68"/>
      <c r="ED143" s="68"/>
      <c r="EE143" s="68"/>
      <c r="EF143" s="68"/>
      <c r="EG143" s="68"/>
      <c r="EH143" s="68"/>
      <c r="EI143" s="68"/>
      <c r="EJ143" s="68"/>
      <c r="EK143" s="68"/>
      <c r="EL143" s="68"/>
      <c r="EM143" s="68"/>
      <c r="EN143" s="68"/>
      <c r="EO143" s="68"/>
      <c r="EP143" s="68"/>
    </row>
    <row r="144" spans="1:146" s="78" customFormat="1" ht="11.25">
      <c r="A144" s="87" t="str">
        <f t="shared" si="17"/>
        <v xml:space="preserve">MTEEETRANSMISSION </v>
      </c>
      <c r="B144" s="83">
        <v>11</v>
      </c>
      <c r="C144" s="96" t="s">
        <v>86</v>
      </c>
      <c r="D144" s="74" t="s">
        <v>6</v>
      </c>
      <c r="E144" s="233">
        <v>0</v>
      </c>
      <c r="F144" s="233">
        <v>0</v>
      </c>
      <c r="G144" s="233">
        <v>0</v>
      </c>
      <c r="H144" s="233">
        <v>0</v>
      </c>
      <c r="I144" s="233">
        <v>0</v>
      </c>
      <c r="J144" s="233">
        <v>0</v>
      </c>
      <c r="K144" s="233">
        <v>0</v>
      </c>
      <c r="L144" s="233">
        <v>0</v>
      </c>
      <c r="M144" s="233">
        <v>0</v>
      </c>
      <c r="N144" s="233">
        <v>0</v>
      </c>
      <c r="O144" s="233">
        <v>0</v>
      </c>
      <c r="P144" s="233">
        <v>0</v>
      </c>
      <c r="Q144" s="233">
        <v>0</v>
      </c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  <c r="AO144" s="68"/>
      <c r="AP144" s="68"/>
      <c r="AQ144" s="68"/>
      <c r="AR144" s="68"/>
      <c r="AS144" s="68"/>
      <c r="AT144" s="68"/>
      <c r="AU144" s="68"/>
      <c r="AV144" s="68"/>
      <c r="AW144" s="68"/>
      <c r="AX144" s="68"/>
      <c r="AY144" s="68"/>
      <c r="AZ144" s="68"/>
      <c r="BA144" s="68"/>
      <c r="BB144" s="68"/>
      <c r="BC144" s="68"/>
      <c r="BD144" s="68"/>
      <c r="BE144" s="68"/>
      <c r="BF144" s="68"/>
      <c r="BG144" s="68"/>
      <c r="BH144" s="68"/>
      <c r="BI144" s="68"/>
      <c r="BJ144" s="68"/>
      <c r="BK144" s="68"/>
      <c r="BL144" s="68"/>
      <c r="BM144" s="68"/>
      <c r="BN144" s="68"/>
      <c r="BO144" s="68"/>
      <c r="BP144" s="68"/>
      <c r="BQ144" s="68"/>
      <c r="BR144" s="68"/>
      <c r="BS144" s="68"/>
      <c r="BT144" s="68"/>
      <c r="BU144" s="68"/>
      <c r="BV144" s="68"/>
      <c r="BW144" s="68"/>
      <c r="BX144" s="68"/>
      <c r="BY144" s="68"/>
      <c r="BZ144" s="68"/>
      <c r="CA144" s="68"/>
      <c r="CB144" s="68"/>
      <c r="CC144" s="68"/>
      <c r="CD144" s="68"/>
      <c r="CE144" s="68"/>
      <c r="CF144" s="68"/>
      <c r="CG144" s="68"/>
      <c r="CH144" s="68"/>
      <c r="CI144" s="68"/>
      <c r="CJ144" s="68"/>
      <c r="CK144" s="68"/>
      <c r="CL144" s="68"/>
      <c r="CM144" s="68"/>
      <c r="CN144" s="68"/>
      <c r="CO144" s="68"/>
      <c r="CP144" s="68"/>
      <c r="CQ144" s="68"/>
      <c r="CR144" s="68"/>
      <c r="CS144" s="68"/>
      <c r="CT144" s="68"/>
      <c r="CU144" s="68"/>
      <c r="CV144" s="68"/>
      <c r="CW144" s="68"/>
      <c r="CX144" s="68"/>
      <c r="CY144" s="68"/>
      <c r="CZ144" s="68"/>
      <c r="DA144" s="68"/>
      <c r="DB144" s="68"/>
      <c r="DC144" s="68"/>
      <c r="DD144" s="68"/>
      <c r="DE144" s="68"/>
      <c r="DF144" s="68"/>
      <c r="DG144" s="68"/>
      <c r="DH144" s="68"/>
      <c r="DI144" s="68"/>
      <c r="DJ144" s="68"/>
      <c r="DK144" s="68"/>
      <c r="DL144" s="68"/>
      <c r="DM144" s="68"/>
      <c r="DN144" s="68"/>
      <c r="DO144" s="68"/>
      <c r="DP144" s="68"/>
      <c r="DQ144" s="68"/>
      <c r="DR144" s="68"/>
      <c r="DS144" s="68"/>
      <c r="DT144" s="68"/>
      <c r="DU144" s="68"/>
      <c r="DV144" s="68"/>
      <c r="DW144" s="68"/>
      <c r="DX144" s="68"/>
      <c r="DY144" s="68"/>
      <c r="DZ144" s="68"/>
      <c r="EA144" s="68"/>
      <c r="EB144" s="68"/>
      <c r="EC144" s="68"/>
      <c r="ED144" s="68"/>
      <c r="EE144" s="68"/>
      <c r="EF144" s="68"/>
      <c r="EG144" s="68"/>
      <c r="EH144" s="68"/>
      <c r="EI144" s="68"/>
      <c r="EJ144" s="68"/>
      <c r="EK144" s="68"/>
      <c r="EL144" s="68"/>
      <c r="EM144" s="68"/>
      <c r="EN144" s="68"/>
      <c r="EO144" s="68"/>
      <c r="EP144" s="68"/>
    </row>
    <row r="145" spans="1:146" s="78" customFormat="1" ht="11.25">
      <c r="A145" s="87" t="str">
        <f t="shared" si="17"/>
        <v>MTEEE</v>
      </c>
      <c r="D145" s="85"/>
      <c r="E145" s="231"/>
      <c r="F145" s="231"/>
      <c r="G145" s="231"/>
      <c r="H145" s="231"/>
      <c r="I145" s="231"/>
      <c r="J145" s="231"/>
      <c r="K145" s="231"/>
      <c r="L145" s="231"/>
      <c r="M145" s="231"/>
      <c r="N145" s="231"/>
      <c r="O145" s="231"/>
      <c r="P145" s="231"/>
      <c r="Q145" s="71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  <c r="AO145" s="68"/>
      <c r="AP145" s="68"/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68"/>
      <c r="BN145" s="68"/>
      <c r="BO145" s="68"/>
      <c r="BP145" s="68"/>
      <c r="BQ145" s="68"/>
      <c r="BR145" s="68"/>
      <c r="BS145" s="68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68"/>
      <c r="DI145" s="68"/>
      <c r="DJ145" s="68"/>
      <c r="DK145" s="68"/>
      <c r="DL145" s="68"/>
      <c r="DM145" s="68"/>
      <c r="DN145" s="68"/>
      <c r="DO145" s="68"/>
      <c r="DP145" s="68"/>
      <c r="DQ145" s="68"/>
      <c r="DR145" s="68"/>
      <c r="DS145" s="68"/>
      <c r="DT145" s="68"/>
      <c r="DU145" s="68"/>
      <c r="DV145" s="68"/>
      <c r="DW145" s="68"/>
      <c r="DX145" s="68"/>
      <c r="DY145" s="68"/>
      <c r="DZ145" s="68"/>
      <c r="EA145" s="68"/>
      <c r="EB145" s="68"/>
      <c r="EC145" s="68"/>
      <c r="ED145" s="68"/>
      <c r="EE145" s="68"/>
      <c r="EF145" s="68"/>
      <c r="EG145" s="68"/>
      <c r="EH145" s="68"/>
      <c r="EI145" s="68"/>
      <c r="EJ145" s="68"/>
      <c r="EK145" s="68"/>
      <c r="EL145" s="68"/>
      <c r="EM145" s="68"/>
      <c r="EN145" s="68"/>
      <c r="EO145" s="68"/>
      <c r="EP145" s="68"/>
    </row>
    <row r="146" spans="1:146" s="78" customFormat="1" ht="11.25">
      <c r="A146" s="87" t="str">
        <f t="shared" si="17"/>
        <v>MTEEELIGHTING</v>
      </c>
      <c r="B146" s="83">
        <v>12</v>
      </c>
      <c r="C146" s="68" t="s">
        <v>21</v>
      </c>
      <c r="D146" s="74" t="s">
        <v>4</v>
      </c>
      <c r="E146" s="90">
        <v>0</v>
      </c>
      <c r="F146" s="90">
        <v>0</v>
      </c>
      <c r="G146" s="90">
        <v>0</v>
      </c>
      <c r="H146" s="90">
        <v>0</v>
      </c>
      <c r="I146" s="90">
        <v>0</v>
      </c>
      <c r="J146" s="90">
        <v>0</v>
      </c>
      <c r="K146" s="90">
        <v>0</v>
      </c>
      <c r="L146" s="90">
        <v>0</v>
      </c>
      <c r="M146" s="90">
        <v>0</v>
      </c>
      <c r="N146" s="90">
        <v>0</v>
      </c>
      <c r="O146" s="90">
        <v>0</v>
      </c>
      <c r="P146" s="90">
        <v>27853.230000000003</v>
      </c>
      <c r="Q146" s="90">
        <f>SUM(E146:P146)</f>
        <v>27853.230000000003</v>
      </c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  <c r="AO146" s="68"/>
      <c r="AP146" s="68"/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68"/>
      <c r="BN146" s="68"/>
      <c r="BO146" s="68"/>
      <c r="BP146" s="68"/>
      <c r="BQ146" s="68"/>
      <c r="BR146" s="68"/>
      <c r="BS146" s="68"/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68"/>
      <c r="DI146" s="68"/>
      <c r="DJ146" s="68"/>
      <c r="DK146" s="68"/>
      <c r="DL146" s="68"/>
      <c r="DM146" s="68"/>
      <c r="DN146" s="68"/>
      <c r="DO146" s="68"/>
      <c r="DP146" s="68"/>
      <c r="DQ146" s="68"/>
      <c r="DR146" s="68"/>
      <c r="DS146" s="68"/>
      <c r="DT146" s="68"/>
      <c r="DU146" s="68"/>
      <c r="DV146" s="68"/>
      <c r="DW146" s="68"/>
      <c r="DX146" s="68"/>
      <c r="DY146" s="68"/>
      <c r="DZ146" s="68"/>
      <c r="EA146" s="68"/>
      <c r="EB146" s="68"/>
      <c r="EC146" s="68"/>
      <c r="ED146" s="68"/>
      <c r="EE146" s="68"/>
      <c r="EF146" s="68"/>
      <c r="EG146" s="68"/>
      <c r="EH146" s="68"/>
      <c r="EI146" s="68"/>
      <c r="EJ146" s="68"/>
      <c r="EK146" s="68"/>
      <c r="EL146" s="68"/>
      <c r="EM146" s="68"/>
      <c r="EN146" s="68"/>
      <c r="EO146" s="68"/>
      <c r="EP146" s="68"/>
    </row>
    <row r="147" spans="1:146" s="78" customFormat="1" ht="11.25">
      <c r="A147" s="87" t="str">
        <f t="shared" si="17"/>
        <v>MTEEE</v>
      </c>
      <c r="B147" s="83"/>
      <c r="D147" s="85"/>
      <c r="E147" s="231"/>
      <c r="F147" s="231"/>
      <c r="G147" s="231"/>
      <c r="H147" s="231"/>
      <c r="I147" s="231"/>
      <c r="J147" s="231"/>
      <c r="K147" s="231"/>
      <c r="L147" s="231"/>
      <c r="M147" s="231"/>
      <c r="N147" s="231"/>
      <c r="O147" s="231"/>
      <c r="P147" s="90"/>
      <c r="Q147" s="71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  <c r="AO147" s="68"/>
      <c r="AP147" s="68"/>
      <c r="AQ147" s="68"/>
      <c r="AR147" s="68"/>
      <c r="AS147" s="68"/>
      <c r="AT147" s="68"/>
      <c r="AU147" s="68"/>
      <c r="AV147" s="68"/>
      <c r="AW147" s="68"/>
      <c r="AX147" s="68"/>
      <c r="AY147" s="68"/>
      <c r="AZ147" s="68"/>
      <c r="BA147" s="68"/>
      <c r="BB147" s="68"/>
      <c r="BC147" s="68"/>
      <c r="BD147" s="68"/>
      <c r="BE147" s="68"/>
      <c r="BF147" s="68"/>
      <c r="BG147" s="68"/>
      <c r="BH147" s="68"/>
      <c r="BI147" s="68"/>
      <c r="BJ147" s="68"/>
      <c r="BK147" s="68"/>
      <c r="BL147" s="68"/>
      <c r="BM147" s="68"/>
      <c r="BN147" s="68"/>
      <c r="BO147" s="68"/>
      <c r="BP147" s="68"/>
      <c r="BQ147" s="68"/>
      <c r="BR147" s="68"/>
      <c r="BS147" s="68"/>
      <c r="BT147" s="68"/>
      <c r="BU147" s="68"/>
      <c r="BV147" s="68"/>
      <c r="BW147" s="68"/>
      <c r="BX147" s="68"/>
      <c r="BY147" s="68"/>
      <c r="BZ147" s="68"/>
      <c r="CA147" s="68"/>
      <c r="CB147" s="68"/>
      <c r="CC147" s="68"/>
      <c r="CD147" s="68"/>
      <c r="CE147" s="68"/>
      <c r="CF147" s="68"/>
      <c r="CG147" s="68"/>
      <c r="CH147" s="68"/>
      <c r="CI147" s="68"/>
      <c r="CJ147" s="68"/>
      <c r="CK147" s="68"/>
      <c r="CL147" s="68"/>
      <c r="CM147" s="68"/>
      <c r="CN147" s="68"/>
      <c r="CO147" s="68"/>
      <c r="CP147" s="68"/>
      <c r="CQ147" s="68"/>
      <c r="CR147" s="68"/>
      <c r="CS147" s="68"/>
      <c r="CT147" s="68"/>
      <c r="CU147" s="68"/>
      <c r="CV147" s="68"/>
      <c r="CW147" s="68"/>
      <c r="CX147" s="68"/>
      <c r="CY147" s="68"/>
      <c r="CZ147" s="68"/>
      <c r="DA147" s="68"/>
      <c r="DB147" s="68"/>
      <c r="DC147" s="68"/>
      <c r="DD147" s="68"/>
      <c r="DE147" s="68"/>
      <c r="DF147" s="68"/>
      <c r="DG147" s="68"/>
      <c r="DH147" s="68"/>
      <c r="DI147" s="68"/>
      <c r="DJ147" s="68"/>
      <c r="DK147" s="68"/>
      <c r="DL147" s="68"/>
      <c r="DM147" s="68"/>
      <c r="DN147" s="68"/>
      <c r="DO147" s="68"/>
      <c r="DP147" s="68"/>
      <c r="DQ147" s="68"/>
      <c r="DR147" s="68"/>
      <c r="DS147" s="68"/>
      <c r="DT147" s="68"/>
      <c r="DU147" s="68"/>
      <c r="DV147" s="68"/>
      <c r="DW147" s="68"/>
      <c r="DX147" s="68"/>
      <c r="DY147" s="68"/>
      <c r="DZ147" s="68"/>
      <c r="EA147" s="68"/>
      <c r="EB147" s="68"/>
      <c r="EC147" s="68"/>
      <c r="ED147" s="68"/>
      <c r="EE147" s="68"/>
      <c r="EF147" s="68"/>
      <c r="EG147" s="68"/>
      <c r="EH147" s="68"/>
      <c r="EI147" s="68"/>
      <c r="EJ147" s="68"/>
      <c r="EK147" s="68"/>
      <c r="EL147" s="68"/>
      <c r="EM147" s="68"/>
      <c r="EN147" s="68"/>
      <c r="EO147" s="68"/>
      <c r="EP147" s="68"/>
    </row>
    <row r="148" spans="1:146" s="78" customFormat="1" ht="11.25">
      <c r="A148" s="87" t="str">
        <f t="shared" si="17"/>
        <v>MTEEETOTAL RETAIL</v>
      </c>
      <c r="B148" s="83">
        <v>13</v>
      </c>
      <c r="C148" s="114" t="s">
        <v>22</v>
      </c>
      <c r="D148" s="212"/>
      <c r="E148" s="234">
        <f>+E130+E132+E136+E142+E144+E146</f>
        <v>0</v>
      </c>
      <c r="F148" s="234">
        <f t="shared" ref="F148:Q148" si="22">+F130+F132+F136+F142+F144+F146</f>
        <v>0</v>
      </c>
      <c r="G148" s="234">
        <f t="shared" si="22"/>
        <v>0</v>
      </c>
      <c r="H148" s="234">
        <f t="shared" si="22"/>
        <v>0</v>
      </c>
      <c r="I148" s="234">
        <f t="shared" si="22"/>
        <v>0</v>
      </c>
      <c r="J148" s="234">
        <f t="shared" si="22"/>
        <v>0</v>
      </c>
      <c r="K148" s="234">
        <f t="shared" si="22"/>
        <v>0</v>
      </c>
      <c r="L148" s="234">
        <f t="shared" si="22"/>
        <v>0</v>
      </c>
      <c r="M148" s="234">
        <f t="shared" si="22"/>
        <v>0</v>
      </c>
      <c r="N148" s="234">
        <f t="shared" si="22"/>
        <v>0</v>
      </c>
      <c r="O148" s="234">
        <f t="shared" si="22"/>
        <v>0</v>
      </c>
      <c r="P148" s="234">
        <f t="shared" si="22"/>
        <v>1960407.78</v>
      </c>
      <c r="Q148" s="234">
        <f t="shared" si="22"/>
        <v>1960407.78</v>
      </c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  <c r="AO148" s="68"/>
      <c r="AP148" s="68"/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68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68"/>
      <c r="CY148" s="68"/>
      <c r="CZ148" s="68"/>
      <c r="DA148" s="68"/>
      <c r="DB148" s="68"/>
      <c r="DC148" s="68"/>
      <c r="DD148" s="68"/>
      <c r="DE148" s="68"/>
      <c r="DF148" s="68"/>
      <c r="DG148" s="68"/>
      <c r="DH148" s="68"/>
      <c r="DI148" s="68"/>
      <c r="DJ148" s="68"/>
      <c r="DK148" s="68"/>
      <c r="DL148" s="68"/>
      <c r="DM148" s="68"/>
      <c r="DN148" s="68"/>
      <c r="DO148" s="68"/>
      <c r="DP148" s="68"/>
      <c r="DQ148" s="68"/>
      <c r="DR148" s="68"/>
      <c r="DS148" s="68"/>
      <c r="DT148" s="68"/>
      <c r="DU148" s="68"/>
      <c r="DV148" s="68"/>
      <c r="DW148" s="68"/>
      <c r="DX148" s="68"/>
      <c r="DY148" s="68"/>
      <c r="DZ148" s="68"/>
      <c r="EA148" s="68"/>
      <c r="EB148" s="68"/>
      <c r="EC148" s="68"/>
      <c r="ED148" s="68"/>
      <c r="EE148" s="68"/>
      <c r="EF148" s="68"/>
      <c r="EG148" s="68"/>
      <c r="EH148" s="68"/>
      <c r="EI148" s="68"/>
      <c r="EJ148" s="68"/>
      <c r="EK148" s="68"/>
      <c r="EL148" s="68"/>
      <c r="EM148" s="68"/>
      <c r="EN148" s="68"/>
      <c r="EO148" s="68"/>
      <c r="EP148" s="68"/>
    </row>
    <row r="149" spans="1:146" s="78" customFormat="1" ht="11.25">
      <c r="A149" s="87" t="str">
        <f t="shared" si="17"/>
        <v>MTEEE</v>
      </c>
      <c r="C149" s="212"/>
      <c r="D149" s="212"/>
      <c r="E149" s="231"/>
      <c r="F149" s="231"/>
      <c r="G149" s="231"/>
      <c r="H149" s="231"/>
      <c r="I149" s="231"/>
      <c r="J149" s="231"/>
      <c r="K149" s="231"/>
      <c r="L149" s="231"/>
      <c r="M149" s="231"/>
      <c r="N149" s="231"/>
      <c r="O149" s="231"/>
      <c r="P149" s="90"/>
      <c r="Q149" s="93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  <c r="AO149" s="68"/>
      <c r="AP149" s="68"/>
      <c r="AQ149" s="68"/>
      <c r="AR149" s="68"/>
      <c r="AS149" s="68"/>
      <c r="AT149" s="68"/>
      <c r="AU149" s="68"/>
      <c r="AV149" s="68"/>
      <c r="AW149" s="68"/>
      <c r="AX149" s="68"/>
      <c r="AY149" s="68"/>
      <c r="AZ149" s="68"/>
      <c r="BA149" s="68"/>
      <c r="BB149" s="68"/>
      <c r="BC149" s="68"/>
      <c r="BD149" s="68"/>
      <c r="BE149" s="68"/>
      <c r="BF149" s="68"/>
      <c r="BG149" s="68"/>
      <c r="BH149" s="68"/>
      <c r="BI149" s="68"/>
      <c r="BJ149" s="68"/>
      <c r="BK149" s="68"/>
      <c r="BL149" s="68"/>
      <c r="BM149" s="68"/>
      <c r="BN149" s="68"/>
      <c r="BO149" s="68"/>
      <c r="BP149" s="68"/>
      <c r="BQ149" s="68"/>
      <c r="BR149" s="68"/>
      <c r="BS149" s="68"/>
      <c r="BT149" s="68"/>
      <c r="BU149" s="68"/>
      <c r="BV149" s="68"/>
      <c r="BW149" s="68"/>
      <c r="BX149" s="68"/>
      <c r="BY149" s="68"/>
      <c r="BZ149" s="68"/>
      <c r="CA149" s="68"/>
      <c r="CB149" s="68"/>
      <c r="CC149" s="68"/>
      <c r="CD149" s="68"/>
      <c r="CE149" s="68"/>
      <c r="CF149" s="68"/>
      <c r="CG149" s="68"/>
      <c r="CH149" s="68"/>
      <c r="CI149" s="68"/>
      <c r="CJ149" s="68"/>
      <c r="CK149" s="68"/>
      <c r="CL149" s="68"/>
      <c r="CM149" s="68"/>
      <c r="CN149" s="68"/>
      <c r="CO149" s="68"/>
      <c r="CP149" s="68"/>
      <c r="CQ149" s="68"/>
      <c r="CR149" s="68"/>
      <c r="CS149" s="68"/>
      <c r="CT149" s="68"/>
      <c r="CU149" s="68"/>
      <c r="CV149" s="68"/>
      <c r="CW149" s="68"/>
      <c r="CX149" s="68"/>
      <c r="CY149" s="68"/>
      <c r="CZ149" s="68"/>
      <c r="DA149" s="68"/>
      <c r="DB149" s="68"/>
      <c r="DC149" s="68"/>
      <c r="DD149" s="68"/>
      <c r="DE149" s="68"/>
      <c r="DF149" s="68"/>
      <c r="DG149" s="68"/>
      <c r="DH149" s="68"/>
      <c r="DI149" s="68"/>
      <c r="DJ149" s="68"/>
      <c r="DK149" s="68"/>
      <c r="DL149" s="68"/>
      <c r="DM149" s="68"/>
      <c r="DN149" s="68"/>
      <c r="DO149" s="68"/>
      <c r="DP149" s="68"/>
      <c r="DQ149" s="68"/>
      <c r="DR149" s="68"/>
      <c r="DS149" s="68"/>
      <c r="DT149" s="68"/>
      <c r="DU149" s="68"/>
      <c r="DV149" s="68"/>
      <c r="DW149" s="68"/>
      <c r="DX149" s="68"/>
      <c r="DY149" s="68"/>
      <c r="DZ149" s="68"/>
      <c r="EA149" s="68"/>
      <c r="EB149" s="68"/>
      <c r="EC149" s="68"/>
      <c r="ED149" s="68"/>
      <c r="EE149" s="68"/>
      <c r="EF149" s="68"/>
      <c r="EG149" s="68"/>
      <c r="EH149" s="68"/>
      <c r="EI149" s="68"/>
      <c r="EJ149" s="68"/>
      <c r="EK149" s="68"/>
      <c r="EL149" s="68"/>
      <c r="EM149" s="68"/>
      <c r="EN149" s="68"/>
      <c r="EO149" s="68"/>
      <c r="EP149" s="68"/>
    </row>
    <row r="150" spans="1:146" s="78" customFormat="1" ht="11.25">
      <c r="A150" s="87" t="str">
        <f t="shared" si="17"/>
        <v>MTEEE</v>
      </c>
      <c r="B150" s="83">
        <v>12</v>
      </c>
      <c r="C150" s="89"/>
      <c r="D150" s="7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03"/>
      <c r="R150" s="89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68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68"/>
      <c r="CY150" s="68"/>
      <c r="CZ150" s="68"/>
      <c r="DA150" s="68"/>
      <c r="DB150" s="68"/>
      <c r="DC150" s="68"/>
      <c r="DD150" s="68"/>
      <c r="DE150" s="68"/>
      <c r="DF150" s="68"/>
      <c r="DG150" s="68"/>
      <c r="DH150" s="68"/>
      <c r="DI150" s="68"/>
      <c r="DJ150" s="68"/>
      <c r="DK150" s="68"/>
      <c r="DL150" s="68"/>
      <c r="DM150" s="68"/>
      <c r="DN150" s="68"/>
      <c r="DO150" s="68"/>
      <c r="DP150" s="68"/>
      <c r="DQ150" s="68"/>
      <c r="DR150" s="68"/>
      <c r="DS150" s="68"/>
      <c r="DT150" s="68"/>
      <c r="DU150" s="68"/>
      <c r="DV150" s="68"/>
      <c r="DW150" s="68"/>
      <c r="DX150" s="68"/>
      <c r="DY150" s="68"/>
      <c r="DZ150" s="68"/>
      <c r="EA150" s="68"/>
      <c r="EB150" s="68"/>
      <c r="EC150" s="68"/>
      <c r="ED150" s="68"/>
      <c r="EE150" s="68"/>
      <c r="EF150" s="68"/>
      <c r="EG150" s="68"/>
      <c r="EH150" s="68"/>
      <c r="EI150" s="68"/>
      <c r="EJ150" s="68"/>
      <c r="EK150" s="68"/>
      <c r="EL150" s="68"/>
      <c r="EM150" s="68"/>
      <c r="EN150" s="68"/>
      <c r="EO150" s="68"/>
      <c r="EP150" s="68"/>
    </row>
    <row r="151" spans="1:146" s="78" customFormat="1" ht="11.25">
      <c r="A151" s="87" t="str">
        <f t="shared" si="17"/>
        <v>MTEEE</v>
      </c>
      <c r="B151" s="83">
        <v>13</v>
      </c>
      <c r="C151" s="89"/>
      <c r="D151" s="7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03"/>
      <c r="R151" s="133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  <c r="AV151" s="68"/>
      <c r="AW151" s="68"/>
      <c r="AX151" s="68"/>
      <c r="AY151" s="68"/>
      <c r="AZ151" s="68"/>
      <c r="BA151" s="68"/>
      <c r="BB151" s="68"/>
      <c r="BC151" s="68"/>
      <c r="BD151" s="68"/>
      <c r="BE151" s="68"/>
      <c r="BF151" s="68"/>
      <c r="BG151" s="68"/>
      <c r="BH151" s="68"/>
      <c r="BI151" s="68"/>
      <c r="BJ151" s="68"/>
      <c r="BK151" s="68"/>
      <c r="BL151" s="68"/>
      <c r="BM151" s="68"/>
      <c r="BN151" s="68"/>
      <c r="BO151" s="68"/>
      <c r="BP151" s="68"/>
      <c r="BQ151" s="68"/>
      <c r="BR151" s="68"/>
      <c r="BS151" s="68"/>
      <c r="BT151" s="68"/>
      <c r="BU151" s="68"/>
      <c r="BV151" s="68"/>
      <c r="BW151" s="68"/>
      <c r="BX151" s="68"/>
      <c r="BY151" s="68"/>
      <c r="BZ151" s="68"/>
      <c r="CA151" s="68"/>
      <c r="CB151" s="68"/>
      <c r="CC151" s="68"/>
      <c r="CD151" s="68"/>
      <c r="CE151" s="68"/>
      <c r="CF151" s="68"/>
      <c r="CG151" s="68"/>
      <c r="CH151" s="68"/>
      <c r="CI151" s="68"/>
      <c r="CJ151" s="68"/>
      <c r="CK151" s="68"/>
      <c r="CL151" s="68"/>
      <c r="CM151" s="68"/>
      <c r="CN151" s="68"/>
      <c r="CO151" s="68"/>
      <c r="CP151" s="68"/>
      <c r="CQ151" s="68"/>
      <c r="CR151" s="68"/>
      <c r="CS151" s="68"/>
      <c r="CT151" s="68"/>
      <c r="CU151" s="68"/>
      <c r="CV151" s="68"/>
      <c r="CW151" s="68"/>
      <c r="CX151" s="68"/>
      <c r="CY151" s="68"/>
      <c r="CZ151" s="68"/>
      <c r="DA151" s="68"/>
      <c r="DB151" s="68"/>
      <c r="DC151" s="68"/>
      <c r="DD151" s="68"/>
      <c r="DE151" s="68"/>
      <c r="DF151" s="68"/>
      <c r="DG151" s="68"/>
      <c r="DH151" s="68"/>
      <c r="DI151" s="68"/>
      <c r="DJ151" s="68"/>
      <c r="DK151" s="68"/>
      <c r="DL151" s="68"/>
      <c r="DM151" s="68"/>
      <c r="DN151" s="68"/>
      <c r="DO151" s="68"/>
      <c r="DP151" s="68"/>
      <c r="DQ151" s="68"/>
      <c r="DR151" s="68"/>
      <c r="DS151" s="68"/>
      <c r="DT151" s="68"/>
      <c r="DU151" s="68"/>
      <c r="DV151" s="68"/>
      <c r="DW151" s="68"/>
      <c r="DX151" s="68"/>
      <c r="DY151" s="68"/>
      <c r="DZ151" s="68"/>
      <c r="EA151" s="68"/>
      <c r="EB151" s="68"/>
      <c r="EC151" s="68"/>
      <c r="ED151" s="68"/>
      <c r="EE151" s="68"/>
      <c r="EF151" s="68"/>
      <c r="EG151" s="68"/>
      <c r="EH151" s="68"/>
      <c r="EI151" s="68"/>
      <c r="EJ151" s="68"/>
      <c r="EK151" s="68"/>
      <c r="EL151" s="68"/>
      <c r="EM151" s="68"/>
      <c r="EN151" s="68"/>
      <c r="EO151" s="68"/>
      <c r="EP151" s="68"/>
    </row>
    <row r="152" spans="1:146" s="78" customFormat="1" ht="11.25">
      <c r="A152" s="87" t="str">
        <f t="shared" si="17"/>
        <v>MTEEE</v>
      </c>
      <c r="B152" s="83">
        <v>14</v>
      </c>
      <c r="C152" s="114"/>
      <c r="D152" s="212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24"/>
      <c r="Q152" s="103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  <c r="AO152" s="68"/>
      <c r="AP152" s="68"/>
      <c r="AQ152" s="68"/>
      <c r="AR152" s="68"/>
      <c r="AS152" s="68"/>
      <c r="AT152" s="68"/>
      <c r="AU152" s="68"/>
      <c r="AV152" s="68"/>
      <c r="AW152" s="68"/>
      <c r="AX152" s="68"/>
      <c r="AY152" s="68"/>
      <c r="AZ152" s="68"/>
      <c r="BA152" s="68"/>
      <c r="BB152" s="68"/>
      <c r="BC152" s="68"/>
      <c r="BD152" s="68"/>
      <c r="BE152" s="68"/>
      <c r="BF152" s="68"/>
      <c r="BG152" s="68"/>
      <c r="BH152" s="68"/>
      <c r="BI152" s="68"/>
      <c r="BJ152" s="68"/>
      <c r="BK152" s="68"/>
      <c r="BL152" s="68"/>
      <c r="BM152" s="68"/>
      <c r="BN152" s="68"/>
      <c r="BO152" s="68"/>
      <c r="BP152" s="68"/>
      <c r="BQ152" s="68"/>
      <c r="BR152" s="68"/>
      <c r="BS152" s="68"/>
      <c r="BT152" s="68"/>
      <c r="BU152" s="68"/>
      <c r="BV152" s="68"/>
      <c r="BW152" s="68"/>
      <c r="BX152" s="68"/>
      <c r="BY152" s="68"/>
      <c r="BZ152" s="68"/>
      <c r="CA152" s="68"/>
      <c r="CB152" s="68"/>
      <c r="CC152" s="68"/>
      <c r="CD152" s="68"/>
      <c r="CE152" s="68"/>
      <c r="CF152" s="68"/>
      <c r="CG152" s="68"/>
      <c r="CH152" s="68"/>
      <c r="CI152" s="68"/>
      <c r="CJ152" s="68"/>
      <c r="CK152" s="68"/>
      <c r="CL152" s="68"/>
      <c r="CM152" s="68"/>
      <c r="CN152" s="68"/>
      <c r="CO152" s="68"/>
      <c r="CP152" s="68"/>
      <c r="CQ152" s="68"/>
      <c r="CR152" s="68"/>
      <c r="CS152" s="68"/>
      <c r="CT152" s="68"/>
      <c r="CU152" s="68"/>
      <c r="CV152" s="68"/>
      <c r="CW152" s="68"/>
      <c r="CX152" s="68"/>
      <c r="CY152" s="68"/>
      <c r="CZ152" s="68"/>
      <c r="DA152" s="68"/>
      <c r="DB152" s="68"/>
      <c r="DC152" s="68"/>
      <c r="DD152" s="68"/>
      <c r="DE152" s="68"/>
      <c r="DF152" s="68"/>
      <c r="DG152" s="68"/>
      <c r="DH152" s="68"/>
      <c r="DI152" s="68"/>
      <c r="DJ152" s="68"/>
      <c r="DK152" s="68"/>
      <c r="DL152" s="68"/>
      <c r="DM152" s="68"/>
      <c r="DN152" s="68"/>
      <c r="DO152" s="68"/>
      <c r="DP152" s="68"/>
      <c r="DQ152" s="68"/>
      <c r="DR152" s="68"/>
      <c r="DS152" s="68"/>
      <c r="DT152" s="68"/>
      <c r="DU152" s="68"/>
      <c r="DV152" s="68"/>
      <c r="DW152" s="68"/>
      <c r="DX152" s="68"/>
      <c r="DY152" s="68"/>
      <c r="DZ152" s="68"/>
      <c r="EA152" s="68"/>
      <c r="EB152" s="68"/>
      <c r="EC152" s="68"/>
      <c r="ED152" s="68"/>
      <c r="EE152" s="68"/>
      <c r="EF152" s="68"/>
      <c r="EG152" s="68"/>
      <c r="EH152" s="68"/>
      <c r="EI152" s="68"/>
      <c r="EJ152" s="68"/>
      <c r="EK152" s="68"/>
      <c r="EL152" s="68"/>
      <c r="EM152" s="68"/>
      <c r="EN152" s="68"/>
      <c r="EO152" s="68"/>
      <c r="EP152" s="68"/>
    </row>
    <row r="153" spans="1:146" s="78" customFormat="1" ht="11.25">
      <c r="A153" s="87" t="str">
        <f t="shared" si="17"/>
        <v>MTEEE</v>
      </c>
      <c r="B153" s="83"/>
      <c r="D153" s="116"/>
      <c r="E153" s="231"/>
      <c r="F153" s="231"/>
      <c r="G153" s="231"/>
      <c r="H153" s="231"/>
      <c r="I153" s="231"/>
      <c r="J153" s="231"/>
      <c r="K153" s="231"/>
      <c r="L153" s="231"/>
      <c r="M153" s="231"/>
      <c r="N153" s="231"/>
      <c r="O153" s="231"/>
      <c r="P153" s="90"/>
      <c r="Q153" s="71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  <c r="AO153" s="68"/>
      <c r="AP153" s="68"/>
      <c r="AQ153" s="68"/>
      <c r="AR153" s="68"/>
      <c r="AS153" s="68"/>
      <c r="AT153" s="68"/>
      <c r="AU153" s="68"/>
      <c r="AV153" s="68"/>
      <c r="AW153" s="68"/>
      <c r="AX153" s="68"/>
      <c r="AY153" s="68"/>
      <c r="AZ153" s="68"/>
      <c r="BA153" s="68"/>
      <c r="BB153" s="68"/>
      <c r="BC153" s="68"/>
      <c r="BD153" s="68"/>
      <c r="BE153" s="68"/>
      <c r="BF153" s="68"/>
      <c r="BG153" s="68"/>
      <c r="BH153" s="68"/>
      <c r="BI153" s="68"/>
      <c r="BJ153" s="68"/>
      <c r="BK153" s="68"/>
      <c r="BL153" s="68"/>
      <c r="BM153" s="68"/>
      <c r="BN153" s="68"/>
      <c r="BO153" s="68"/>
      <c r="BP153" s="68"/>
      <c r="BQ153" s="68"/>
      <c r="BR153" s="68"/>
      <c r="BS153" s="68"/>
      <c r="BT153" s="68"/>
      <c r="BU153" s="68"/>
      <c r="BV153" s="68"/>
      <c r="BW153" s="68"/>
      <c r="BX153" s="68"/>
      <c r="BY153" s="68"/>
      <c r="BZ153" s="68"/>
      <c r="CA153" s="68"/>
      <c r="CB153" s="68"/>
      <c r="CC153" s="68"/>
      <c r="CD153" s="68"/>
      <c r="CE153" s="68"/>
      <c r="CF153" s="68"/>
      <c r="CG153" s="68"/>
      <c r="CH153" s="68"/>
      <c r="CI153" s="68"/>
      <c r="CJ153" s="68"/>
      <c r="CK153" s="68"/>
      <c r="CL153" s="68"/>
      <c r="CM153" s="68"/>
      <c r="CN153" s="68"/>
      <c r="CO153" s="68"/>
      <c r="CP153" s="68"/>
      <c r="CQ153" s="68"/>
      <c r="CR153" s="68"/>
      <c r="CS153" s="68"/>
      <c r="CT153" s="68"/>
      <c r="CU153" s="68"/>
      <c r="CV153" s="68"/>
      <c r="CW153" s="68"/>
      <c r="CX153" s="68"/>
      <c r="CY153" s="68"/>
      <c r="CZ153" s="68"/>
      <c r="DA153" s="68"/>
      <c r="DB153" s="68"/>
      <c r="DC153" s="68"/>
      <c r="DD153" s="68"/>
      <c r="DE153" s="68"/>
      <c r="DF153" s="68"/>
      <c r="DG153" s="68"/>
      <c r="DH153" s="68"/>
      <c r="DI153" s="68"/>
      <c r="DJ153" s="68"/>
      <c r="DK153" s="68"/>
      <c r="DL153" s="68"/>
      <c r="DM153" s="68"/>
      <c r="DN153" s="68"/>
      <c r="DO153" s="68"/>
      <c r="DP153" s="68"/>
      <c r="DQ153" s="68"/>
      <c r="DR153" s="68"/>
      <c r="DS153" s="68"/>
      <c r="DT153" s="68"/>
      <c r="DU153" s="68"/>
      <c r="DV153" s="68"/>
      <c r="DW153" s="68"/>
      <c r="DX153" s="68"/>
      <c r="DY153" s="68"/>
      <c r="DZ153" s="68"/>
      <c r="EA153" s="68"/>
      <c r="EB153" s="68"/>
      <c r="EC153" s="68"/>
      <c r="ED153" s="68"/>
      <c r="EE153" s="68"/>
      <c r="EF153" s="68"/>
      <c r="EG153" s="68"/>
      <c r="EH153" s="68"/>
      <c r="EI153" s="68"/>
      <c r="EJ153" s="68"/>
      <c r="EK153" s="68"/>
      <c r="EL153" s="68"/>
      <c r="EM153" s="68"/>
      <c r="EN153" s="68"/>
      <c r="EO153" s="68"/>
      <c r="EP153" s="68"/>
    </row>
    <row r="154" spans="1:146" s="78" customFormat="1" ht="12" thickBot="1">
      <c r="A154" s="87" t="str">
        <f t="shared" si="17"/>
        <v xml:space="preserve">MTEEETOTAL </v>
      </c>
      <c r="B154" s="83">
        <v>15</v>
      </c>
      <c r="C154" s="147" t="s">
        <v>95</v>
      </c>
      <c r="D154" s="211"/>
      <c r="E154" s="117">
        <v>0</v>
      </c>
      <c r="F154" s="117">
        <v>0</v>
      </c>
      <c r="G154" s="117">
        <v>0</v>
      </c>
      <c r="H154" s="117">
        <v>0</v>
      </c>
      <c r="I154" s="117">
        <v>0</v>
      </c>
      <c r="J154" s="117">
        <v>0</v>
      </c>
      <c r="K154" s="117">
        <v>0</v>
      </c>
      <c r="L154" s="117">
        <v>0</v>
      </c>
      <c r="M154" s="117">
        <v>0</v>
      </c>
      <c r="N154" s="117">
        <v>0</v>
      </c>
      <c r="O154" s="117">
        <v>0</v>
      </c>
      <c r="P154" s="117">
        <v>1960407.78</v>
      </c>
      <c r="Q154" s="117">
        <v>1960407.78</v>
      </c>
      <c r="R154" s="12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8"/>
      <c r="BA154" s="68"/>
      <c r="BB154" s="68"/>
      <c r="BC154" s="68"/>
      <c r="BD154" s="68"/>
      <c r="BE154" s="68"/>
      <c r="BF154" s="68"/>
      <c r="BG154" s="68"/>
      <c r="BH154" s="68"/>
      <c r="BI154" s="68"/>
      <c r="BJ154" s="68"/>
      <c r="BK154" s="68"/>
      <c r="BL154" s="68"/>
      <c r="BM154" s="68"/>
      <c r="BN154" s="68"/>
      <c r="BO154" s="68"/>
      <c r="BP154" s="68"/>
      <c r="BQ154" s="68"/>
      <c r="BR154" s="68"/>
      <c r="BS154" s="68"/>
      <c r="BT154" s="68"/>
      <c r="BU154" s="68"/>
      <c r="BV154" s="68"/>
      <c r="BW154" s="68"/>
      <c r="BX154" s="68"/>
      <c r="BY154" s="68"/>
      <c r="BZ154" s="68"/>
      <c r="CA154" s="68"/>
      <c r="CB154" s="68"/>
      <c r="CC154" s="68"/>
      <c r="CD154" s="68"/>
      <c r="CE154" s="68"/>
      <c r="CF154" s="68"/>
      <c r="CG154" s="68"/>
      <c r="CH154" s="68"/>
      <c r="CI154" s="68"/>
      <c r="CJ154" s="68"/>
      <c r="CK154" s="68"/>
      <c r="CL154" s="68"/>
      <c r="CM154" s="68"/>
      <c r="CN154" s="68"/>
      <c r="CO154" s="68"/>
      <c r="CP154" s="68"/>
      <c r="CQ154" s="68"/>
      <c r="CR154" s="68"/>
      <c r="CS154" s="68"/>
      <c r="CT154" s="68"/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68"/>
      <c r="DI154" s="68"/>
      <c r="DJ154" s="68"/>
      <c r="DK154" s="68"/>
      <c r="DL154" s="68"/>
      <c r="DM154" s="68"/>
      <c r="DN154" s="68"/>
      <c r="DO154" s="68"/>
      <c r="DP154" s="68"/>
      <c r="DQ154" s="68"/>
      <c r="DR154" s="68"/>
      <c r="DS154" s="68"/>
      <c r="DT154" s="68"/>
      <c r="DU154" s="68"/>
      <c r="DV154" s="68"/>
      <c r="DW154" s="68"/>
      <c r="DX154" s="68"/>
      <c r="DY154" s="68"/>
      <c r="DZ154" s="68"/>
      <c r="EA154" s="68"/>
      <c r="EB154" s="68"/>
      <c r="EC154" s="68"/>
      <c r="ED154" s="68"/>
      <c r="EE154" s="68"/>
      <c r="EF154" s="68"/>
      <c r="EG154" s="68"/>
      <c r="EH154" s="68"/>
      <c r="EI154" s="68"/>
      <c r="EJ154" s="68"/>
      <c r="EK154" s="68"/>
      <c r="EL154" s="68"/>
      <c r="EM154" s="68"/>
      <c r="EN154" s="68"/>
      <c r="EO154" s="68"/>
      <c r="EP154" s="68"/>
    </row>
    <row r="155" spans="1:146" customFormat="1" ht="13.5" thickTop="1"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</row>
    <row r="156" spans="1:146" s="87" customFormat="1" ht="11.25">
      <c r="C156" s="73" t="s">
        <v>491</v>
      </c>
      <c r="D156" s="99"/>
      <c r="E156" s="228"/>
      <c r="F156" s="229"/>
      <c r="G156" s="229"/>
      <c r="H156" s="230"/>
      <c r="I156" s="231"/>
      <c r="J156" s="231"/>
      <c r="K156" s="231"/>
      <c r="L156" s="231"/>
      <c r="M156" s="231"/>
      <c r="N156" s="231"/>
      <c r="O156" s="231"/>
      <c r="P156" s="90"/>
      <c r="Q156" s="10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89"/>
      <c r="AO156" s="89"/>
      <c r="AP156" s="89"/>
      <c r="AQ156" s="89"/>
      <c r="AR156" s="89"/>
      <c r="AS156" s="89"/>
      <c r="AT156" s="89"/>
      <c r="AU156" s="89"/>
      <c r="AV156" s="89"/>
      <c r="AW156" s="89"/>
      <c r="AX156" s="89"/>
      <c r="AY156" s="89"/>
      <c r="AZ156" s="89"/>
      <c r="BA156" s="89"/>
      <c r="BB156" s="89"/>
      <c r="BC156" s="89"/>
      <c r="BD156" s="89"/>
      <c r="BE156" s="89"/>
      <c r="BF156" s="89"/>
      <c r="BG156" s="89"/>
      <c r="BH156" s="89"/>
      <c r="BI156" s="89"/>
      <c r="BJ156" s="89"/>
      <c r="BK156" s="89"/>
      <c r="BL156" s="89"/>
      <c r="BM156" s="89"/>
      <c r="BN156" s="89"/>
      <c r="BO156" s="89"/>
      <c r="BP156" s="89"/>
      <c r="BQ156" s="89"/>
      <c r="BR156" s="89"/>
      <c r="BS156" s="89"/>
      <c r="BT156" s="89"/>
      <c r="BU156" s="89"/>
      <c r="BV156" s="89"/>
      <c r="BW156" s="89"/>
      <c r="BX156" s="89"/>
      <c r="BY156" s="89"/>
      <c r="BZ156" s="89"/>
      <c r="CA156" s="89"/>
      <c r="CB156" s="89"/>
      <c r="CC156" s="89"/>
      <c r="CD156" s="89"/>
      <c r="CE156" s="89"/>
      <c r="CF156" s="89"/>
      <c r="CG156" s="89"/>
      <c r="CH156" s="89"/>
      <c r="CI156" s="89"/>
      <c r="CJ156" s="89"/>
      <c r="CK156" s="89"/>
      <c r="CL156" s="89"/>
      <c r="CM156" s="89"/>
      <c r="CN156" s="89"/>
      <c r="CO156" s="89"/>
      <c r="CP156" s="89"/>
      <c r="CQ156" s="89"/>
      <c r="CR156" s="89"/>
      <c r="CS156" s="89"/>
      <c r="CT156" s="89"/>
      <c r="CU156" s="89"/>
      <c r="CV156" s="89"/>
      <c r="CW156" s="89"/>
      <c r="CX156" s="89"/>
      <c r="CY156" s="89"/>
      <c r="CZ156" s="89"/>
      <c r="DA156" s="89"/>
      <c r="DB156" s="89"/>
      <c r="DC156" s="89"/>
      <c r="DD156" s="89"/>
      <c r="DE156" s="89"/>
      <c r="DF156" s="89"/>
      <c r="DG156" s="89"/>
      <c r="DH156" s="89"/>
      <c r="DI156" s="89"/>
      <c r="DJ156" s="89"/>
      <c r="DK156" s="89"/>
      <c r="DL156" s="89"/>
      <c r="DM156" s="89"/>
      <c r="DN156" s="89"/>
      <c r="DO156" s="89"/>
      <c r="DP156" s="89"/>
      <c r="DQ156" s="89"/>
      <c r="DR156" s="89"/>
      <c r="DS156" s="89"/>
      <c r="DT156" s="89"/>
      <c r="DU156" s="89"/>
      <c r="DV156" s="89"/>
      <c r="DW156" s="89"/>
      <c r="DX156" s="89"/>
      <c r="DY156" s="89"/>
      <c r="DZ156" s="89"/>
      <c r="EA156" s="89"/>
      <c r="EB156" s="89"/>
      <c r="EC156" s="89"/>
      <c r="ED156" s="89"/>
      <c r="EE156" s="89"/>
      <c r="EF156" s="89"/>
      <c r="EG156" s="89"/>
      <c r="EH156" s="89"/>
      <c r="EI156" s="89"/>
      <c r="EJ156" s="89"/>
      <c r="EK156" s="89"/>
      <c r="EL156" s="89"/>
      <c r="EM156" s="89"/>
      <c r="EN156" s="89"/>
      <c r="EO156" s="89"/>
      <c r="EP156" s="89"/>
    </row>
    <row r="157" spans="1:146" s="87" customFormat="1" ht="11.25">
      <c r="B157" s="211" t="s">
        <v>8</v>
      </c>
      <c r="C157" s="213" t="s">
        <v>0</v>
      </c>
      <c r="D157" s="213" t="s">
        <v>7</v>
      </c>
      <c r="E157" s="232" t="s">
        <v>151</v>
      </c>
      <c r="F157" s="232" t="s">
        <v>152</v>
      </c>
      <c r="G157" s="232" t="s">
        <v>153</v>
      </c>
      <c r="H157" s="232" t="s">
        <v>154</v>
      </c>
      <c r="I157" s="232" t="s">
        <v>155</v>
      </c>
      <c r="J157" s="232" t="s">
        <v>156</v>
      </c>
      <c r="K157" s="232" t="s">
        <v>157</v>
      </c>
      <c r="L157" s="232" t="s">
        <v>158</v>
      </c>
      <c r="M157" s="232" t="s">
        <v>159</v>
      </c>
      <c r="N157" s="232" t="s">
        <v>160</v>
      </c>
      <c r="O157" s="232" t="s">
        <v>161</v>
      </c>
      <c r="P157" s="232" t="s">
        <v>162</v>
      </c>
      <c r="Q157" s="110" t="s">
        <v>2</v>
      </c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  <c r="AN157" s="89"/>
      <c r="AO157" s="89"/>
      <c r="AP157" s="89"/>
      <c r="AQ157" s="89"/>
      <c r="AR157" s="89"/>
      <c r="AS157" s="89"/>
      <c r="AT157" s="89"/>
      <c r="AU157" s="89"/>
      <c r="AV157" s="89"/>
      <c r="AW157" s="89"/>
      <c r="AX157" s="89"/>
      <c r="AY157" s="89"/>
      <c r="AZ157" s="89"/>
      <c r="BA157" s="89"/>
      <c r="BB157" s="89"/>
      <c r="BC157" s="89"/>
      <c r="BD157" s="89"/>
      <c r="BE157" s="89"/>
      <c r="BF157" s="89"/>
      <c r="BG157" s="89"/>
      <c r="BH157" s="89"/>
      <c r="BI157" s="89"/>
      <c r="BJ157" s="89"/>
      <c r="BK157" s="89"/>
      <c r="BL157" s="89"/>
      <c r="BM157" s="89"/>
      <c r="BN157" s="89"/>
      <c r="BO157" s="89"/>
      <c r="BP157" s="89"/>
      <c r="BQ157" s="89"/>
      <c r="BR157" s="89"/>
      <c r="BS157" s="89"/>
      <c r="BT157" s="89"/>
      <c r="BU157" s="89"/>
      <c r="BV157" s="89"/>
      <c r="BW157" s="89"/>
      <c r="BX157" s="89"/>
      <c r="BY157" s="89"/>
      <c r="BZ157" s="89"/>
      <c r="CA157" s="89"/>
      <c r="CB157" s="89"/>
      <c r="CC157" s="89"/>
      <c r="CD157" s="89"/>
      <c r="CE157" s="89"/>
      <c r="CF157" s="89"/>
      <c r="CG157" s="89"/>
      <c r="CH157" s="89"/>
      <c r="CI157" s="89"/>
      <c r="CJ157" s="89"/>
      <c r="CK157" s="89"/>
      <c r="CL157" s="89"/>
      <c r="CM157" s="89"/>
      <c r="CN157" s="89"/>
      <c r="CO157" s="89"/>
      <c r="CP157" s="89"/>
      <c r="CQ157" s="89"/>
      <c r="CR157" s="89"/>
      <c r="CS157" s="89"/>
      <c r="CT157" s="89"/>
      <c r="CU157" s="89"/>
      <c r="CV157" s="89"/>
      <c r="CW157" s="89"/>
      <c r="CX157" s="89"/>
      <c r="CY157" s="89"/>
      <c r="CZ157" s="89"/>
      <c r="DA157" s="89"/>
      <c r="DB157" s="89"/>
      <c r="DC157" s="89"/>
      <c r="DD157" s="89"/>
      <c r="DE157" s="89"/>
      <c r="DF157" s="89"/>
      <c r="DG157" s="89"/>
      <c r="DH157" s="89"/>
      <c r="DI157" s="89"/>
      <c r="DJ157" s="89"/>
      <c r="DK157" s="89"/>
      <c r="DL157" s="89"/>
      <c r="DM157" s="89"/>
      <c r="DN157" s="89"/>
      <c r="DO157" s="89"/>
      <c r="DP157" s="89"/>
      <c r="DQ157" s="89"/>
      <c r="DR157" s="89"/>
      <c r="DS157" s="89"/>
      <c r="DT157" s="89"/>
      <c r="DU157" s="89"/>
      <c r="DV157" s="89"/>
      <c r="DW157" s="89"/>
      <c r="DX157" s="89"/>
      <c r="DY157" s="89"/>
      <c r="DZ157" s="89"/>
      <c r="EA157" s="89"/>
      <c r="EB157" s="89"/>
      <c r="EC157" s="89"/>
      <c r="ED157" s="89"/>
      <c r="EE157" s="89"/>
      <c r="EF157" s="89"/>
      <c r="EG157" s="89"/>
      <c r="EH157" s="89"/>
      <c r="EI157" s="89"/>
      <c r="EJ157" s="89"/>
      <c r="EK157" s="89"/>
      <c r="EL157" s="89"/>
      <c r="EM157" s="89"/>
      <c r="EN157" s="89"/>
      <c r="EO157" s="89"/>
      <c r="EP157" s="89"/>
    </row>
    <row r="158" spans="1:146" s="87" customFormat="1" ht="11.25">
      <c r="C158" s="213"/>
      <c r="D158" s="213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27"/>
      <c r="Q158" s="110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89"/>
      <c r="AO158" s="89"/>
      <c r="AP158" s="89"/>
      <c r="AQ158" s="89"/>
      <c r="AR158" s="89"/>
      <c r="AS158" s="89"/>
      <c r="AT158" s="89"/>
      <c r="AU158" s="89"/>
      <c r="AV158" s="89"/>
      <c r="AW158" s="89"/>
      <c r="AX158" s="89"/>
      <c r="AY158" s="89"/>
      <c r="AZ158" s="89"/>
      <c r="BA158" s="89"/>
      <c r="BB158" s="89"/>
      <c r="BC158" s="89"/>
      <c r="BD158" s="89"/>
      <c r="BE158" s="89"/>
      <c r="BF158" s="89"/>
      <c r="BG158" s="89"/>
      <c r="BH158" s="89"/>
      <c r="BI158" s="89"/>
      <c r="BJ158" s="89"/>
      <c r="BK158" s="89"/>
      <c r="BL158" s="89"/>
      <c r="BM158" s="89"/>
      <c r="BN158" s="89"/>
      <c r="BO158" s="89"/>
      <c r="BP158" s="89"/>
      <c r="BQ158" s="89"/>
      <c r="BR158" s="89"/>
      <c r="BS158" s="89"/>
      <c r="BT158" s="89"/>
      <c r="BU158" s="89"/>
      <c r="BV158" s="89"/>
      <c r="BW158" s="89"/>
      <c r="BX158" s="89"/>
      <c r="BY158" s="89"/>
      <c r="BZ158" s="89"/>
      <c r="CA158" s="89"/>
      <c r="CB158" s="89"/>
      <c r="CC158" s="89"/>
      <c r="CD158" s="89"/>
      <c r="CE158" s="89"/>
      <c r="CF158" s="89"/>
      <c r="CG158" s="89"/>
      <c r="CH158" s="89"/>
      <c r="CI158" s="89"/>
      <c r="CJ158" s="89"/>
      <c r="CK158" s="89"/>
      <c r="CL158" s="89"/>
      <c r="CM158" s="89"/>
      <c r="CN158" s="89"/>
      <c r="CO158" s="89"/>
      <c r="CP158" s="89"/>
      <c r="CQ158" s="89"/>
      <c r="CR158" s="89"/>
      <c r="CS158" s="89"/>
      <c r="CT158" s="89"/>
      <c r="CU158" s="89"/>
      <c r="CV158" s="89"/>
      <c r="CW158" s="89"/>
      <c r="CX158" s="89"/>
      <c r="CY158" s="89"/>
      <c r="CZ158" s="89"/>
      <c r="DA158" s="89"/>
      <c r="DB158" s="89"/>
      <c r="DC158" s="89"/>
      <c r="DD158" s="89"/>
      <c r="DE158" s="89"/>
      <c r="DF158" s="89"/>
      <c r="DG158" s="89"/>
      <c r="DH158" s="89"/>
      <c r="DI158" s="89"/>
      <c r="DJ158" s="89"/>
      <c r="DK158" s="89"/>
      <c r="DL158" s="89"/>
      <c r="DM158" s="89"/>
      <c r="DN158" s="89"/>
      <c r="DO158" s="89"/>
      <c r="DP158" s="89"/>
      <c r="DQ158" s="89"/>
      <c r="DR158" s="89"/>
      <c r="DS158" s="89"/>
      <c r="DT158" s="89"/>
      <c r="DU158" s="89"/>
      <c r="DV158" s="89"/>
      <c r="DW158" s="89"/>
      <c r="DX158" s="89"/>
      <c r="DY158" s="89"/>
      <c r="DZ158" s="89"/>
      <c r="EA158" s="89"/>
      <c r="EB158" s="89"/>
      <c r="EC158" s="89"/>
      <c r="ED158" s="89"/>
      <c r="EE158" s="89"/>
      <c r="EF158" s="89"/>
      <c r="EG158" s="89"/>
      <c r="EH158" s="89"/>
      <c r="EI158" s="89"/>
      <c r="EJ158" s="89"/>
      <c r="EK158" s="89"/>
      <c r="EL158" s="89"/>
      <c r="EM158" s="89"/>
      <c r="EN158" s="89"/>
      <c r="EO158" s="89"/>
      <c r="EP158" s="89"/>
    </row>
    <row r="159" spans="1:146" s="78" customFormat="1" ht="11.25">
      <c r="A159" s="87" t="str">
        <f>CONCATENATE($C$156,C159)</f>
        <v>SRCRESIDENTIAL SERVICE</v>
      </c>
      <c r="B159" s="83" t="s">
        <v>9</v>
      </c>
      <c r="C159" s="78" t="s">
        <v>17</v>
      </c>
      <c r="D159" s="85" t="s">
        <v>4</v>
      </c>
      <c r="E159" s="124">
        <v>1131807.78</v>
      </c>
      <c r="F159" s="124">
        <v>883824.4</v>
      </c>
      <c r="G159" s="124">
        <v>994983.1399999999</v>
      </c>
      <c r="H159" s="124">
        <v>1057285.0900000001</v>
      </c>
      <c r="I159" s="124">
        <v>912531.73</v>
      </c>
      <c r="J159" s="124">
        <v>872802.79</v>
      </c>
      <c r="K159" s="124">
        <v>877453.8</v>
      </c>
      <c r="L159" s="124">
        <v>958163.55</v>
      </c>
      <c r="M159" s="124">
        <v>1299784.1499999999</v>
      </c>
      <c r="N159" s="124">
        <v>1664723.06</v>
      </c>
      <c r="O159" s="124">
        <v>1657149.85</v>
      </c>
      <c r="P159" s="124">
        <v>1866347.11</v>
      </c>
      <c r="Q159" s="90">
        <f>SUM(E159:P159)</f>
        <v>14176856.449999999</v>
      </c>
      <c r="R159" s="125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  <c r="AO159" s="68"/>
      <c r="AP159" s="68"/>
      <c r="AQ159" s="68"/>
      <c r="AR159" s="68"/>
      <c r="AS159" s="68"/>
      <c r="AT159" s="68"/>
      <c r="AU159" s="68"/>
      <c r="AV159" s="68"/>
      <c r="AW159" s="68"/>
      <c r="AX159" s="68"/>
      <c r="AY159" s="68"/>
      <c r="AZ159" s="68"/>
      <c r="BA159" s="68"/>
      <c r="BB159" s="68"/>
      <c r="BC159" s="68"/>
      <c r="BD159" s="68"/>
      <c r="BE159" s="68"/>
      <c r="BF159" s="68"/>
      <c r="BG159" s="68"/>
      <c r="BH159" s="68"/>
      <c r="BI159" s="68"/>
      <c r="BJ159" s="68"/>
      <c r="BK159" s="68"/>
      <c r="BL159" s="68"/>
      <c r="BM159" s="68"/>
      <c r="BN159" s="68"/>
      <c r="BO159" s="68"/>
      <c r="BP159" s="68"/>
      <c r="BQ159" s="68"/>
      <c r="BR159" s="68"/>
      <c r="BS159" s="68"/>
      <c r="BT159" s="68"/>
      <c r="BU159" s="68"/>
      <c r="BV159" s="68"/>
      <c r="BW159" s="68"/>
      <c r="BX159" s="68"/>
      <c r="BY159" s="68"/>
      <c r="BZ159" s="68"/>
      <c r="CA159" s="68"/>
      <c r="CB159" s="68"/>
      <c r="CC159" s="68"/>
      <c r="CD159" s="68"/>
      <c r="CE159" s="68"/>
      <c r="CF159" s="68"/>
      <c r="CG159" s="68"/>
      <c r="CH159" s="68"/>
      <c r="CI159" s="68"/>
      <c r="CJ159" s="68"/>
      <c r="CK159" s="68"/>
      <c r="CL159" s="68"/>
      <c r="CM159" s="68"/>
      <c r="CN159" s="68"/>
      <c r="CO159" s="68"/>
      <c r="CP159" s="68"/>
      <c r="CQ159" s="68"/>
      <c r="CR159" s="68"/>
      <c r="CS159" s="68"/>
      <c r="CT159" s="68"/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68"/>
      <c r="DI159" s="68"/>
      <c r="DJ159" s="68"/>
      <c r="DK159" s="68"/>
      <c r="DL159" s="68"/>
      <c r="DM159" s="68"/>
      <c r="DN159" s="68"/>
      <c r="DO159" s="68"/>
      <c r="DP159" s="68"/>
      <c r="DQ159" s="68"/>
      <c r="DR159" s="68"/>
      <c r="DS159" s="68"/>
      <c r="DT159" s="68"/>
      <c r="DU159" s="68"/>
      <c r="DV159" s="68"/>
      <c r="DW159" s="68"/>
      <c r="DX159" s="68"/>
      <c r="DY159" s="68"/>
      <c r="DZ159" s="68"/>
      <c r="EA159" s="68"/>
      <c r="EB159" s="68"/>
      <c r="EC159" s="68"/>
      <c r="ED159" s="68"/>
      <c r="EE159" s="68"/>
      <c r="EF159" s="68"/>
      <c r="EG159" s="68"/>
      <c r="EH159" s="68"/>
      <c r="EI159" s="68"/>
      <c r="EJ159" s="68"/>
      <c r="EK159" s="68"/>
      <c r="EL159" s="68"/>
      <c r="EM159" s="68"/>
      <c r="EN159" s="68"/>
      <c r="EO159" s="68"/>
      <c r="EP159" s="68"/>
    </row>
    <row r="160" spans="1:146" s="78" customFormat="1" ht="11.25">
      <c r="A160" s="87" t="str">
        <f t="shared" ref="A160:A183" si="23">CONCATENATE($C$156,C160)</f>
        <v>SRC</v>
      </c>
      <c r="D160" s="85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93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  <c r="AV160" s="68"/>
      <c r="AW160" s="68"/>
      <c r="AX160" s="68"/>
      <c r="AY160" s="68"/>
      <c r="AZ160" s="68"/>
      <c r="BA160" s="68"/>
      <c r="BB160" s="68"/>
      <c r="BC160" s="68"/>
      <c r="BD160" s="68"/>
      <c r="BE160" s="68"/>
      <c r="BF160" s="68"/>
      <c r="BG160" s="68"/>
      <c r="BH160" s="68"/>
      <c r="BI160" s="68"/>
      <c r="BJ160" s="68"/>
      <c r="BK160" s="68"/>
      <c r="BL160" s="68"/>
      <c r="BM160" s="68"/>
      <c r="BN160" s="68"/>
      <c r="BO160" s="68"/>
      <c r="BP160" s="68"/>
      <c r="BQ160" s="68"/>
      <c r="BR160" s="68"/>
      <c r="BS160" s="68"/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68"/>
      <c r="DI160" s="68"/>
      <c r="DJ160" s="68"/>
      <c r="DK160" s="68"/>
      <c r="DL160" s="68"/>
      <c r="DM160" s="68"/>
      <c r="DN160" s="68"/>
      <c r="DO160" s="68"/>
      <c r="DP160" s="68"/>
      <c r="DQ160" s="68"/>
      <c r="DR160" s="68"/>
      <c r="DS160" s="68"/>
      <c r="DT160" s="68"/>
      <c r="DU160" s="68"/>
      <c r="DV160" s="68"/>
      <c r="DW160" s="68"/>
      <c r="DX160" s="68"/>
      <c r="DY160" s="68"/>
      <c r="DZ160" s="68"/>
      <c r="EA160" s="68"/>
      <c r="EB160" s="68"/>
      <c r="EC160" s="68"/>
      <c r="ED160" s="68"/>
      <c r="EE160" s="68"/>
      <c r="EF160" s="68"/>
      <c r="EG160" s="68"/>
      <c r="EH160" s="68"/>
      <c r="EI160" s="68"/>
      <c r="EJ160" s="68"/>
      <c r="EK160" s="68"/>
      <c r="EL160" s="68"/>
      <c r="EM160" s="68"/>
      <c r="EN160" s="68"/>
      <c r="EO160" s="68"/>
      <c r="EP160" s="68"/>
    </row>
    <row r="161" spans="1:146" s="78" customFormat="1" ht="11.25">
      <c r="A161" s="87" t="str">
        <f t="shared" si="23"/>
        <v>SRCSECONDARY &lt; 10 kW</v>
      </c>
      <c r="B161" s="83">
        <v>2</v>
      </c>
      <c r="C161" s="78" t="s">
        <v>150</v>
      </c>
      <c r="D161" s="85" t="s">
        <v>4</v>
      </c>
      <c r="E161" s="124">
        <v>59122.09</v>
      </c>
      <c r="F161" s="124">
        <v>52991.850000000006</v>
      </c>
      <c r="G161" s="124">
        <v>54478.06</v>
      </c>
      <c r="H161" s="124">
        <v>54368.139999999985</v>
      </c>
      <c r="I161" s="124">
        <v>49102.479999999996</v>
      </c>
      <c r="J161" s="124">
        <v>49395.740000000005</v>
      </c>
      <c r="K161" s="124">
        <v>49818.62000000001</v>
      </c>
      <c r="L161" s="124">
        <v>53052.810000000012</v>
      </c>
      <c r="M161" s="124">
        <v>61878.229999999996</v>
      </c>
      <c r="N161" s="124">
        <v>70742.320000000007</v>
      </c>
      <c r="O161" s="124">
        <v>71906.48000000001</v>
      </c>
      <c r="P161" s="124">
        <v>79651.609999999986</v>
      </c>
      <c r="Q161" s="93">
        <f>SUM(E161:P161)</f>
        <v>706508.42999999993</v>
      </c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  <c r="BB161" s="68"/>
      <c r="BC161" s="68"/>
      <c r="BD161" s="68"/>
      <c r="BE161" s="68"/>
      <c r="BF161" s="68"/>
      <c r="BG161" s="68"/>
      <c r="BH161" s="68"/>
      <c r="BI161" s="68"/>
      <c r="BJ161" s="68"/>
      <c r="BK161" s="68"/>
      <c r="BL161" s="68"/>
      <c r="BM161" s="68"/>
      <c r="BN161" s="68"/>
      <c r="BO161" s="68"/>
      <c r="BP161" s="68"/>
      <c r="BQ161" s="68"/>
      <c r="BR161" s="68"/>
      <c r="BS161" s="68"/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68"/>
      <c r="DI161" s="68"/>
      <c r="DJ161" s="68"/>
      <c r="DK161" s="68"/>
      <c r="DL161" s="68"/>
      <c r="DM161" s="68"/>
      <c r="DN161" s="68"/>
      <c r="DO161" s="68"/>
      <c r="DP161" s="68"/>
      <c r="DQ161" s="68"/>
      <c r="DR161" s="68"/>
      <c r="DS161" s="68"/>
      <c r="DT161" s="68"/>
      <c r="DU161" s="68"/>
      <c r="DV161" s="68"/>
      <c r="DW161" s="68"/>
      <c r="DX161" s="68"/>
      <c r="DY161" s="68"/>
      <c r="DZ161" s="68"/>
      <c r="EA161" s="68"/>
      <c r="EB161" s="68"/>
      <c r="EC161" s="68"/>
      <c r="ED161" s="68"/>
      <c r="EE161" s="68"/>
      <c r="EF161" s="68"/>
      <c r="EG161" s="68"/>
      <c r="EH161" s="68"/>
      <c r="EI161" s="68"/>
      <c r="EJ161" s="68"/>
      <c r="EK161" s="68"/>
      <c r="EL161" s="68"/>
      <c r="EM161" s="68"/>
      <c r="EN161" s="68"/>
      <c r="EO161" s="68"/>
      <c r="EP161" s="68"/>
    </row>
    <row r="162" spans="1:146" s="78" customFormat="1" ht="11.25">
      <c r="A162" s="87" t="str">
        <f t="shared" si="23"/>
        <v>SRC</v>
      </c>
      <c r="B162" s="83"/>
      <c r="D162" s="85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93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  <c r="AO162" s="68"/>
      <c r="AP162" s="68"/>
      <c r="AQ162" s="68"/>
      <c r="AR162" s="68"/>
      <c r="AS162" s="68"/>
      <c r="AT162" s="68"/>
      <c r="AU162" s="68"/>
      <c r="AV162" s="68"/>
      <c r="AW162" s="68"/>
      <c r="AX162" s="68"/>
      <c r="AY162" s="68"/>
      <c r="AZ162" s="68"/>
      <c r="BA162" s="68"/>
      <c r="BB162" s="68"/>
      <c r="BC162" s="68"/>
      <c r="BD162" s="68"/>
      <c r="BE162" s="68"/>
      <c r="BF162" s="68"/>
      <c r="BG162" s="68"/>
      <c r="BH162" s="68"/>
      <c r="BI162" s="68"/>
      <c r="BJ162" s="68"/>
      <c r="BK162" s="68"/>
      <c r="BL162" s="68"/>
      <c r="BM162" s="68"/>
      <c r="BN162" s="68"/>
      <c r="BO162" s="68"/>
      <c r="BP162" s="68"/>
      <c r="BQ162" s="68"/>
      <c r="BR162" s="68"/>
      <c r="BS162" s="68"/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68"/>
      <c r="DI162" s="68"/>
      <c r="DJ162" s="68"/>
      <c r="DK162" s="68"/>
      <c r="DL162" s="68"/>
      <c r="DM162" s="68"/>
      <c r="DN162" s="68"/>
      <c r="DO162" s="68"/>
      <c r="DP162" s="68"/>
      <c r="DQ162" s="68"/>
      <c r="DR162" s="68"/>
      <c r="DS162" s="68"/>
      <c r="DT162" s="68"/>
      <c r="DU162" s="68"/>
      <c r="DV162" s="68"/>
      <c r="DW162" s="68"/>
      <c r="DX162" s="68"/>
      <c r="DY162" s="68"/>
      <c r="DZ162" s="68"/>
      <c r="EA162" s="68"/>
      <c r="EB162" s="68"/>
      <c r="EC162" s="68"/>
      <c r="ED162" s="68"/>
      <c r="EE162" s="68"/>
      <c r="EF162" s="68"/>
      <c r="EG162" s="68"/>
      <c r="EH162" s="68"/>
      <c r="EI162" s="68"/>
      <c r="EJ162" s="68"/>
      <c r="EK162" s="68"/>
      <c r="EL162" s="68"/>
      <c r="EM162" s="68"/>
      <c r="EN162" s="68"/>
      <c r="EO162" s="68"/>
      <c r="EP162" s="68"/>
    </row>
    <row r="163" spans="1:146" s="78" customFormat="1" ht="11.25">
      <c r="A163" s="87" t="str">
        <f t="shared" si="23"/>
        <v>SRCSECONDARY &gt; 10 kW NCP</v>
      </c>
      <c r="B163" s="83">
        <v>3</v>
      </c>
      <c r="C163" s="87" t="s">
        <v>81</v>
      </c>
      <c r="D163" s="74" t="s">
        <v>4</v>
      </c>
      <c r="E163" s="124">
        <v>628768.67999999982</v>
      </c>
      <c r="F163" s="124">
        <v>621253.5</v>
      </c>
      <c r="G163" s="124">
        <v>630179.99999999988</v>
      </c>
      <c r="H163" s="124">
        <v>643724.7100000002</v>
      </c>
      <c r="I163" s="124">
        <v>642060.4</v>
      </c>
      <c r="J163" s="124">
        <v>631576.69999999995</v>
      </c>
      <c r="K163" s="124">
        <v>625243.63</v>
      </c>
      <c r="L163" s="124">
        <v>624389.89000000013</v>
      </c>
      <c r="M163" s="124">
        <v>639630.10999999987</v>
      </c>
      <c r="N163" s="124">
        <v>659368.92999999993</v>
      </c>
      <c r="O163" s="124">
        <v>662938.15000000014</v>
      </c>
      <c r="P163" s="124">
        <v>665491.45000000019</v>
      </c>
      <c r="Q163" s="93">
        <f>SUM(E163:P163)</f>
        <v>7674626.1499999994</v>
      </c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  <c r="AQ163" s="68"/>
      <c r="AR163" s="68"/>
      <c r="AS163" s="68"/>
      <c r="AT163" s="68"/>
      <c r="AU163" s="68"/>
      <c r="AV163" s="68"/>
      <c r="AW163" s="68"/>
      <c r="AX163" s="68"/>
      <c r="AY163" s="68"/>
      <c r="AZ163" s="68"/>
      <c r="BA163" s="68"/>
      <c r="BB163" s="68"/>
      <c r="BC163" s="68"/>
      <c r="BD163" s="68"/>
      <c r="BE163" s="68"/>
      <c r="BF163" s="68"/>
      <c r="BG163" s="68"/>
      <c r="BH163" s="68"/>
      <c r="BI163" s="68"/>
      <c r="BJ163" s="68"/>
      <c r="BK163" s="68"/>
      <c r="BL163" s="68"/>
      <c r="BM163" s="68"/>
      <c r="BN163" s="68"/>
      <c r="BO163" s="68"/>
      <c r="BP163" s="68"/>
      <c r="BQ163" s="68"/>
      <c r="BR163" s="68"/>
      <c r="BS163" s="68"/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68"/>
      <c r="DI163" s="68"/>
      <c r="DJ163" s="68"/>
      <c r="DK163" s="68"/>
      <c r="DL163" s="68"/>
      <c r="DM163" s="68"/>
      <c r="DN163" s="68"/>
      <c r="DO163" s="68"/>
      <c r="DP163" s="68"/>
      <c r="DQ163" s="68"/>
      <c r="DR163" s="68"/>
      <c r="DS163" s="68"/>
      <c r="DT163" s="68"/>
      <c r="DU163" s="68"/>
      <c r="DV163" s="68"/>
      <c r="DW163" s="68"/>
      <c r="DX163" s="68"/>
      <c r="DY163" s="68"/>
      <c r="DZ163" s="68"/>
      <c r="EA163" s="68"/>
      <c r="EB163" s="68"/>
      <c r="EC163" s="68"/>
      <c r="ED163" s="68"/>
      <c r="EE163" s="68"/>
      <c r="EF163" s="68"/>
      <c r="EG163" s="68"/>
      <c r="EH163" s="68"/>
      <c r="EI163" s="68"/>
      <c r="EJ163" s="68"/>
      <c r="EK163" s="68"/>
      <c r="EL163" s="68"/>
      <c r="EM163" s="68"/>
      <c r="EN163" s="68"/>
      <c r="EO163" s="68"/>
      <c r="EP163" s="68"/>
    </row>
    <row r="164" spans="1:146" s="78" customFormat="1" ht="11.25">
      <c r="A164" s="87" t="str">
        <f t="shared" si="23"/>
        <v>SRCSECONDARY &gt; 10 kW 4CP</v>
      </c>
      <c r="B164" s="83">
        <v>4</v>
      </c>
      <c r="C164" s="87" t="s">
        <v>85</v>
      </c>
      <c r="D164" s="74" t="s">
        <v>4</v>
      </c>
      <c r="E164" s="149">
        <v>69131.869999999981</v>
      </c>
      <c r="F164" s="149">
        <v>67144.279999999984</v>
      </c>
      <c r="G164" s="149">
        <v>64053.550000000017</v>
      </c>
      <c r="H164" s="149">
        <v>62714.950000000004</v>
      </c>
      <c r="I164" s="149">
        <v>62074.919999999962</v>
      </c>
      <c r="J164" s="149">
        <v>64889.329999999994</v>
      </c>
      <c r="K164" s="149">
        <v>64592.04</v>
      </c>
      <c r="L164" s="149">
        <v>64848.089999999975</v>
      </c>
      <c r="M164" s="149">
        <v>67131.960000000021</v>
      </c>
      <c r="N164" s="149">
        <v>70560.13</v>
      </c>
      <c r="O164" s="149">
        <v>75749.710000000006</v>
      </c>
      <c r="P164" s="149">
        <v>79161.42</v>
      </c>
      <c r="Q164" s="72">
        <f>SUM(E164:P164)</f>
        <v>812052.25</v>
      </c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  <c r="AO164" s="68"/>
      <c r="AP164" s="68"/>
      <c r="AQ164" s="68"/>
      <c r="AR164" s="68"/>
      <c r="AS164" s="68"/>
      <c r="AT164" s="68"/>
      <c r="AU164" s="68"/>
      <c r="AV164" s="68"/>
      <c r="AW164" s="68"/>
      <c r="AX164" s="68"/>
      <c r="AY164" s="68"/>
      <c r="AZ164" s="68"/>
      <c r="BA164" s="68"/>
      <c r="BB164" s="68"/>
      <c r="BC164" s="68"/>
      <c r="BD164" s="68"/>
      <c r="BE164" s="68"/>
      <c r="BF164" s="68"/>
      <c r="BG164" s="68"/>
      <c r="BH164" s="68"/>
      <c r="BI164" s="68"/>
      <c r="BJ164" s="68"/>
      <c r="BK164" s="68"/>
      <c r="BL164" s="68"/>
      <c r="BM164" s="68"/>
      <c r="BN164" s="68"/>
      <c r="BO164" s="68"/>
      <c r="BP164" s="68"/>
      <c r="BQ164" s="68"/>
      <c r="BR164" s="68"/>
      <c r="BS164" s="68"/>
      <c r="BT164" s="68"/>
      <c r="BU164" s="68"/>
      <c r="BV164" s="68"/>
      <c r="BW164" s="68"/>
      <c r="BX164" s="68"/>
      <c r="BY164" s="68"/>
      <c r="BZ164" s="68"/>
      <c r="CA164" s="68"/>
      <c r="CB164" s="68"/>
      <c r="CC164" s="68"/>
      <c r="CD164" s="68"/>
      <c r="CE164" s="68"/>
      <c r="CF164" s="68"/>
      <c r="CG164" s="68"/>
      <c r="CH164" s="68"/>
      <c r="CI164" s="68"/>
      <c r="CJ164" s="68"/>
      <c r="CK164" s="68"/>
      <c r="CL164" s="68"/>
      <c r="CM164" s="68"/>
      <c r="CN164" s="68"/>
      <c r="CO164" s="68"/>
      <c r="CP164" s="68"/>
      <c r="CQ164" s="68"/>
      <c r="CR164" s="68"/>
      <c r="CS164" s="68"/>
      <c r="CT164" s="68"/>
      <c r="CU164" s="68"/>
      <c r="CV164" s="68"/>
      <c r="CW164" s="68"/>
      <c r="CX164" s="68"/>
      <c r="CY164" s="68"/>
      <c r="CZ164" s="68"/>
      <c r="DA164" s="68"/>
      <c r="DB164" s="68"/>
      <c r="DC164" s="68"/>
      <c r="DD164" s="68"/>
      <c r="DE164" s="68"/>
      <c r="DF164" s="68"/>
      <c r="DG164" s="68"/>
      <c r="DH164" s="68"/>
      <c r="DI164" s="68"/>
      <c r="DJ164" s="68"/>
      <c r="DK164" s="68"/>
      <c r="DL164" s="68"/>
      <c r="DM164" s="68"/>
      <c r="DN164" s="68"/>
      <c r="DO164" s="68"/>
      <c r="DP164" s="68"/>
      <c r="DQ164" s="68"/>
      <c r="DR164" s="68"/>
      <c r="DS164" s="68"/>
      <c r="DT164" s="68"/>
      <c r="DU164" s="68"/>
      <c r="DV164" s="68"/>
      <c r="DW164" s="68"/>
      <c r="DX164" s="68"/>
      <c r="DY164" s="68"/>
      <c r="DZ164" s="68"/>
      <c r="EA164" s="68"/>
      <c r="EB164" s="68"/>
      <c r="EC164" s="68"/>
      <c r="ED164" s="68"/>
      <c r="EE164" s="68"/>
      <c r="EF164" s="68"/>
      <c r="EG164" s="68"/>
      <c r="EH164" s="68"/>
      <c r="EI164" s="68"/>
      <c r="EJ164" s="68"/>
      <c r="EK164" s="68"/>
      <c r="EL164" s="68"/>
      <c r="EM164" s="68"/>
      <c r="EN164" s="68"/>
      <c r="EO164" s="68"/>
      <c r="EP164" s="68"/>
    </row>
    <row r="165" spans="1:146" s="78" customFormat="1" ht="11.25">
      <c r="A165" s="87" t="str">
        <f t="shared" si="23"/>
        <v>SRCTOTAL SECONDARY &gt; 10 kW</v>
      </c>
      <c r="B165" s="83">
        <v>5</v>
      </c>
      <c r="C165" s="96" t="s">
        <v>18</v>
      </c>
      <c r="D165" s="85"/>
      <c r="E165" s="231">
        <f>SUM(E163:E164)</f>
        <v>697900.54999999981</v>
      </c>
      <c r="F165" s="231">
        <f t="shared" ref="F165:Q165" si="24">SUM(F163:F164)</f>
        <v>688397.78</v>
      </c>
      <c r="G165" s="231">
        <f t="shared" si="24"/>
        <v>694233.54999999993</v>
      </c>
      <c r="H165" s="231">
        <f t="shared" si="24"/>
        <v>706439.66000000015</v>
      </c>
      <c r="I165" s="231">
        <f t="shared" si="24"/>
        <v>704135.32</v>
      </c>
      <c r="J165" s="231">
        <f t="shared" si="24"/>
        <v>696466.02999999991</v>
      </c>
      <c r="K165" s="231">
        <f t="shared" si="24"/>
        <v>689835.67</v>
      </c>
      <c r="L165" s="231">
        <f t="shared" si="24"/>
        <v>689237.9800000001</v>
      </c>
      <c r="M165" s="231">
        <f t="shared" si="24"/>
        <v>706762.06999999983</v>
      </c>
      <c r="N165" s="231">
        <f t="shared" si="24"/>
        <v>729929.05999999994</v>
      </c>
      <c r="O165" s="231">
        <f t="shared" si="24"/>
        <v>738687.8600000001</v>
      </c>
      <c r="P165" s="231">
        <f t="shared" si="24"/>
        <v>744652.87000000023</v>
      </c>
      <c r="Q165" s="231">
        <f t="shared" si="24"/>
        <v>8486678.3999999985</v>
      </c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  <c r="AO165" s="68"/>
      <c r="AP165" s="68"/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68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68"/>
      <c r="CB165" s="68"/>
      <c r="CC165" s="68"/>
      <c r="CD165" s="68"/>
      <c r="CE165" s="68"/>
      <c r="CF165" s="68"/>
      <c r="CG165" s="68"/>
      <c r="CH165" s="68"/>
      <c r="CI165" s="68"/>
      <c r="CJ165" s="68"/>
      <c r="CK165" s="68"/>
      <c r="CL165" s="68"/>
      <c r="CM165" s="68"/>
      <c r="CN165" s="68"/>
      <c r="CO165" s="68"/>
      <c r="CP165" s="68"/>
      <c r="CQ165" s="68"/>
      <c r="CR165" s="68"/>
      <c r="CS165" s="68"/>
      <c r="CT165" s="68"/>
      <c r="CU165" s="68"/>
      <c r="CV165" s="68"/>
      <c r="CW165" s="68"/>
      <c r="CX165" s="68"/>
      <c r="CY165" s="68"/>
      <c r="CZ165" s="68"/>
      <c r="DA165" s="68"/>
      <c r="DB165" s="68"/>
      <c r="DC165" s="68"/>
      <c r="DD165" s="68"/>
      <c r="DE165" s="68"/>
      <c r="DF165" s="68"/>
      <c r="DG165" s="68"/>
      <c r="DH165" s="68"/>
      <c r="DI165" s="68"/>
      <c r="DJ165" s="68"/>
      <c r="DK165" s="68"/>
      <c r="DL165" s="68"/>
      <c r="DM165" s="68"/>
      <c r="DN165" s="68"/>
      <c r="DO165" s="68"/>
      <c r="DP165" s="68"/>
      <c r="DQ165" s="68"/>
      <c r="DR165" s="68"/>
      <c r="DS165" s="68"/>
      <c r="DT165" s="68"/>
      <c r="DU165" s="68"/>
      <c r="DV165" s="68"/>
      <c r="DW165" s="68"/>
      <c r="DX165" s="68"/>
      <c r="DY165" s="68"/>
      <c r="DZ165" s="68"/>
      <c r="EA165" s="68"/>
      <c r="EB165" s="68"/>
      <c r="EC165" s="68"/>
      <c r="ED165" s="68"/>
      <c r="EE165" s="68"/>
      <c r="EF165" s="68"/>
      <c r="EG165" s="68"/>
      <c r="EH165" s="68"/>
      <c r="EI165" s="68"/>
      <c r="EJ165" s="68"/>
      <c r="EK165" s="68"/>
      <c r="EL165" s="68"/>
      <c r="EM165" s="68"/>
      <c r="EN165" s="68"/>
      <c r="EO165" s="68"/>
      <c r="EP165" s="68"/>
    </row>
    <row r="166" spans="1:146" s="78" customFormat="1" ht="11.25">
      <c r="A166" s="87" t="str">
        <f t="shared" si="23"/>
        <v>SRC</v>
      </c>
      <c r="C166" s="146"/>
      <c r="D166" s="85"/>
      <c r="E166" s="231"/>
      <c r="F166" s="231"/>
      <c r="G166" s="231"/>
      <c r="H166" s="231"/>
      <c r="I166" s="231"/>
      <c r="J166" s="231"/>
      <c r="K166" s="231"/>
      <c r="L166" s="231"/>
      <c r="M166" s="231"/>
      <c r="N166" s="231"/>
      <c r="O166" s="231"/>
      <c r="P166" s="90"/>
      <c r="Q166" s="71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68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68"/>
      <c r="CB166" s="68"/>
      <c r="CC166" s="68"/>
      <c r="CD166" s="68"/>
      <c r="CE166" s="68"/>
      <c r="CF166" s="68"/>
      <c r="CG166" s="68"/>
      <c r="CH166" s="68"/>
      <c r="CI166" s="68"/>
      <c r="CJ166" s="68"/>
      <c r="CK166" s="68"/>
      <c r="CL166" s="68"/>
      <c r="CM166" s="68"/>
      <c r="CN166" s="68"/>
      <c r="CO166" s="68"/>
      <c r="CP166" s="68"/>
      <c r="CQ166" s="68"/>
      <c r="CR166" s="68"/>
      <c r="CS166" s="68"/>
      <c r="CT166" s="68"/>
      <c r="CU166" s="68"/>
      <c r="CV166" s="68"/>
      <c r="CW166" s="68"/>
      <c r="CX166" s="68"/>
      <c r="CY166" s="68"/>
      <c r="CZ166" s="68"/>
      <c r="DA166" s="68"/>
      <c r="DB166" s="68"/>
      <c r="DC166" s="68"/>
      <c r="DD166" s="68"/>
      <c r="DE166" s="68"/>
      <c r="DF166" s="68"/>
      <c r="DG166" s="68"/>
      <c r="DH166" s="68"/>
      <c r="DI166" s="68"/>
      <c r="DJ166" s="68"/>
      <c r="DK166" s="68"/>
      <c r="DL166" s="68"/>
      <c r="DM166" s="68"/>
      <c r="DN166" s="68"/>
      <c r="DO166" s="68"/>
      <c r="DP166" s="68"/>
      <c r="DQ166" s="68"/>
      <c r="DR166" s="68"/>
      <c r="DS166" s="68"/>
      <c r="DT166" s="68"/>
      <c r="DU166" s="68"/>
      <c r="DV166" s="68"/>
      <c r="DW166" s="68"/>
      <c r="DX166" s="68"/>
      <c r="DY166" s="68"/>
      <c r="DZ166" s="68"/>
      <c r="EA166" s="68"/>
      <c r="EB166" s="68"/>
      <c r="EC166" s="68"/>
      <c r="ED166" s="68"/>
      <c r="EE166" s="68"/>
      <c r="EF166" s="68"/>
      <c r="EG166" s="68"/>
      <c r="EH166" s="68"/>
      <c r="EI166" s="68"/>
      <c r="EJ166" s="68"/>
      <c r="EK166" s="68"/>
      <c r="EL166" s="68"/>
      <c r="EM166" s="68"/>
      <c r="EN166" s="68"/>
      <c r="EO166" s="68"/>
      <c r="EP166" s="68"/>
    </row>
    <row r="167" spans="1:146" s="78" customFormat="1" ht="11.25">
      <c r="A167" s="87" t="str">
        <f t="shared" si="23"/>
        <v>SRCPRIMARY NCP</v>
      </c>
      <c r="B167" s="83">
        <v>6</v>
      </c>
      <c r="C167" s="87" t="s">
        <v>82</v>
      </c>
      <c r="D167" s="74" t="s">
        <v>5</v>
      </c>
      <c r="E167" s="124">
        <f>7188.02-E169</f>
        <v>7009.77</v>
      </c>
      <c r="F167" s="124">
        <f>7225.82-F169</f>
        <v>7054.66</v>
      </c>
      <c r="G167" s="124">
        <f>7218.6-G169</f>
        <v>7060.72</v>
      </c>
      <c r="H167" s="124">
        <f>7535.11-H169</f>
        <v>7389.23</v>
      </c>
      <c r="I167" s="124">
        <f>7783.65-I169</f>
        <v>7636.96</v>
      </c>
      <c r="J167" s="124">
        <f>8609.24-J169</f>
        <v>8461.19</v>
      </c>
      <c r="K167" s="124">
        <f>9280.77-K169</f>
        <v>9129.9500000000007</v>
      </c>
      <c r="L167" s="124">
        <f>9479.92-L169</f>
        <v>9319.34</v>
      </c>
      <c r="M167" s="124">
        <f>8237.91-M169</f>
        <v>8071.8499999999995</v>
      </c>
      <c r="N167" s="124">
        <f>8930.41-N169</f>
        <v>8763.2899999999991</v>
      </c>
      <c r="O167" s="124">
        <f>8524.92-O169</f>
        <v>8360.34</v>
      </c>
      <c r="P167" s="124">
        <f>9743.03-P169</f>
        <v>9566.11</v>
      </c>
      <c r="Q167" s="93">
        <f>SUM(E167:P167)</f>
        <v>97823.41</v>
      </c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  <c r="AO167" s="68"/>
      <c r="AP167" s="68"/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68"/>
      <c r="BN167" s="68"/>
      <c r="BO167" s="68"/>
      <c r="BP167" s="68"/>
      <c r="BQ167" s="68"/>
      <c r="BR167" s="68"/>
      <c r="BS167" s="68"/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68"/>
      <c r="DI167" s="68"/>
      <c r="DJ167" s="68"/>
      <c r="DK167" s="68"/>
      <c r="DL167" s="68"/>
      <c r="DM167" s="68"/>
      <c r="DN167" s="68"/>
      <c r="DO167" s="68"/>
      <c r="DP167" s="68"/>
      <c r="DQ167" s="68"/>
      <c r="DR167" s="68"/>
      <c r="DS167" s="68"/>
      <c r="DT167" s="68"/>
      <c r="DU167" s="68"/>
      <c r="DV167" s="68"/>
      <c r="DW167" s="68"/>
      <c r="DX167" s="68"/>
      <c r="DY167" s="68"/>
      <c r="DZ167" s="68"/>
      <c r="EA167" s="68"/>
      <c r="EB167" s="68"/>
      <c r="EC167" s="68"/>
      <c r="ED167" s="68"/>
      <c r="EE167" s="68"/>
      <c r="EF167" s="68"/>
      <c r="EG167" s="68"/>
      <c r="EH167" s="68"/>
      <c r="EI167" s="68"/>
      <c r="EJ167" s="68"/>
      <c r="EK167" s="68"/>
      <c r="EL167" s="68"/>
      <c r="EM167" s="68"/>
      <c r="EN167" s="68"/>
      <c r="EO167" s="68"/>
      <c r="EP167" s="68"/>
    </row>
    <row r="168" spans="1:146" s="78" customFormat="1" ht="11.25">
      <c r="A168" s="87" t="str">
        <f t="shared" si="23"/>
        <v>SRCPRIMARY 4CP</v>
      </c>
      <c r="B168" s="83">
        <v>7</v>
      </c>
      <c r="C168" s="87" t="s">
        <v>83</v>
      </c>
      <c r="D168" s="74" t="s">
        <v>5</v>
      </c>
      <c r="E168" s="124">
        <f>115537.16-E170</f>
        <v>99219.090000000011</v>
      </c>
      <c r="F168" s="124">
        <f>115307.59-F170</f>
        <v>98772.859999999986</v>
      </c>
      <c r="G168" s="124">
        <f>110770.03-G170</f>
        <v>94611.24</v>
      </c>
      <c r="H168" s="124">
        <f>112176.99-H170</f>
        <v>95839.3</v>
      </c>
      <c r="I168" s="124">
        <f>108022.02-I170</f>
        <v>92030.400000000009</v>
      </c>
      <c r="J168" s="124">
        <f>116232.3-J170</f>
        <v>100164.29000000001</v>
      </c>
      <c r="K168" s="124">
        <f>107673.33-K170</f>
        <v>91767.28</v>
      </c>
      <c r="L168" s="124">
        <f>118098.96-L170</f>
        <v>102119.6</v>
      </c>
      <c r="M168" s="124">
        <f>118746.57-M170</f>
        <v>101485.40000000001</v>
      </c>
      <c r="N168" s="124">
        <f>120941.47-N170</f>
        <v>104948.69</v>
      </c>
      <c r="O168" s="124">
        <f>121664.37-O170</f>
        <v>105552.31999999999</v>
      </c>
      <c r="P168" s="124">
        <f>132690.51-P170</f>
        <v>114185.59000000001</v>
      </c>
      <c r="Q168" s="93">
        <f t="shared" ref="Q168:Q170" si="25">SUM(E168:P168)</f>
        <v>1200696.0600000003</v>
      </c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  <c r="AO168" s="68"/>
      <c r="AP168" s="68"/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68"/>
      <c r="BN168" s="68"/>
      <c r="BO168" s="68"/>
      <c r="BP168" s="68"/>
      <c r="BQ168" s="68"/>
      <c r="BR168" s="68"/>
      <c r="BS168" s="68"/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68"/>
      <c r="DI168" s="68"/>
      <c r="DJ168" s="68"/>
      <c r="DK168" s="68"/>
      <c r="DL168" s="68"/>
      <c r="DM168" s="68"/>
      <c r="DN168" s="68"/>
      <c r="DO168" s="68"/>
      <c r="DP168" s="68"/>
      <c r="DQ168" s="68"/>
      <c r="DR168" s="68"/>
      <c r="DS168" s="68"/>
      <c r="DT168" s="68"/>
      <c r="DU168" s="68"/>
      <c r="DV168" s="68"/>
      <c r="DW168" s="68"/>
      <c r="DX168" s="68"/>
      <c r="DY168" s="68"/>
      <c r="DZ168" s="68"/>
      <c r="EA168" s="68"/>
      <c r="EB168" s="68"/>
      <c r="EC168" s="68"/>
      <c r="ED168" s="68"/>
      <c r="EE168" s="68"/>
      <c r="EF168" s="68"/>
      <c r="EG168" s="68"/>
      <c r="EH168" s="68"/>
      <c r="EI168" s="68"/>
      <c r="EJ168" s="68"/>
      <c r="EK168" s="68"/>
      <c r="EL168" s="68"/>
      <c r="EM168" s="68"/>
      <c r="EN168" s="68"/>
      <c r="EO168" s="68"/>
      <c r="EP168" s="68"/>
    </row>
    <row r="169" spans="1:146" s="78" customFormat="1" ht="11.25">
      <c r="A169" s="87" t="str">
        <f t="shared" si="23"/>
        <v>SRCPRIMARY SUB NCP</v>
      </c>
      <c r="B169" s="83">
        <v>8</v>
      </c>
      <c r="C169" s="87" t="s">
        <v>148</v>
      </c>
      <c r="D169" s="74" t="s">
        <v>5</v>
      </c>
      <c r="E169" s="124">
        <f>+'Prm Sb Rev Rider'!DI72</f>
        <v>178.25</v>
      </c>
      <c r="F169" s="124">
        <f>+'Prm Sb Rev Rider'!DJ72</f>
        <v>171.16</v>
      </c>
      <c r="G169" s="124">
        <f>+'Prm Sb Rev Rider'!DK72</f>
        <v>157.88</v>
      </c>
      <c r="H169" s="124">
        <f>+'Prm Sb Rev Rider'!DL72</f>
        <v>145.88</v>
      </c>
      <c r="I169" s="124">
        <f>+'Prm Sb Rev Rider'!DM72</f>
        <v>146.69</v>
      </c>
      <c r="J169" s="124">
        <f>+'Prm Sb Rev Rider'!DN72</f>
        <v>148.05000000000001</v>
      </c>
      <c r="K169" s="124">
        <f>+'Prm Sb Rev Rider'!DO72</f>
        <v>150.82</v>
      </c>
      <c r="L169" s="124">
        <f>+'Prm Sb Rev Rider'!DP72</f>
        <v>160.57999999999998</v>
      </c>
      <c r="M169" s="124">
        <f>+'Prm Sb Rev Rider'!DQ72</f>
        <v>166.06</v>
      </c>
      <c r="N169" s="124">
        <f>+'Prm Sb Rev Rider'!DR72</f>
        <v>167.12000000000003</v>
      </c>
      <c r="O169" s="124">
        <f>+'Prm Sb Rev Rider'!DS72</f>
        <v>164.57999999999998</v>
      </c>
      <c r="P169" s="124">
        <f>+'Prm Sb Rev Rider'!DT72</f>
        <v>176.92</v>
      </c>
      <c r="Q169" s="124">
        <f t="shared" si="25"/>
        <v>1933.9899999999998</v>
      </c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  <c r="AO169" s="68"/>
      <c r="AP169" s="68"/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68"/>
      <c r="BN169" s="68"/>
      <c r="BO169" s="68"/>
      <c r="BP169" s="68"/>
      <c r="BQ169" s="68"/>
      <c r="BR169" s="68"/>
      <c r="BS169" s="68"/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68"/>
      <c r="DI169" s="68"/>
      <c r="DJ169" s="68"/>
      <c r="DK169" s="68"/>
      <c r="DL169" s="68"/>
      <c r="DM169" s="68"/>
      <c r="DN169" s="68"/>
      <c r="DO169" s="68"/>
      <c r="DP169" s="68"/>
      <c r="DQ169" s="68"/>
      <c r="DR169" s="68"/>
      <c r="DS169" s="68"/>
      <c r="DT169" s="68"/>
      <c r="DU169" s="68"/>
      <c r="DV169" s="68"/>
      <c r="DW169" s="68"/>
      <c r="DX169" s="68"/>
      <c r="DY169" s="68"/>
      <c r="DZ169" s="68"/>
      <c r="EA169" s="68"/>
      <c r="EB169" s="68"/>
      <c r="EC169" s="68"/>
      <c r="ED169" s="68"/>
      <c r="EE169" s="68"/>
      <c r="EF169" s="68"/>
      <c r="EG169" s="68"/>
      <c r="EH169" s="68"/>
      <c r="EI169" s="68"/>
      <c r="EJ169" s="68"/>
      <c r="EK169" s="68"/>
      <c r="EL169" s="68"/>
      <c r="EM169" s="68"/>
      <c r="EN169" s="68"/>
      <c r="EO169" s="68"/>
      <c r="EP169" s="68"/>
    </row>
    <row r="170" spans="1:146" s="78" customFormat="1" ht="11.25">
      <c r="A170" s="87" t="str">
        <f t="shared" si="23"/>
        <v>SRCPRIMARY SUB 4CP</v>
      </c>
      <c r="B170" s="83">
        <v>9</v>
      </c>
      <c r="C170" s="87" t="s">
        <v>149</v>
      </c>
      <c r="D170" s="74" t="s">
        <v>5</v>
      </c>
      <c r="E170" s="124">
        <f>+'Prm Sb Rev Rider'!DI60+'Prm Sb Rev Rider'!DI62</f>
        <v>16318.069999999998</v>
      </c>
      <c r="F170" s="124">
        <f>+'Prm Sb Rev Rider'!DJ60+'Prm Sb Rev Rider'!DJ62</f>
        <v>16534.730000000003</v>
      </c>
      <c r="G170" s="124">
        <f>+'Prm Sb Rev Rider'!DK60+'Prm Sb Rev Rider'!DK62</f>
        <v>16158.789999999997</v>
      </c>
      <c r="H170" s="124">
        <f>+'Prm Sb Rev Rider'!DL60+'Prm Sb Rev Rider'!DL62</f>
        <v>16337.689999999997</v>
      </c>
      <c r="I170" s="124">
        <f>+'Prm Sb Rev Rider'!DM60+'Prm Sb Rev Rider'!DM62</f>
        <v>15991.619999999997</v>
      </c>
      <c r="J170" s="124">
        <f>+'Prm Sb Rev Rider'!DN60+'Prm Sb Rev Rider'!DN62</f>
        <v>16068.009999999998</v>
      </c>
      <c r="K170" s="124">
        <f>+'Prm Sb Rev Rider'!DO60+'Prm Sb Rev Rider'!DO62</f>
        <v>15906.05</v>
      </c>
      <c r="L170" s="124">
        <f>+'Prm Sb Rev Rider'!DP60+'Prm Sb Rev Rider'!DP62</f>
        <v>15979.360000000002</v>
      </c>
      <c r="M170" s="124">
        <f>+'Prm Sb Rev Rider'!DQ60+'Prm Sb Rev Rider'!DQ62</f>
        <v>17261.169999999995</v>
      </c>
      <c r="N170" s="124">
        <f>+'Prm Sb Rev Rider'!DR60+'Prm Sb Rev Rider'!DR62</f>
        <v>15992.780000000002</v>
      </c>
      <c r="O170" s="124">
        <f>+'Prm Sb Rev Rider'!DS60+'Prm Sb Rev Rider'!DS62</f>
        <v>16112.050000000001</v>
      </c>
      <c r="P170" s="124">
        <f>+'Prm Sb Rev Rider'!DT60+'Prm Sb Rev Rider'!DT62</f>
        <v>18504.919999999998</v>
      </c>
      <c r="Q170" s="124">
        <f t="shared" si="25"/>
        <v>197165.24</v>
      </c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  <c r="AN170" s="68"/>
      <c r="AO170" s="68"/>
      <c r="AP170" s="68"/>
      <c r="AQ170" s="68"/>
      <c r="AR170" s="68"/>
      <c r="AS170" s="68"/>
      <c r="AT170" s="68"/>
      <c r="AU170" s="68"/>
      <c r="AV170" s="68"/>
      <c r="AW170" s="68"/>
      <c r="AX170" s="68"/>
      <c r="AY170" s="68"/>
      <c r="AZ170" s="68"/>
      <c r="BA170" s="68"/>
      <c r="BB170" s="68"/>
      <c r="BC170" s="68"/>
      <c r="BD170" s="68"/>
      <c r="BE170" s="68"/>
      <c r="BF170" s="68"/>
      <c r="BG170" s="68"/>
      <c r="BH170" s="68"/>
      <c r="BI170" s="68"/>
      <c r="BJ170" s="68"/>
      <c r="BK170" s="68"/>
      <c r="BL170" s="68"/>
      <c r="BM170" s="68"/>
      <c r="BN170" s="68"/>
      <c r="BO170" s="68"/>
      <c r="BP170" s="68"/>
      <c r="BQ170" s="68"/>
      <c r="BR170" s="68"/>
      <c r="BS170" s="68"/>
      <c r="BT170" s="68"/>
      <c r="BU170" s="68"/>
      <c r="BV170" s="68"/>
      <c r="BW170" s="68"/>
      <c r="BX170" s="68"/>
      <c r="BY170" s="68"/>
      <c r="BZ170" s="68"/>
      <c r="CA170" s="68"/>
      <c r="CB170" s="68"/>
      <c r="CC170" s="68"/>
      <c r="CD170" s="68"/>
      <c r="CE170" s="68"/>
      <c r="CF170" s="68"/>
      <c r="CG170" s="68"/>
      <c r="CH170" s="68"/>
      <c r="CI170" s="68"/>
      <c r="CJ170" s="68"/>
      <c r="CK170" s="68"/>
      <c r="CL170" s="68"/>
      <c r="CM170" s="68"/>
      <c r="CN170" s="68"/>
      <c r="CO170" s="68"/>
      <c r="CP170" s="68"/>
      <c r="CQ170" s="68"/>
      <c r="CR170" s="68"/>
      <c r="CS170" s="68"/>
      <c r="CT170" s="68"/>
      <c r="CU170" s="68"/>
      <c r="CV170" s="68"/>
      <c r="CW170" s="68"/>
      <c r="CX170" s="68"/>
      <c r="CY170" s="68"/>
      <c r="CZ170" s="68"/>
      <c r="DA170" s="68"/>
      <c r="DB170" s="68"/>
      <c r="DC170" s="68"/>
      <c r="DD170" s="68"/>
      <c r="DE170" s="68"/>
      <c r="DF170" s="68"/>
      <c r="DG170" s="68"/>
      <c r="DH170" s="68"/>
      <c r="DI170" s="68"/>
      <c r="DJ170" s="68"/>
      <c r="DK170" s="68"/>
      <c r="DL170" s="68"/>
      <c r="DM170" s="68"/>
      <c r="DN170" s="68"/>
      <c r="DO170" s="68"/>
      <c r="DP170" s="68"/>
      <c r="DQ170" s="68"/>
      <c r="DR170" s="68"/>
      <c r="DS170" s="68"/>
      <c r="DT170" s="68"/>
      <c r="DU170" s="68"/>
      <c r="DV170" s="68"/>
      <c r="DW170" s="68"/>
      <c r="DX170" s="68"/>
      <c r="DY170" s="68"/>
      <c r="DZ170" s="68"/>
      <c r="EA170" s="68"/>
      <c r="EB170" s="68"/>
      <c r="EC170" s="68"/>
      <c r="ED170" s="68"/>
      <c r="EE170" s="68"/>
      <c r="EF170" s="68"/>
      <c r="EG170" s="68"/>
      <c r="EH170" s="68"/>
      <c r="EI170" s="68"/>
      <c r="EJ170" s="68"/>
      <c r="EK170" s="68"/>
      <c r="EL170" s="68"/>
      <c r="EM170" s="68"/>
      <c r="EN170" s="68"/>
      <c r="EO170" s="68"/>
      <c r="EP170" s="68"/>
    </row>
    <row r="171" spans="1:146" s="78" customFormat="1" ht="11.25">
      <c r="A171" s="87" t="str">
        <f t="shared" si="23"/>
        <v>SRCTOTAL PRIMARY</v>
      </c>
      <c r="B171" s="83">
        <v>10</v>
      </c>
      <c r="C171" s="78" t="s">
        <v>19</v>
      </c>
      <c r="D171" s="74"/>
      <c r="E171" s="233">
        <f>SUM(E167:E170)</f>
        <v>122725.18000000001</v>
      </c>
      <c r="F171" s="233">
        <f t="shared" ref="F171:Q171" si="26">SUM(F167:F170)</f>
        <v>122533.41</v>
      </c>
      <c r="G171" s="233">
        <f t="shared" si="26"/>
        <v>117988.63</v>
      </c>
      <c r="H171" s="233">
        <f t="shared" si="26"/>
        <v>119712.1</v>
      </c>
      <c r="I171" s="233">
        <f t="shared" si="26"/>
        <v>115805.67000000001</v>
      </c>
      <c r="J171" s="233">
        <f t="shared" si="26"/>
        <v>124841.54000000001</v>
      </c>
      <c r="K171" s="233">
        <f t="shared" si="26"/>
        <v>116954.1</v>
      </c>
      <c r="L171" s="233">
        <f t="shared" si="26"/>
        <v>127578.88</v>
      </c>
      <c r="M171" s="233">
        <f t="shared" si="26"/>
        <v>126984.48000000001</v>
      </c>
      <c r="N171" s="233">
        <f t="shared" si="26"/>
        <v>129871.87999999999</v>
      </c>
      <c r="O171" s="233">
        <f t="shared" si="26"/>
        <v>130189.29</v>
      </c>
      <c r="P171" s="233">
        <f t="shared" si="26"/>
        <v>142433.54</v>
      </c>
      <c r="Q171" s="233">
        <f t="shared" si="26"/>
        <v>1497618.7000000002</v>
      </c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  <c r="AO171" s="68"/>
      <c r="AP171" s="68"/>
      <c r="AQ171" s="68"/>
      <c r="AR171" s="68"/>
      <c r="AS171" s="68"/>
      <c r="AT171" s="68"/>
      <c r="AU171" s="68"/>
      <c r="AV171" s="68"/>
      <c r="AW171" s="68"/>
      <c r="AX171" s="68"/>
      <c r="AY171" s="68"/>
      <c r="AZ171" s="68"/>
      <c r="BA171" s="68"/>
      <c r="BB171" s="68"/>
      <c r="BC171" s="68"/>
      <c r="BD171" s="68"/>
      <c r="BE171" s="68"/>
      <c r="BF171" s="68"/>
      <c r="BG171" s="68"/>
      <c r="BH171" s="68"/>
      <c r="BI171" s="68"/>
      <c r="BJ171" s="68"/>
      <c r="BK171" s="68"/>
      <c r="BL171" s="68"/>
      <c r="BM171" s="68"/>
      <c r="BN171" s="68"/>
      <c r="BO171" s="68"/>
      <c r="BP171" s="68"/>
      <c r="BQ171" s="68"/>
      <c r="BR171" s="68"/>
      <c r="BS171" s="68"/>
      <c r="BT171" s="68"/>
      <c r="BU171" s="68"/>
      <c r="BV171" s="68"/>
      <c r="BW171" s="68"/>
      <c r="BX171" s="68"/>
      <c r="BY171" s="68"/>
      <c r="BZ171" s="68"/>
      <c r="CA171" s="68"/>
      <c r="CB171" s="68"/>
      <c r="CC171" s="68"/>
      <c r="CD171" s="68"/>
      <c r="CE171" s="68"/>
      <c r="CF171" s="68"/>
      <c r="CG171" s="68"/>
      <c r="CH171" s="68"/>
      <c r="CI171" s="68"/>
      <c r="CJ171" s="68"/>
      <c r="CK171" s="68"/>
      <c r="CL171" s="68"/>
      <c r="CM171" s="68"/>
      <c r="CN171" s="68"/>
      <c r="CO171" s="68"/>
      <c r="CP171" s="68"/>
      <c r="CQ171" s="68"/>
      <c r="CR171" s="68"/>
      <c r="CS171" s="68"/>
      <c r="CT171" s="68"/>
      <c r="CU171" s="68"/>
      <c r="CV171" s="68"/>
      <c r="CW171" s="68"/>
      <c r="CX171" s="68"/>
      <c r="CY171" s="68"/>
      <c r="CZ171" s="68"/>
      <c r="DA171" s="68"/>
      <c r="DB171" s="68"/>
      <c r="DC171" s="68"/>
      <c r="DD171" s="68"/>
      <c r="DE171" s="68"/>
      <c r="DF171" s="68"/>
      <c r="DG171" s="68"/>
      <c r="DH171" s="68"/>
      <c r="DI171" s="68"/>
      <c r="DJ171" s="68"/>
      <c r="DK171" s="68"/>
      <c r="DL171" s="68"/>
      <c r="DM171" s="68"/>
      <c r="DN171" s="68"/>
      <c r="DO171" s="68"/>
      <c r="DP171" s="68"/>
      <c r="DQ171" s="68"/>
      <c r="DR171" s="68"/>
      <c r="DS171" s="68"/>
      <c r="DT171" s="68"/>
      <c r="DU171" s="68"/>
      <c r="DV171" s="68"/>
      <c r="DW171" s="68"/>
      <c r="DX171" s="68"/>
      <c r="DY171" s="68"/>
      <c r="DZ171" s="68"/>
      <c r="EA171" s="68"/>
      <c r="EB171" s="68"/>
      <c r="EC171" s="68"/>
      <c r="ED171" s="68"/>
      <c r="EE171" s="68"/>
      <c r="EF171" s="68"/>
      <c r="EG171" s="68"/>
      <c r="EH171" s="68"/>
      <c r="EI171" s="68"/>
      <c r="EJ171" s="68"/>
      <c r="EK171" s="68"/>
      <c r="EL171" s="68"/>
      <c r="EM171" s="68"/>
      <c r="EN171" s="68"/>
      <c r="EO171" s="68"/>
      <c r="EP171" s="68"/>
    </row>
    <row r="172" spans="1:146" s="78" customFormat="1" ht="11.25">
      <c r="A172" s="87" t="str">
        <f t="shared" si="23"/>
        <v>SRC</v>
      </c>
      <c r="B172" s="83"/>
      <c r="D172" s="74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3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  <c r="AO172" s="68"/>
      <c r="AP172" s="68"/>
      <c r="AQ172" s="68"/>
      <c r="AR172" s="68"/>
      <c r="AS172" s="68"/>
      <c r="AT172" s="68"/>
      <c r="AU172" s="68"/>
      <c r="AV172" s="68"/>
      <c r="AW172" s="68"/>
      <c r="AX172" s="68"/>
      <c r="AY172" s="68"/>
      <c r="AZ172" s="68"/>
      <c r="BA172" s="68"/>
      <c r="BB172" s="68"/>
      <c r="BC172" s="68"/>
      <c r="BD172" s="68"/>
      <c r="BE172" s="68"/>
      <c r="BF172" s="68"/>
      <c r="BG172" s="68"/>
      <c r="BH172" s="68"/>
      <c r="BI172" s="68"/>
      <c r="BJ172" s="68"/>
      <c r="BK172" s="68"/>
      <c r="BL172" s="68"/>
      <c r="BM172" s="68"/>
      <c r="BN172" s="68"/>
      <c r="BO172" s="68"/>
      <c r="BP172" s="68"/>
      <c r="BQ172" s="68"/>
      <c r="BR172" s="68"/>
      <c r="BS172" s="68"/>
      <c r="BT172" s="68"/>
      <c r="BU172" s="68"/>
      <c r="BV172" s="68"/>
      <c r="BW172" s="68"/>
      <c r="BX172" s="68"/>
      <c r="BY172" s="68"/>
      <c r="BZ172" s="68"/>
      <c r="CA172" s="68"/>
      <c r="CB172" s="68"/>
      <c r="CC172" s="68"/>
      <c r="CD172" s="68"/>
      <c r="CE172" s="68"/>
      <c r="CF172" s="68"/>
      <c r="CG172" s="68"/>
      <c r="CH172" s="68"/>
      <c r="CI172" s="68"/>
      <c r="CJ172" s="68"/>
      <c r="CK172" s="68"/>
      <c r="CL172" s="68"/>
      <c r="CM172" s="68"/>
      <c r="CN172" s="68"/>
      <c r="CO172" s="68"/>
      <c r="CP172" s="68"/>
      <c r="CQ172" s="68"/>
      <c r="CR172" s="68"/>
      <c r="CS172" s="68"/>
      <c r="CT172" s="68"/>
      <c r="CU172" s="68"/>
      <c r="CV172" s="68"/>
      <c r="CW172" s="68"/>
      <c r="CX172" s="68"/>
      <c r="CY172" s="68"/>
      <c r="CZ172" s="68"/>
      <c r="DA172" s="68"/>
      <c r="DB172" s="68"/>
      <c r="DC172" s="68"/>
      <c r="DD172" s="68"/>
      <c r="DE172" s="68"/>
      <c r="DF172" s="68"/>
      <c r="DG172" s="68"/>
      <c r="DH172" s="68"/>
      <c r="DI172" s="68"/>
      <c r="DJ172" s="68"/>
      <c r="DK172" s="68"/>
      <c r="DL172" s="68"/>
      <c r="DM172" s="68"/>
      <c r="DN172" s="68"/>
      <c r="DO172" s="68"/>
      <c r="DP172" s="68"/>
      <c r="DQ172" s="68"/>
      <c r="DR172" s="68"/>
      <c r="DS172" s="68"/>
      <c r="DT172" s="68"/>
      <c r="DU172" s="68"/>
      <c r="DV172" s="68"/>
      <c r="DW172" s="68"/>
      <c r="DX172" s="68"/>
      <c r="DY172" s="68"/>
      <c r="DZ172" s="68"/>
      <c r="EA172" s="68"/>
      <c r="EB172" s="68"/>
      <c r="EC172" s="68"/>
      <c r="ED172" s="68"/>
      <c r="EE172" s="68"/>
      <c r="EF172" s="68"/>
      <c r="EG172" s="68"/>
      <c r="EH172" s="68"/>
      <c r="EI172" s="68"/>
      <c r="EJ172" s="68"/>
      <c r="EK172" s="68"/>
      <c r="EL172" s="68"/>
      <c r="EM172" s="68"/>
      <c r="EN172" s="68"/>
      <c r="EO172" s="68"/>
      <c r="EP172" s="68"/>
    </row>
    <row r="173" spans="1:146" s="78" customFormat="1" ht="11.25">
      <c r="A173" s="87" t="str">
        <f t="shared" si="23"/>
        <v xml:space="preserve">SRCTRANSMISSION </v>
      </c>
      <c r="B173" s="83">
        <v>11</v>
      </c>
      <c r="C173" s="96" t="s">
        <v>86</v>
      </c>
      <c r="D173" s="74" t="s">
        <v>6</v>
      </c>
      <c r="E173" s="236">
        <v>0</v>
      </c>
      <c r="F173" s="236">
        <v>0</v>
      </c>
      <c r="G173" s="236">
        <v>0</v>
      </c>
      <c r="H173" s="236">
        <v>0</v>
      </c>
      <c r="I173" s="236">
        <v>0</v>
      </c>
      <c r="J173" s="236">
        <v>0</v>
      </c>
      <c r="K173" s="236">
        <v>0</v>
      </c>
      <c r="L173" s="236">
        <v>0</v>
      </c>
      <c r="M173" s="236">
        <v>0</v>
      </c>
      <c r="N173" s="236">
        <v>0</v>
      </c>
      <c r="O173" s="236">
        <v>0</v>
      </c>
      <c r="P173" s="236">
        <v>0</v>
      </c>
      <c r="Q173" s="93">
        <f>SUM(E173:P173)</f>
        <v>0</v>
      </c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  <c r="AO173" s="68"/>
      <c r="AP173" s="68"/>
      <c r="AQ173" s="68"/>
      <c r="AR173" s="68"/>
      <c r="AS173" s="68"/>
      <c r="AT173" s="68"/>
      <c r="AU173" s="68"/>
      <c r="AV173" s="68"/>
      <c r="AW173" s="68"/>
      <c r="AX173" s="68"/>
      <c r="AY173" s="68"/>
      <c r="AZ173" s="68"/>
      <c r="BA173" s="68"/>
      <c r="BB173" s="68"/>
      <c r="BC173" s="68"/>
      <c r="BD173" s="68"/>
      <c r="BE173" s="68"/>
      <c r="BF173" s="68"/>
      <c r="BG173" s="68"/>
      <c r="BH173" s="68"/>
      <c r="BI173" s="68"/>
      <c r="BJ173" s="68"/>
      <c r="BK173" s="68"/>
      <c r="BL173" s="68"/>
      <c r="BM173" s="68"/>
      <c r="BN173" s="68"/>
      <c r="BO173" s="68"/>
      <c r="BP173" s="68"/>
      <c r="BQ173" s="68"/>
      <c r="BR173" s="68"/>
      <c r="BS173" s="68"/>
      <c r="BT173" s="68"/>
      <c r="BU173" s="68"/>
      <c r="BV173" s="68"/>
      <c r="BW173" s="68"/>
      <c r="BX173" s="68"/>
      <c r="BY173" s="68"/>
      <c r="BZ173" s="68"/>
      <c r="CA173" s="68"/>
      <c r="CB173" s="68"/>
      <c r="CC173" s="68"/>
      <c r="CD173" s="68"/>
      <c r="CE173" s="68"/>
      <c r="CF173" s="68"/>
      <c r="CG173" s="68"/>
      <c r="CH173" s="68"/>
      <c r="CI173" s="68"/>
      <c r="CJ173" s="68"/>
      <c r="CK173" s="68"/>
      <c r="CL173" s="68"/>
      <c r="CM173" s="68"/>
      <c r="CN173" s="68"/>
      <c r="CO173" s="68"/>
      <c r="CP173" s="68"/>
      <c r="CQ173" s="68"/>
      <c r="CR173" s="68"/>
      <c r="CS173" s="68"/>
      <c r="CT173" s="68"/>
      <c r="CU173" s="68"/>
      <c r="CV173" s="68"/>
      <c r="CW173" s="68"/>
      <c r="CX173" s="68"/>
      <c r="CY173" s="68"/>
      <c r="CZ173" s="68"/>
      <c r="DA173" s="68"/>
      <c r="DB173" s="68"/>
      <c r="DC173" s="68"/>
      <c r="DD173" s="68"/>
      <c r="DE173" s="68"/>
      <c r="DF173" s="68"/>
      <c r="DG173" s="68"/>
      <c r="DH173" s="68"/>
      <c r="DI173" s="68"/>
      <c r="DJ173" s="68"/>
      <c r="DK173" s="68"/>
      <c r="DL173" s="68"/>
      <c r="DM173" s="68"/>
      <c r="DN173" s="68"/>
      <c r="DO173" s="68"/>
      <c r="DP173" s="68"/>
      <c r="DQ173" s="68"/>
      <c r="DR173" s="68"/>
      <c r="DS173" s="68"/>
      <c r="DT173" s="68"/>
      <c r="DU173" s="68"/>
      <c r="DV173" s="68"/>
      <c r="DW173" s="68"/>
      <c r="DX173" s="68"/>
      <c r="DY173" s="68"/>
      <c r="DZ173" s="68"/>
      <c r="EA173" s="68"/>
      <c r="EB173" s="68"/>
      <c r="EC173" s="68"/>
      <c r="ED173" s="68"/>
      <c r="EE173" s="68"/>
      <c r="EF173" s="68"/>
      <c r="EG173" s="68"/>
      <c r="EH173" s="68"/>
      <c r="EI173" s="68"/>
      <c r="EJ173" s="68"/>
      <c r="EK173" s="68"/>
      <c r="EL173" s="68"/>
      <c r="EM173" s="68"/>
      <c r="EN173" s="68"/>
      <c r="EO173" s="68"/>
      <c r="EP173" s="68"/>
    </row>
    <row r="174" spans="1:146" s="78" customFormat="1" ht="11.25">
      <c r="A174" s="87" t="str">
        <f t="shared" si="23"/>
        <v>SRC</v>
      </c>
      <c r="D174" s="85"/>
      <c r="E174" s="231"/>
      <c r="F174" s="231"/>
      <c r="G174" s="231"/>
      <c r="H174" s="231"/>
      <c r="I174" s="231"/>
      <c r="J174" s="231"/>
      <c r="K174" s="231"/>
      <c r="L174" s="231"/>
      <c r="M174" s="231"/>
      <c r="N174" s="231"/>
      <c r="O174" s="231"/>
      <c r="P174" s="231"/>
      <c r="Q174" s="71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  <c r="AO174" s="68"/>
      <c r="AP174" s="68"/>
      <c r="AQ174" s="68"/>
      <c r="AR174" s="68"/>
      <c r="AS174" s="68"/>
      <c r="AT174" s="68"/>
      <c r="AU174" s="68"/>
      <c r="AV174" s="68"/>
      <c r="AW174" s="68"/>
      <c r="AX174" s="68"/>
      <c r="AY174" s="68"/>
      <c r="AZ174" s="68"/>
      <c r="BA174" s="68"/>
      <c r="BB174" s="68"/>
      <c r="BC174" s="68"/>
      <c r="BD174" s="68"/>
      <c r="BE174" s="68"/>
      <c r="BF174" s="68"/>
      <c r="BG174" s="68"/>
      <c r="BH174" s="68"/>
      <c r="BI174" s="68"/>
      <c r="BJ174" s="68"/>
      <c r="BK174" s="68"/>
      <c r="BL174" s="68"/>
      <c r="BM174" s="68"/>
      <c r="BN174" s="68"/>
      <c r="BO174" s="68"/>
      <c r="BP174" s="68"/>
      <c r="BQ174" s="68"/>
      <c r="BR174" s="68"/>
      <c r="BS174" s="68"/>
      <c r="BT174" s="68"/>
      <c r="BU174" s="68"/>
      <c r="BV174" s="68"/>
      <c r="BW174" s="68"/>
      <c r="BX174" s="68"/>
      <c r="BY174" s="68"/>
      <c r="BZ174" s="68"/>
      <c r="CA174" s="68"/>
      <c r="CB174" s="68"/>
      <c r="CC174" s="68"/>
      <c r="CD174" s="68"/>
      <c r="CE174" s="68"/>
      <c r="CF174" s="68"/>
      <c r="CG174" s="68"/>
      <c r="CH174" s="68"/>
      <c r="CI174" s="68"/>
      <c r="CJ174" s="68"/>
      <c r="CK174" s="68"/>
      <c r="CL174" s="68"/>
      <c r="CM174" s="68"/>
      <c r="CN174" s="68"/>
      <c r="CO174" s="68"/>
      <c r="CP174" s="68"/>
      <c r="CQ174" s="68"/>
      <c r="CR174" s="68"/>
      <c r="CS174" s="68"/>
      <c r="CT174" s="68"/>
      <c r="CU174" s="68"/>
      <c r="CV174" s="68"/>
      <c r="CW174" s="68"/>
      <c r="CX174" s="68"/>
      <c r="CY174" s="68"/>
      <c r="CZ174" s="68"/>
      <c r="DA174" s="68"/>
      <c r="DB174" s="68"/>
      <c r="DC174" s="68"/>
      <c r="DD174" s="68"/>
      <c r="DE174" s="68"/>
      <c r="DF174" s="68"/>
      <c r="DG174" s="68"/>
      <c r="DH174" s="68"/>
      <c r="DI174" s="68"/>
      <c r="DJ174" s="68"/>
      <c r="DK174" s="68"/>
      <c r="DL174" s="68"/>
      <c r="DM174" s="68"/>
      <c r="DN174" s="68"/>
      <c r="DO174" s="68"/>
      <c r="DP174" s="68"/>
      <c r="DQ174" s="68"/>
      <c r="DR174" s="68"/>
      <c r="DS174" s="68"/>
      <c r="DT174" s="68"/>
      <c r="DU174" s="68"/>
      <c r="DV174" s="68"/>
      <c r="DW174" s="68"/>
      <c r="DX174" s="68"/>
      <c r="DY174" s="68"/>
      <c r="DZ174" s="68"/>
      <c r="EA174" s="68"/>
      <c r="EB174" s="68"/>
      <c r="EC174" s="68"/>
      <c r="ED174" s="68"/>
      <c r="EE174" s="68"/>
      <c r="EF174" s="68"/>
      <c r="EG174" s="68"/>
      <c r="EH174" s="68"/>
      <c r="EI174" s="68"/>
      <c r="EJ174" s="68"/>
      <c r="EK174" s="68"/>
      <c r="EL174" s="68"/>
      <c r="EM174" s="68"/>
      <c r="EN174" s="68"/>
      <c r="EO174" s="68"/>
      <c r="EP174" s="68"/>
    </row>
    <row r="175" spans="1:146" s="78" customFormat="1" ht="11.25">
      <c r="A175" s="87" t="str">
        <f t="shared" si="23"/>
        <v>SRCLIGHTING</v>
      </c>
      <c r="B175" s="83">
        <v>12</v>
      </c>
      <c r="C175" s="68" t="s">
        <v>21</v>
      </c>
      <c r="D175" s="74" t="s">
        <v>4</v>
      </c>
      <c r="E175" s="90">
        <v>138925.97</v>
      </c>
      <c r="F175" s="90">
        <v>139668.68999999997</v>
      </c>
      <c r="G175" s="90">
        <v>138418.52000000002</v>
      </c>
      <c r="H175" s="90">
        <v>138718.44</v>
      </c>
      <c r="I175" s="90">
        <v>137798.60999999999</v>
      </c>
      <c r="J175" s="90">
        <v>138333.34999999995</v>
      </c>
      <c r="K175" s="90">
        <v>138246.53999999998</v>
      </c>
      <c r="L175" s="90">
        <v>138264.62</v>
      </c>
      <c r="M175" s="90">
        <v>137656.27000000002</v>
      </c>
      <c r="N175" s="90">
        <v>138165.10999999999</v>
      </c>
      <c r="O175" s="90">
        <v>137043.87</v>
      </c>
      <c r="P175" s="90">
        <v>156281.30999999997</v>
      </c>
      <c r="Q175" s="93">
        <f>SUM(E175:P175)</f>
        <v>1677521.2999999998</v>
      </c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  <c r="AO175" s="68"/>
      <c r="AP175" s="68"/>
      <c r="AQ175" s="68"/>
      <c r="AR175" s="68"/>
      <c r="AS175" s="68"/>
      <c r="AT175" s="68"/>
      <c r="AU175" s="68"/>
      <c r="AV175" s="68"/>
      <c r="AW175" s="68"/>
      <c r="AX175" s="68"/>
      <c r="AY175" s="68"/>
      <c r="AZ175" s="68"/>
      <c r="BA175" s="68"/>
      <c r="BB175" s="68"/>
      <c r="BC175" s="68"/>
      <c r="BD175" s="68"/>
      <c r="BE175" s="68"/>
      <c r="BF175" s="68"/>
      <c r="BG175" s="68"/>
      <c r="BH175" s="68"/>
      <c r="BI175" s="68"/>
      <c r="BJ175" s="68"/>
      <c r="BK175" s="68"/>
      <c r="BL175" s="68"/>
      <c r="BM175" s="68"/>
      <c r="BN175" s="68"/>
      <c r="BO175" s="68"/>
      <c r="BP175" s="68"/>
      <c r="BQ175" s="68"/>
      <c r="BR175" s="68"/>
      <c r="BS175" s="68"/>
      <c r="BT175" s="68"/>
      <c r="BU175" s="68"/>
      <c r="BV175" s="68"/>
      <c r="BW175" s="68"/>
      <c r="BX175" s="68"/>
      <c r="BY175" s="68"/>
      <c r="BZ175" s="68"/>
      <c r="CA175" s="68"/>
      <c r="CB175" s="68"/>
      <c r="CC175" s="68"/>
      <c r="CD175" s="68"/>
      <c r="CE175" s="68"/>
      <c r="CF175" s="68"/>
      <c r="CG175" s="68"/>
      <c r="CH175" s="68"/>
      <c r="CI175" s="68"/>
      <c r="CJ175" s="68"/>
      <c r="CK175" s="68"/>
      <c r="CL175" s="68"/>
      <c r="CM175" s="68"/>
      <c r="CN175" s="68"/>
      <c r="CO175" s="68"/>
      <c r="CP175" s="68"/>
      <c r="CQ175" s="68"/>
      <c r="CR175" s="68"/>
      <c r="CS175" s="68"/>
      <c r="CT175" s="68"/>
      <c r="CU175" s="68"/>
      <c r="CV175" s="68"/>
      <c r="CW175" s="68"/>
      <c r="CX175" s="68"/>
      <c r="CY175" s="68"/>
      <c r="CZ175" s="68"/>
      <c r="DA175" s="68"/>
      <c r="DB175" s="68"/>
      <c r="DC175" s="68"/>
      <c r="DD175" s="68"/>
      <c r="DE175" s="68"/>
      <c r="DF175" s="68"/>
      <c r="DG175" s="68"/>
      <c r="DH175" s="68"/>
      <c r="DI175" s="68"/>
      <c r="DJ175" s="68"/>
      <c r="DK175" s="68"/>
      <c r="DL175" s="68"/>
      <c r="DM175" s="68"/>
      <c r="DN175" s="68"/>
      <c r="DO175" s="68"/>
      <c r="DP175" s="68"/>
      <c r="DQ175" s="68"/>
      <c r="DR175" s="68"/>
      <c r="DS175" s="68"/>
      <c r="DT175" s="68"/>
      <c r="DU175" s="68"/>
      <c r="DV175" s="68"/>
      <c r="DW175" s="68"/>
      <c r="DX175" s="68"/>
      <c r="DY175" s="68"/>
      <c r="DZ175" s="68"/>
      <c r="EA175" s="68"/>
      <c r="EB175" s="68"/>
      <c r="EC175" s="68"/>
      <c r="ED175" s="68"/>
      <c r="EE175" s="68"/>
      <c r="EF175" s="68"/>
      <c r="EG175" s="68"/>
      <c r="EH175" s="68"/>
      <c r="EI175" s="68"/>
      <c r="EJ175" s="68"/>
      <c r="EK175" s="68"/>
      <c r="EL175" s="68"/>
      <c r="EM175" s="68"/>
      <c r="EN175" s="68"/>
      <c r="EO175" s="68"/>
      <c r="EP175" s="68"/>
    </row>
    <row r="176" spans="1:146" s="78" customFormat="1" ht="11.25">
      <c r="A176" s="87" t="str">
        <f t="shared" si="23"/>
        <v>SRC</v>
      </c>
      <c r="B176" s="83"/>
      <c r="D176" s="85"/>
      <c r="E176" s="231"/>
      <c r="F176" s="231"/>
      <c r="G176" s="231"/>
      <c r="H176" s="231"/>
      <c r="I176" s="231"/>
      <c r="J176" s="231"/>
      <c r="K176" s="231"/>
      <c r="L176" s="231"/>
      <c r="M176" s="231"/>
      <c r="N176" s="231"/>
      <c r="O176" s="231"/>
      <c r="P176" s="90"/>
      <c r="Q176" s="71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  <c r="AO176" s="68"/>
      <c r="AP176" s="68"/>
      <c r="AQ176" s="68"/>
      <c r="AR176" s="68"/>
      <c r="AS176" s="68"/>
      <c r="AT176" s="68"/>
      <c r="AU176" s="68"/>
      <c r="AV176" s="68"/>
      <c r="AW176" s="68"/>
      <c r="AX176" s="68"/>
      <c r="AY176" s="68"/>
      <c r="AZ176" s="68"/>
      <c r="BA176" s="68"/>
      <c r="BB176" s="68"/>
      <c r="BC176" s="68"/>
      <c r="BD176" s="68"/>
      <c r="BE176" s="68"/>
      <c r="BF176" s="68"/>
      <c r="BG176" s="68"/>
      <c r="BH176" s="68"/>
      <c r="BI176" s="68"/>
      <c r="BJ176" s="68"/>
      <c r="BK176" s="68"/>
      <c r="BL176" s="68"/>
      <c r="BM176" s="68"/>
      <c r="BN176" s="68"/>
      <c r="BO176" s="68"/>
      <c r="BP176" s="68"/>
      <c r="BQ176" s="68"/>
      <c r="BR176" s="68"/>
      <c r="BS176" s="68"/>
      <c r="BT176" s="68"/>
      <c r="BU176" s="68"/>
      <c r="BV176" s="68"/>
      <c r="BW176" s="68"/>
      <c r="BX176" s="68"/>
      <c r="BY176" s="68"/>
      <c r="BZ176" s="68"/>
      <c r="CA176" s="68"/>
      <c r="CB176" s="68"/>
      <c r="CC176" s="68"/>
      <c r="CD176" s="68"/>
      <c r="CE176" s="68"/>
      <c r="CF176" s="68"/>
      <c r="CG176" s="68"/>
      <c r="CH176" s="68"/>
      <c r="CI176" s="68"/>
      <c r="CJ176" s="68"/>
      <c r="CK176" s="68"/>
      <c r="CL176" s="68"/>
      <c r="CM176" s="68"/>
      <c r="CN176" s="68"/>
      <c r="CO176" s="68"/>
      <c r="CP176" s="68"/>
      <c r="CQ176" s="68"/>
      <c r="CR176" s="68"/>
      <c r="CS176" s="68"/>
      <c r="CT176" s="68"/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68"/>
      <c r="DI176" s="68"/>
      <c r="DJ176" s="68"/>
      <c r="DK176" s="68"/>
      <c r="DL176" s="68"/>
      <c r="DM176" s="68"/>
      <c r="DN176" s="68"/>
      <c r="DO176" s="68"/>
      <c r="DP176" s="68"/>
      <c r="DQ176" s="68"/>
      <c r="DR176" s="68"/>
      <c r="DS176" s="68"/>
      <c r="DT176" s="68"/>
      <c r="DU176" s="68"/>
      <c r="DV176" s="68"/>
      <c r="DW176" s="68"/>
      <c r="DX176" s="68"/>
      <c r="DY176" s="68"/>
      <c r="DZ176" s="68"/>
      <c r="EA176" s="68"/>
      <c r="EB176" s="68"/>
      <c r="EC176" s="68"/>
      <c r="ED176" s="68"/>
      <c r="EE176" s="68"/>
      <c r="EF176" s="68"/>
      <c r="EG176" s="68"/>
      <c r="EH176" s="68"/>
      <c r="EI176" s="68"/>
      <c r="EJ176" s="68"/>
      <c r="EK176" s="68"/>
      <c r="EL176" s="68"/>
      <c r="EM176" s="68"/>
      <c r="EN176" s="68"/>
      <c r="EO176" s="68"/>
      <c r="EP176" s="68"/>
    </row>
    <row r="177" spans="1:146" s="78" customFormat="1" ht="11.25">
      <c r="A177" s="87" t="str">
        <f t="shared" si="23"/>
        <v>SRCTOTAL RETAIL</v>
      </c>
      <c r="B177" s="83">
        <v>13</v>
      </c>
      <c r="C177" s="114" t="s">
        <v>22</v>
      </c>
      <c r="D177" s="212"/>
      <c r="E177" s="234">
        <v>2150481.5699999998</v>
      </c>
      <c r="F177" s="234">
        <v>1887416.13</v>
      </c>
      <c r="G177" s="234">
        <v>2000101.9</v>
      </c>
      <c r="H177" s="234">
        <v>2076523.4300000002</v>
      </c>
      <c r="I177" s="234">
        <v>1919373.81</v>
      </c>
      <c r="J177" s="234">
        <v>1881839.45</v>
      </c>
      <c r="K177" s="234">
        <v>1872308.73</v>
      </c>
      <c r="L177" s="234">
        <v>1966297.8400000003</v>
      </c>
      <c r="M177" s="234">
        <v>2333065.1999999997</v>
      </c>
      <c r="N177" s="234">
        <v>2733431.4299999997</v>
      </c>
      <c r="O177" s="234">
        <v>2734977.35</v>
      </c>
      <c r="P177" s="234">
        <v>2989366.4400000004</v>
      </c>
      <c r="Q177" s="115">
        <v>26545183.279999997</v>
      </c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  <c r="AO177" s="68"/>
      <c r="AP177" s="68"/>
      <c r="AQ177" s="68"/>
      <c r="AR177" s="68"/>
      <c r="AS177" s="68"/>
      <c r="AT177" s="68"/>
      <c r="AU177" s="68"/>
      <c r="AV177" s="68"/>
      <c r="AW177" s="68"/>
      <c r="AX177" s="68"/>
      <c r="AY177" s="68"/>
      <c r="AZ177" s="68"/>
      <c r="BA177" s="68"/>
      <c r="BB177" s="68"/>
      <c r="BC177" s="68"/>
      <c r="BD177" s="68"/>
      <c r="BE177" s="68"/>
      <c r="BF177" s="68"/>
      <c r="BG177" s="68"/>
      <c r="BH177" s="68"/>
      <c r="BI177" s="68"/>
      <c r="BJ177" s="68"/>
      <c r="BK177" s="68"/>
      <c r="BL177" s="68"/>
      <c r="BM177" s="68"/>
      <c r="BN177" s="68"/>
      <c r="BO177" s="68"/>
      <c r="BP177" s="68"/>
      <c r="BQ177" s="68"/>
      <c r="BR177" s="68"/>
      <c r="BS177" s="68"/>
      <c r="BT177" s="68"/>
      <c r="BU177" s="68"/>
      <c r="BV177" s="68"/>
      <c r="BW177" s="68"/>
      <c r="BX177" s="68"/>
      <c r="BY177" s="68"/>
      <c r="BZ177" s="68"/>
      <c r="CA177" s="68"/>
      <c r="CB177" s="68"/>
      <c r="CC177" s="68"/>
      <c r="CD177" s="68"/>
      <c r="CE177" s="68"/>
      <c r="CF177" s="68"/>
      <c r="CG177" s="68"/>
      <c r="CH177" s="68"/>
      <c r="CI177" s="68"/>
      <c r="CJ177" s="68"/>
      <c r="CK177" s="68"/>
      <c r="CL177" s="68"/>
      <c r="CM177" s="68"/>
      <c r="CN177" s="68"/>
      <c r="CO177" s="68"/>
      <c r="CP177" s="68"/>
      <c r="CQ177" s="68"/>
      <c r="CR177" s="68"/>
      <c r="CS177" s="68"/>
      <c r="CT177" s="68"/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68"/>
      <c r="DI177" s="68"/>
      <c r="DJ177" s="68"/>
      <c r="DK177" s="68"/>
      <c r="DL177" s="68"/>
      <c r="DM177" s="68"/>
      <c r="DN177" s="68"/>
      <c r="DO177" s="68"/>
      <c r="DP177" s="68"/>
      <c r="DQ177" s="68"/>
      <c r="DR177" s="68"/>
      <c r="DS177" s="68"/>
      <c r="DT177" s="68"/>
      <c r="DU177" s="68"/>
      <c r="DV177" s="68"/>
      <c r="DW177" s="68"/>
      <c r="DX177" s="68"/>
      <c r="DY177" s="68"/>
      <c r="DZ177" s="68"/>
      <c r="EA177" s="68"/>
      <c r="EB177" s="68"/>
      <c r="EC177" s="68"/>
      <c r="ED177" s="68"/>
      <c r="EE177" s="68"/>
      <c r="EF177" s="68"/>
      <c r="EG177" s="68"/>
      <c r="EH177" s="68"/>
      <c r="EI177" s="68"/>
      <c r="EJ177" s="68"/>
      <c r="EK177" s="68"/>
      <c r="EL177" s="68"/>
      <c r="EM177" s="68"/>
      <c r="EN177" s="68"/>
      <c r="EO177" s="68"/>
      <c r="EP177" s="68"/>
    </row>
    <row r="178" spans="1:146" s="78" customFormat="1" ht="11.25">
      <c r="A178" s="87" t="str">
        <f t="shared" si="23"/>
        <v>SRC</v>
      </c>
      <c r="C178" s="212"/>
      <c r="D178" s="212"/>
      <c r="E178" s="231"/>
      <c r="F178" s="231"/>
      <c r="G178" s="231"/>
      <c r="H178" s="231"/>
      <c r="I178" s="231"/>
      <c r="J178" s="231"/>
      <c r="K178" s="231"/>
      <c r="L178" s="231"/>
      <c r="M178" s="231"/>
      <c r="N178" s="231"/>
      <c r="O178" s="231"/>
      <c r="P178" s="90"/>
      <c r="Q178" s="93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  <c r="AO178" s="68"/>
      <c r="AP178" s="68"/>
      <c r="AQ178" s="68"/>
      <c r="AR178" s="68"/>
      <c r="AS178" s="68"/>
      <c r="AT178" s="68"/>
      <c r="AU178" s="68"/>
      <c r="AV178" s="68"/>
      <c r="AW178" s="68"/>
      <c r="AX178" s="68"/>
      <c r="AY178" s="68"/>
      <c r="AZ178" s="68"/>
      <c r="BA178" s="68"/>
      <c r="BB178" s="68"/>
      <c r="BC178" s="68"/>
      <c r="BD178" s="68"/>
      <c r="BE178" s="68"/>
      <c r="BF178" s="68"/>
      <c r="BG178" s="68"/>
      <c r="BH178" s="68"/>
      <c r="BI178" s="68"/>
      <c r="BJ178" s="68"/>
      <c r="BK178" s="68"/>
      <c r="BL178" s="68"/>
      <c r="BM178" s="68"/>
      <c r="BN178" s="68"/>
      <c r="BO178" s="68"/>
      <c r="BP178" s="68"/>
      <c r="BQ178" s="68"/>
      <c r="BR178" s="68"/>
      <c r="BS178" s="68"/>
      <c r="BT178" s="68"/>
      <c r="BU178" s="68"/>
      <c r="BV178" s="68"/>
      <c r="BW178" s="68"/>
      <c r="BX178" s="68"/>
      <c r="BY178" s="68"/>
      <c r="BZ178" s="68"/>
      <c r="CA178" s="68"/>
      <c r="CB178" s="68"/>
      <c r="CC178" s="68"/>
      <c r="CD178" s="68"/>
      <c r="CE178" s="68"/>
      <c r="CF178" s="68"/>
      <c r="CG178" s="68"/>
      <c r="CH178" s="68"/>
      <c r="CI178" s="68"/>
      <c r="CJ178" s="68"/>
      <c r="CK178" s="68"/>
      <c r="CL178" s="68"/>
      <c r="CM178" s="68"/>
      <c r="CN178" s="68"/>
      <c r="CO178" s="68"/>
      <c r="CP178" s="68"/>
      <c r="CQ178" s="68"/>
      <c r="CR178" s="68"/>
      <c r="CS178" s="68"/>
      <c r="CT178" s="68"/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68"/>
      <c r="DI178" s="68"/>
      <c r="DJ178" s="68"/>
      <c r="DK178" s="68"/>
      <c r="DL178" s="68"/>
      <c r="DM178" s="68"/>
      <c r="DN178" s="68"/>
      <c r="DO178" s="68"/>
      <c r="DP178" s="68"/>
      <c r="DQ178" s="68"/>
      <c r="DR178" s="68"/>
      <c r="DS178" s="68"/>
      <c r="DT178" s="68"/>
      <c r="DU178" s="68"/>
      <c r="DV178" s="68"/>
      <c r="DW178" s="68"/>
      <c r="DX178" s="68"/>
      <c r="DY178" s="68"/>
      <c r="DZ178" s="68"/>
      <c r="EA178" s="68"/>
      <c r="EB178" s="68"/>
      <c r="EC178" s="68"/>
      <c r="ED178" s="68"/>
      <c r="EE178" s="68"/>
      <c r="EF178" s="68"/>
      <c r="EG178" s="68"/>
      <c r="EH178" s="68"/>
      <c r="EI178" s="68"/>
      <c r="EJ178" s="68"/>
      <c r="EK178" s="68"/>
      <c r="EL178" s="68"/>
      <c r="EM178" s="68"/>
      <c r="EN178" s="68"/>
      <c r="EO178" s="68"/>
      <c r="EP178" s="68"/>
    </row>
    <row r="179" spans="1:146" s="78" customFormat="1" ht="11.25">
      <c r="A179" s="87" t="str">
        <f t="shared" si="23"/>
        <v>SRC</v>
      </c>
      <c r="B179" s="83">
        <v>12</v>
      </c>
      <c r="C179" s="89"/>
      <c r="D179" s="7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03"/>
      <c r="R179" s="89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  <c r="AO179" s="68"/>
      <c r="AP179" s="68"/>
      <c r="AQ179" s="68"/>
      <c r="AR179" s="68"/>
      <c r="AS179" s="68"/>
      <c r="AT179" s="68"/>
      <c r="AU179" s="68"/>
      <c r="AV179" s="68"/>
      <c r="AW179" s="68"/>
      <c r="AX179" s="68"/>
      <c r="AY179" s="68"/>
      <c r="AZ179" s="68"/>
      <c r="BA179" s="68"/>
      <c r="BB179" s="68"/>
      <c r="BC179" s="68"/>
      <c r="BD179" s="68"/>
      <c r="BE179" s="68"/>
      <c r="BF179" s="68"/>
      <c r="BG179" s="68"/>
      <c r="BH179" s="68"/>
      <c r="BI179" s="68"/>
      <c r="BJ179" s="68"/>
      <c r="BK179" s="68"/>
      <c r="BL179" s="68"/>
      <c r="BM179" s="68"/>
      <c r="BN179" s="68"/>
      <c r="BO179" s="68"/>
      <c r="BP179" s="68"/>
      <c r="BQ179" s="68"/>
      <c r="BR179" s="68"/>
      <c r="BS179" s="68"/>
      <c r="BT179" s="68"/>
      <c r="BU179" s="68"/>
      <c r="BV179" s="68"/>
      <c r="BW179" s="68"/>
      <c r="BX179" s="68"/>
      <c r="BY179" s="68"/>
      <c r="BZ179" s="68"/>
      <c r="CA179" s="68"/>
      <c r="CB179" s="68"/>
      <c r="CC179" s="68"/>
      <c r="CD179" s="68"/>
      <c r="CE179" s="68"/>
      <c r="CF179" s="68"/>
      <c r="CG179" s="68"/>
      <c r="CH179" s="68"/>
      <c r="CI179" s="68"/>
      <c r="CJ179" s="68"/>
      <c r="CK179" s="68"/>
      <c r="CL179" s="68"/>
      <c r="CM179" s="68"/>
      <c r="CN179" s="68"/>
      <c r="CO179" s="68"/>
      <c r="CP179" s="68"/>
      <c r="CQ179" s="68"/>
      <c r="CR179" s="68"/>
      <c r="CS179" s="68"/>
      <c r="CT179" s="68"/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68"/>
      <c r="DI179" s="68"/>
      <c r="DJ179" s="68"/>
      <c r="DK179" s="68"/>
      <c r="DL179" s="68"/>
      <c r="DM179" s="68"/>
      <c r="DN179" s="68"/>
      <c r="DO179" s="68"/>
      <c r="DP179" s="68"/>
      <c r="DQ179" s="68"/>
      <c r="DR179" s="68"/>
      <c r="DS179" s="68"/>
      <c r="DT179" s="68"/>
      <c r="DU179" s="68"/>
      <c r="DV179" s="68"/>
      <c r="DW179" s="68"/>
      <c r="DX179" s="68"/>
      <c r="DY179" s="68"/>
      <c r="DZ179" s="68"/>
      <c r="EA179" s="68"/>
      <c r="EB179" s="68"/>
      <c r="EC179" s="68"/>
      <c r="ED179" s="68"/>
      <c r="EE179" s="68"/>
      <c r="EF179" s="68"/>
      <c r="EG179" s="68"/>
      <c r="EH179" s="68"/>
      <c r="EI179" s="68"/>
      <c r="EJ179" s="68"/>
      <c r="EK179" s="68"/>
      <c r="EL179" s="68"/>
      <c r="EM179" s="68"/>
      <c r="EN179" s="68"/>
      <c r="EO179" s="68"/>
      <c r="EP179" s="68"/>
    </row>
    <row r="180" spans="1:146" s="78" customFormat="1" ht="11.25">
      <c r="A180" s="87" t="str">
        <f t="shared" si="23"/>
        <v>SRC</v>
      </c>
      <c r="B180" s="83">
        <v>13</v>
      </c>
      <c r="C180" s="89"/>
      <c r="D180" s="7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03"/>
      <c r="R180" s="133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  <c r="AO180" s="68"/>
      <c r="AP180" s="68"/>
      <c r="AQ180" s="68"/>
      <c r="AR180" s="68"/>
      <c r="AS180" s="68"/>
      <c r="AT180" s="68"/>
      <c r="AU180" s="68"/>
      <c r="AV180" s="68"/>
      <c r="AW180" s="68"/>
      <c r="AX180" s="68"/>
      <c r="AY180" s="68"/>
      <c r="AZ180" s="68"/>
      <c r="BA180" s="68"/>
      <c r="BB180" s="68"/>
      <c r="BC180" s="68"/>
      <c r="BD180" s="68"/>
      <c r="BE180" s="68"/>
      <c r="BF180" s="68"/>
      <c r="BG180" s="68"/>
      <c r="BH180" s="68"/>
      <c r="BI180" s="68"/>
      <c r="BJ180" s="68"/>
      <c r="BK180" s="68"/>
      <c r="BL180" s="68"/>
      <c r="BM180" s="68"/>
      <c r="BN180" s="68"/>
      <c r="BO180" s="68"/>
      <c r="BP180" s="68"/>
      <c r="BQ180" s="68"/>
      <c r="BR180" s="68"/>
      <c r="BS180" s="68"/>
      <c r="BT180" s="68"/>
      <c r="BU180" s="68"/>
      <c r="BV180" s="68"/>
      <c r="BW180" s="68"/>
      <c r="BX180" s="68"/>
      <c r="BY180" s="68"/>
      <c r="BZ180" s="68"/>
      <c r="CA180" s="68"/>
      <c r="CB180" s="68"/>
      <c r="CC180" s="68"/>
      <c r="CD180" s="68"/>
      <c r="CE180" s="68"/>
      <c r="CF180" s="68"/>
      <c r="CG180" s="68"/>
      <c r="CH180" s="68"/>
      <c r="CI180" s="68"/>
      <c r="CJ180" s="68"/>
      <c r="CK180" s="68"/>
      <c r="CL180" s="68"/>
      <c r="CM180" s="68"/>
      <c r="CN180" s="68"/>
      <c r="CO180" s="68"/>
      <c r="CP180" s="68"/>
      <c r="CQ180" s="68"/>
      <c r="CR180" s="68"/>
      <c r="CS180" s="68"/>
      <c r="CT180" s="68"/>
      <c r="CU180" s="68"/>
      <c r="CV180" s="68"/>
      <c r="CW180" s="68"/>
      <c r="CX180" s="68"/>
      <c r="CY180" s="68"/>
      <c r="CZ180" s="68"/>
      <c r="DA180" s="68"/>
      <c r="DB180" s="68"/>
      <c r="DC180" s="68"/>
      <c r="DD180" s="68"/>
      <c r="DE180" s="68"/>
      <c r="DF180" s="68"/>
      <c r="DG180" s="68"/>
      <c r="DH180" s="68"/>
      <c r="DI180" s="68"/>
      <c r="DJ180" s="68"/>
      <c r="DK180" s="68"/>
      <c r="DL180" s="68"/>
      <c r="DM180" s="68"/>
      <c r="DN180" s="68"/>
      <c r="DO180" s="68"/>
      <c r="DP180" s="68"/>
      <c r="DQ180" s="68"/>
      <c r="DR180" s="68"/>
      <c r="DS180" s="68"/>
      <c r="DT180" s="68"/>
      <c r="DU180" s="68"/>
      <c r="DV180" s="68"/>
      <c r="DW180" s="68"/>
      <c r="DX180" s="68"/>
      <c r="DY180" s="68"/>
      <c r="DZ180" s="68"/>
      <c r="EA180" s="68"/>
      <c r="EB180" s="68"/>
      <c r="EC180" s="68"/>
      <c r="ED180" s="68"/>
      <c r="EE180" s="68"/>
      <c r="EF180" s="68"/>
      <c r="EG180" s="68"/>
      <c r="EH180" s="68"/>
      <c r="EI180" s="68"/>
      <c r="EJ180" s="68"/>
      <c r="EK180" s="68"/>
      <c r="EL180" s="68"/>
      <c r="EM180" s="68"/>
      <c r="EN180" s="68"/>
      <c r="EO180" s="68"/>
      <c r="EP180" s="68"/>
    </row>
    <row r="181" spans="1:146" s="78" customFormat="1" ht="11.25">
      <c r="A181" s="87" t="str">
        <f t="shared" si="23"/>
        <v>SRC</v>
      </c>
      <c r="B181" s="83">
        <v>14</v>
      </c>
      <c r="C181" s="114"/>
      <c r="D181" s="212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24"/>
      <c r="Q181" s="103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  <c r="AO181" s="68"/>
      <c r="AP181" s="68"/>
      <c r="AQ181" s="68"/>
      <c r="AR181" s="68"/>
      <c r="AS181" s="68"/>
      <c r="AT181" s="68"/>
      <c r="AU181" s="68"/>
      <c r="AV181" s="68"/>
      <c r="AW181" s="68"/>
      <c r="AX181" s="68"/>
      <c r="AY181" s="68"/>
      <c r="AZ181" s="68"/>
      <c r="BA181" s="68"/>
      <c r="BB181" s="68"/>
      <c r="BC181" s="68"/>
      <c r="BD181" s="68"/>
      <c r="BE181" s="68"/>
      <c r="BF181" s="68"/>
      <c r="BG181" s="68"/>
      <c r="BH181" s="68"/>
      <c r="BI181" s="68"/>
      <c r="BJ181" s="68"/>
      <c r="BK181" s="68"/>
      <c r="BL181" s="68"/>
      <c r="BM181" s="68"/>
      <c r="BN181" s="68"/>
      <c r="BO181" s="68"/>
      <c r="BP181" s="68"/>
      <c r="BQ181" s="68"/>
      <c r="BR181" s="68"/>
      <c r="BS181" s="68"/>
      <c r="BT181" s="68"/>
      <c r="BU181" s="68"/>
      <c r="BV181" s="68"/>
      <c r="BW181" s="68"/>
      <c r="BX181" s="68"/>
      <c r="BY181" s="68"/>
      <c r="BZ181" s="68"/>
      <c r="CA181" s="68"/>
      <c r="CB181" s="68"/>
      <c r="CC181" s="68"/>
      <c r="CD181" s="68"/>
      <c r="CE181" s="68"/>
      <c r="CF181" s="68"/>
      <c r="CG181" s="68"/>
      <c r="CH181" s="68"/>
      <c r="CI181" s="68"/>
      <c r="CJ181" s="68"/>
      <c r="CK181" s="68"/>
      <c r="CL181" s="68"/>
      <c r="CM181" s="68"/>
      <c r="CN181" s="68"/>
      <c r="CO181" s="68"/>
      <c r="CP181" s="68"/>
      <c r="CQ181" s="68"/>
      <c r="CR181" s="68"/>
      <c r="CS181" s="68"/>
      <c r="CT181" s="68"/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68"/>
      <c r="DI181" s="68"/>
      <c r="DJ181" s="68"/>
      <c r="DK181" s="68"/>
      <c r="DL181" s="68"/>
      <c r="DM181" s="68"/>
      <c r="DN181" s="68"/>
      <c r="DO181" s="68"/>
      <c r="DP181" s="68"/>
      <c r="DQ181" s="68"/>
      <c r="DR181" s="68"/>
      <c r="DS181" s="68"/>
      <c r="DT181" s="68"/>
      <c r="DU181" s="68"/>
      <c r="DV181" s="68"/>
      <c r="DW181" s="68"/>
      <c r="DX181" s="68"/>
      <c r="DY181" s="68"/>
      <c r="DZ181" s="68"/>
      <c r="EA181" s="68"/>
      <c r="EB181" s="68"/>
      <c r="EC181" s="68"/>
      <c r="ED181" s="68"/>
      <c r="EE181" s="68"/>
      <c r="EF181" s="68"/>
      <c r="EG181" s="68"/>
      <c r="EH181" s="68"/>
      <c r="EI181" s="68"/>
      <c r="EJ181" s="68"/>
      <c r="EK181" s="68"/>
      <c r="EL181" s="68"/>
      <c r="EM181" s="68"/>
      <c r="EN181" s="68"/>
      <c r="EO181" s="68"/>
      <c r="EP181" s="68"/>
    </row>
    <row r="182" spans="1:146" s="78" customFormat="1" ht="11.25">
      <c r="A182" s="87" t="str">
        <f t="shared" si="23"/>
        <v>SRC</v>
      </c>
      <c r="B182" s="83"/>
      <c r="D182" s="116"/>
      <c r="E182" s="231"/>
      <c r="F182" s="231"/>
      <c r="G182" s="231"/>
      <c r="H182" s="231"/>
      <c r="I182" s="231"/>
      <c r="J182" s="231"/>
      <c r="K182" s="231"/>
      <c r="L182" s="231"/>
      <c r="M182" s="231"/>
      <c r="N182" s="231"/>
      <c r="O182" s="231"/>
      <c r="P182" s="90"/>
      <c r="Q182" s="71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  <c r="AN182" s="68"/>
      <c r="AO182" s="68"/>
      <c r="AP182" s="68"/>
      <c r="AQ182" s="68"/>
      <c r="AR182" s="68"/>
      <c r="AS182" s="68"/>
      <c r="AT182" s="68"/>
      <c r="AU182" s="68"/>
      <c r="AV182" s="68"/>
      <c r="AW182" s="68"/>
      <c r="AX182" s="68"/>
      <c r="AY182" s="68"/>
      <c r="AZ182" s="68"/>
      <c r="BA182" s="68"/>
      <c r="BB182" s="68"/>
      <c r="BC182" s="68"/>
      <c r="BD182" s="68"/>
      <c r="BE182" s="68"/>
      <c r="BF182" s="68"/>
      <c r="BG182" s="68"/>
      <c r="BH182" s="68"/>
      <c r="BI182" s="68"/>
      <c r="BJ182" s="68"/>
      <c r="BK182" s="68"/>
      <c r="BL182" s="68"/>
      <c r="BM182" s="68"/>
      <c r="BN182" s="68"/>
      <c r="BO182" s="68"/>
      <c r="BP182" s="68"/>
      <c r="BQ182" s="68"/>
      <c r="BR182" s="68"/>
      <c r="BS182" s="68"/>
      <c r="BT182" s="68"/>
      <c r="BU182" s="68"/>
      <c r="BV182" s="68"/>
      <c r="BW182" s="68"/>
      <c r="BX182" s="68"/>
      <c r="BY182" s="68"/>
      <c r="BZ182" s="68"/>
      <c r="CA182" s="68"/>
      <c r="CB182" s="68"/>
      <c r="CC182" s="68"/>
      <c r="CD182" s="68"/>
      <c r="CE182" s="68"/>
      <c r="CF182" s="68"/>
      <c r="CG182" s="68"/>
      <c r="CH182" s="68"/>
      <c r="CI182" s="68"/>
      <c r="CJ182" s="68"/>
      <c r="CK182" s="68"/>
      <c r="CL182" s="68"/>
      <c r="CM182" s="68"/>
      <c r="CN182" s="68"/>
      <c r="CO182" s="68"/>
      <c r="CP182" s="68"/>
      <c r="CQ182" s="68"/>
      <c r="CR182" s="68"/>
      <c r="CS182" s="68"/>
      <c r="CT182" s="68"/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68"/>
      <c r="DI182" s="68"/>
      <c r="DJ182" s="68"/>
      <c r="DK182" s="68"/>
      <c r="DL182" s="68"/>
      <c r="DM182" s="68"/>
      <c r="DN182" s="68"/>
      <c r="DO182" s="68"/>
      <c r="DP182" s="68"/>
      <c r="DQ182" s="68"/>
      <c r="DR182" s="68"/>
      <c r="DS182" s="68"/>
      <c r="DT182" s="68"/>
      <c r="DU182" s="68"/>
      <c r="DV182" s="68"/>
      <c r="DW182" s="68"/>
      <c r="DX182" s="68"/>
      <c r="DY182" s="68"/>
      <c r="DZ182" s="68"/>
      <c r="EA182" s="68"/>
      <c r="EB182" s="68"/>
      <c r="EC182" s="68"/>
      <c r="ED182" s="68"/>
      <c r="EE182" s="68"/>
      <c r="EF182" s="68"/>
      <c r="EG182" s="68"/>
      <c r="EH182" s="68"/>
      <c r="EI182" s="68"/>
      <c r="EJ182" s="68"/>
      <c r="EK182" s="68"/>
      <c r="EL182" s="68"/>
      <c r="EM182" s="68"/>
      <c r="EN182" s="68"/>
      <c r="EO182" s="68"/>
      <c r="EP182" s="68"/>
    </row>
    <row r="183" spans="1:146" s="78" customFormat="1" ht="12" thickBot="1">
      <c r="A183" s="87" t="str">
        <f t="shared" si="23"/>
        <v xml:space="preserve">SRCTOTAL </v>
      </c>
      <c r="B183" s="83">
        <v>15</v>
      </c>
      <c r="C183" s="147" t="s">
        <v>95</v>
      </c>
      <c r="D183" s="211"/>
      <c r="E183" s="117">
        <v>2150481.5699999998</v>
      </c>
      <c r="F183" s="117">
        <v>1887416.13</v>
      </c>
      <c r="G183" s="117">
        <v>2000101.9</v>
      </c>
      <c r="H183" s="117">
        <v>2076523.4300000002</v>
      </c>
      <c r="I183" s="117">
        <v>1919373.81</v>
      </c>
      <c r="J183" s="117">
        <v>1881839.45</v>
      </c>
      <c r="K183" s="117">
        <v>1872308.73</v>
      </c>
      <c r="L183" s="117">
        <v>1966297.8400000003</v>
      </c>
      <c r="M183" s="117">
        <v>2333065.1999999997</v>
      </c>
      <c r="N183" s="117">
        <v>2733431.4299999997</v>
      </c>
      <c r="O183" s="117">
        <v>2734977.35</v>
      </c>
      <c r="P183" s="117">
        <v>2989366.4400000004</v>
      </c>
      <c r="Q183" s="117">
        <v>26545183.279999997</v>
      </c>
      <c r="R183" s="12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  <c r="AO183" s="68"/>
      <c r="AP183" s="68"/>
      <c r="AQ183" s="68"/>
      <c r="AR183" s="68"/>
      <c r="AS183" s="68"/>
      <c r="AT183" s="68"/>
      <c r="AU183" s="68"/>
      <c r="AV183" s="68"/>
      <c r="AW183" s="68"/>
      <c r="AX183" s="68"/>
      <c r="AY183" s="68"/>
      <c r="AZ183" s="68"/>
      <c r="BA183" s="68"/>
      <c r="BB183" s="68"/>
      <c r="BC183" s="68"/>
      <c r="BD183" s="68"/>
      <c r="BE183" s="68"/>
      <c r="BF183" s="68"/>
      <c r="BG183" s="68"/>
      <c r="BH183" s="68"/>
      <c r="BI183" s="68"/>
      <c r="BJ183" s="68"/>
      <c r="BK183" s="68"/>
      <c r="BL183" s="68"/>
      <c r="BM183" s="68"/>
      <c r="BN183" s="68"/>
      <c r="BO183" s="68"/>
      <c r="BP183" s="68"/>
      <c r="BQ183" s="68"/>
      <c r="BR183" s="68"/>
      <c r="BS183" s="68"/>
      <c r="BT183" s="68"/>
      <c r="BU183" s="68"/>
      <c r="BV183" s="68"/>
      <c r="BW183" s="68"/>
      <c r="BX183" s="68"/>
      <c r="BY183" s="68"/>
      <c r="BZ183" s="68"/>
      <c r="CA183" s="68"/>
      <c r="CB183" s="68"/>
      <c r="CC183" s="68"/>
      <c r="CD183" s="68"/>
      <c r="CE183" s="68"/>
      <c r="CF183" s="68"/>
      <c r="CG183" s="68"/>
      <c r="CH183" s="68"/>
      <c r="CI183" s="68"/>
      <c r="CJ183" s="68"/>
      <c r="CK183" s="68"/>
      <c r="CL183" s="68"/>
      <c r="CM183" s="68"/>
      <c r="CN183" s="68"/>
      <c r="CO183" s="68"/>
      <c r="CP183" s="68"/>
      <c r="CQ183" s="68"/>
      <c r="CR183" s="68"/>
      <c r="CS183" s="68"/>
      <c r="CT183" s="68"/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68"/>
      <c r="DI183" s="68"/>
      <c r="DJ183" s="68"/>
      <c r="DK183" s="68"/>
      <c r="DL183" s="68"/>
      <c r="DM183" s="68"/>
      <c r="DN183" s="68"/>
      <c r="DO183" s="68"/>
      <c r="DP183" s="68"/>
      <c r="DQ183" s="68"/>
      <c r="DR183" s="68"/>
      <c r="DS183" s="68"/>
      <c r="DT183" s="68"/>
      <c r="DU183" s="68"/>
      <c r="DV183" s="68"/>
      <c r="DW183" s="68"/>
      <c r="DX183" s="68"/>
      <c r="DY183" s="68"/>
      <c r="DZ183" s="68"/>
      <c r="EA183" s="68"/>
      <c r="EB183" s="68"/>
      <c r="EC183" s="68"/>
      <c r="ED183" s="68"/>
      <c r="EE183" s="68"/>
      <c r="EF183" s="68"/>
      <c r="EG183" s="68"/>
      <c r="EH183" s="68"/>
      <c r="EI183" s="68"/>
      <c r="EJ183" s="68"/>
      <c r="EK183" s="68"/>
      <c r="EL183" s="68"/>
      <c r="EM183" s="68"/>
      <c r="EN183" s="68"/>
      <c r="EO183" s="68"/>
      <c r="EP183" s="68"/>
    </row>
    <row r="184" spans="1:146" customFormat="1" ht="13.5" thickTop="1">
      <c r="E184" s="235"/>
      <c r="F184" s="235"/>
      <c r="G184" s="235"/>
      <c r="H184" s="235"/>
      <c r="I184" s="235"/>
      <c r="J184" s="235"/>
      <c r="K184" s="235"/>
      <c r="L184" s="235"/>
      <c r="M184" s="235"/>
      <c r="N184" s="235"/>
      <c r="O184" s="235"/>
      <c r="P184" s="235"/>
    </row>
    <row r="185" spans="1:146" s="87" customFormat="1" ht="11.25">
      <c r="B185" s="268" t="s">
        <v>300</v>
      </c>
      <c r="C185" s="73" t="s">
        <v>88</v>
      </c>
      <c r="D185" s="99"/>
      <c r="E185" s="228"/>
      <c r="F185" s="229"/>
      <c r="G185" s="229"/>
      <c r="H185" s="230"/>
      <c r="I185" s="231"/>
      <c r="J185" s="231"/>
      <c r="K185" s="231"/>
      <c r="L185" s="231"/>
      <c r="M185" s="231"/>
      <c r="N185" s="231"/>
      <c r="O185" s="231"/>
      <c r="P185" s="90"/>
      <c r="Q185" s="10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  <c r="AN185" s="89"/>
      <c r="AO185" s="89"/>
      <c r="AP185" s="89"/>
      <c r="AQ185" s="89"/>
      <c r="AR185" s="89"/>
      <c r="AS185" s="89"/>
      <c r="AT185" s="89"/>
      <c r="AU185" s="89"/>
      <c r="AV185" s="89"/>
      <c r="AW185" s="89"/>
      <c r="AX185" s="89"/>
      <c r="AY185" s="89"/>
      <c r="AZ185" s="89"/>
      <c r="BA185" s="89"/>
      <c r="BB185" s="89"/>
      <c r="BC185" s="89"/>
      <c r="BD185" s="89"/>
      <c r="BE185" s="89"/>
      <c r="BF185" s="89"/>
      <c r="BG185" s="89"/>
      <c r="BH185" s="89"/>
      <c r="BI185" s="89"/>
      <c r="BJ185" s="89"/>
      <c r="BK185" s="89"/>
      <c r="BL185" s="89"/>
      <c r="BM185" s="89"/>
      <c r="BN185" s="89"/>
      <c r="BO185" s="89"/>
      <c r="BP185" s="89"/>
      <c r="BQ185" s="89"/>
      <c r="BR185" s="89"/>
      <c r="BS185" s="89"/>
      <c r="BT185" s="89"/>
      <c r="BU185" s="89"/>
      <c r="BV185" s="89"/>
      <c r="BW185" s="89"/>
      <c r="BX185" s="89"/>
      <c r="BY185" s="89"/>
      <c r="BZ185" s="89"/>
      <c r="CA185" s="89"/>
      <c r="CB185" s="89"/>
      <c r="CC185" s="89"/>
      <c r="CD185" s="89"/>
      <c r="CE185" s="89"/>
      <c r="CF185" s="89"/>
      <c r="CG185" s="89"/>
      <c r="CH185" s="89"/>
      <c r="CI185" s="89"/>
      <c r="CJ185" s="89"/>
      <c r="CK185" s="89"/>
      <c r="CL185" s="89"/>
      <c r="CM185" s="89"/>
      <c r="CN185" s="89"/>
      <c r="CO185" s="89"/>
      <c r="CP185" s="89"/>
      <c r="CQ185" s="89"/>
      <c r="CR185" s="89"/>
      <c r="CS185" s="89"/>
      <c r="CT185" s="89"/>
      <c r="CU185" s="89"/>
      <c r="CV185" s="89"/>
      <c r="CW185" s="89"/>
      <c r="CX185" s="89"/>
      <c r="CY185" s="89"/>
      <c r="CZ185" s="89"/>
      <c r="DA185" s="89"/>
      <c r="DB185" s="89"/>
      <c r="DC185" s="89"/>
      <c r="DD185" s="89"/>
      <c r="DE185" s="89"/>
      <c r="DF185" s="89"/>
      <c r="DG185" s="89"/>
      <c r="DH185" s="89"/>
      <c r="DI185" s="89"/>
      <c r="DJ185" s="89"/>
      <c r="DK185" s="89"/>
      <c r="DL185" s="89"/>
      <c r="DM185" s="89"/>
      <c r="DN185" s="89"/>
      <c r="DO185" s="89"/>
      <c r="DP185" s="89"/>
      <c r="DQ185" s="89"/>
      <c r="DR185" s="89"/>
      <c r="DS185" s="89"/>
      <c r="DT185" s="89"/>
      <c r="DU185" s="89"/>
      <c r="DV185" s="89"/>
      <c r="DW185" s="89"/>
      <c r="DX185" s="89"/>
      <c r="DY185" s="89"/>
      <c r="DZ185" s="89"/>
      <c r="EA185" s="89"/>
      <c r="EB185" s="89"/>
      <c r="EC185" s="89"/>
      <c r="ED185" s="89"/>
      <c r="EE185" s="89"/>
      <c r="EF185" s="89"/>
      <c r="EG185" s="89"/>
      <c r="EH185" s="89"/>
      <c r="EI185" s="89"/>
      <c r="EJ185" s="89"/>
      <c r="EK185" s="89"/>
      <c r="EL185" s="89"/>
      <c r="EM185" s="89"/>
      <c r="EN185" s="89"/>
      <c r="EO185" s="89"/>
      <c r="EP185" s="89"/>
    </row>
    <row r="186" spans="1:146" s="87" customFormat="1" ht="11.25">
      <c r="B186" s="211" t="s">
        <v>8</v>
      </c>
      <c r="C186" s="213" t="s">
        <v>0</v>
      </c>
      <c r="D186" s="213" t="s">
        <v>7</v>
      </c>
      <c r="E186" s="232" t="s">
        <v>151</v>
      </c>
      <c r="F186" s="232" t="s">
        <v>152</v>
      </c>
      <c r="G186" s="232" t="s">
        <v>153</v>
      </c>
      <c r="H186" s="232" t="s">
        <v>154</v>
      </c>
      <c r="I186" s="232" t="s">
        <v>155</v>
      </c>
      <c r="J186" s="232" t="s">
        <v>156</v>
      </c>
      <c r="K186" s="232" t="s">
        <v>157</v>
      </c>
      <c r="L186" s="232" t="s">
        <v>158</v>
      </c>
      <c r="M186" s="232" t="s">
        <v>159</v>
      </c>
      <c r="N186" s="232" t="s">
        <v>160</v>
      </c>
      <c r="O186" s="232" t="s">
        <v>161</v>
      </c>
      <c r="P186" s="232" t="s">
        <v>162</v>
      </c>
      <c r="Q186" s="110" t="s">
        <v>2</v>
      </c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  <c r="AN186" s="89"/>
      <c r="AO186" s="89"/>
      <c r="AP186" s="89"/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89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89"/>
      <c r="CY186" s="89"/>
      <c r="CZ186" s="89"/>
      <c r="DA186" s="89"/>
      <c r="DB186" s="89"/>
      <c r="DC186" s="89"/>
      <c r="DD186" s="89"/>
      <c r="DE186" s="89"/>
      <c r="DF186" s="89"/>
      <c r="DG186" s="89"/>
      <c r="DH186" s="89"/>
      <c r="DI186" s="89"/>
      <c r="DJ186" s="89"/>
      <c r="DK186" s="89"/>
      <c r="DL186" s="89"/>
      <c r="DM186" s="89"/>
      <c r="DN186" s="89"/>
      <c r="DO186" s="89"/>
      <c r="DP186" s="89"/>
      <c r="DQ186" s="89"/>
      <c r="DR186" s="89"/>
      <c r="DS186" s="89"/>
      <c r="DT186" s="89"/>
      <c r="DU186" s="89"/>
      <c r="DV186" s="89"/>
      <c r="DW186" s="89"/>
      <c r="DX186" s="89"/>
      <c r="DY186" s="89"/>
      <c r="DZ186" s="89"/>
      <c r="EA186" s="89"/>
      <c r="EB186" s="89"/>
      <c r="EC186" s="89"/>
      <c r="ED186" s="89"/>
      <c r="EE186" s="89"/>
      <c r="EF186" s="89"/>
      <c r="EG186" s="89"/>
      <c r="EH186" s="89"/>
      <c r="EI186" s="89"/>
      <c r="EJ186" s="89"/>
      <c r="EK186" s="89"/>
      <c r="EL186" s="89"/>
      <c r="EM186" s="89"/>
      <c r="EN186" s="89"/>
      <c r="EO186" s="89"/>
      <c r="EP186" s="89"/>
    </row>
    <row r="187" spans="1:146" s="87" customFormat="1" ht="11.25">
      <c r="C187" s="213"/>
      <c r="D187" s="213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27"/>
      <c r="Q187" s="110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89"/>
      <c r="AJ187" s="89"/>
      <c r="AK187" s="89"/>
      <c r="AL187" s="89"/>
      <c r="AM187" s="89"/>
      <c r="AN187" s="89"/>
      <c r="AO187" s="89"/>
      <c r="AP187" s="89"/>
      <c r="AQ187" s="89"/>
      <c r="AR187" s="89"/>
      <c r="AS187" s="89"/>
      <c r="AT187" s="89"/>
      <c r="AU187" s="89"/>
      <c r="AV187" s="89"/>
      <c r="AW187" s="89"/>
      <c r="AX187" s="89"/>
      <c r="AY187" s="89"/>
      <c r="AZ187" s="89"/>
      <c r="BA187" s="89"/>
      <c r="BB187" s="89"/>
      <c r="BC187" s="89"/>
      <c r="BD187" s="89"/>
      <c r="BE187" s="89"/>
      <c r="BF187" s="89"/>
      <c r="BG187" s="89"/>
      <c r="BH187" s="89"/>
      <c r="BI187" s="89"/>
      <c r="BJ187" s="89"/>
      <c r="BK187" s="89"/>
      <c r="BL187" s="89"/>
      <c r="BM187" s="89"/>
      <c r="BN187" s="89"/>
      <c r="BO187" s="89"/>
      <c r="BP187" s="89"/>
      <c r="BQ187" s="89"/>
      <c r="BR187" s="89"/>
      <c r="BS187" s="89"/>
      <c r="BT187" s="89"/>
      <c r="BU187" s="89"/>
      <c r="BV187" s="89"/>
      <c r="BW187" s="89"/>
      <c r="BX187" s="89"/>
      <c r="BY187" s="89"/>
      <c r="BZ187" s="89"/>
      <c r="CA187" s="89"/>
      <c r="CB187" s="89"/>
      <c r="CC187" s="89"/>
      <c r="CD187" s="89"/>
      <c r="CE187" s="89"/>
      <c r="CF187" s="89"/>
      <c r="CG187" s="89"/>
      <c r="CH187" s="89"/>
      <c r="CI187" s="89"/>
      <c r="CJ187" s="89"/>
      <c r="CK187" s="89"/>
      <c r="CL187" s="89"/>
      <c r="CM187" s="89"/>
      <c r="CN187" s="89"/>
      <c r="CO187" s="89"/>
      <c r="CP187" s="89"/>
      <c r="CQ187" s="89"/>
      <c r="CR187" s="89"/>
      <c r="CS187" s="89"/>
      <c r="CT187" s="89"/>
      <c r="CU187" s="89"/>
      <c r="CV187" s="89"/>
      <c r="CW187" s="89"/>
      <c r="CX187" s="89"/>
      <c r="CY187" s="89"/>
      <c r="CZ187" s="89"/>
      <c r="DA187" s="89"/>
      <c r="DB187" s="89"/>
      <c r="DC187" s="89"/>
      <c r="DD187" s="89"/>
      <c r="DE187" s="89"/>
      <c r="DF187" s="89"/>
      <c r="DG187" s="89"/>
      <c r="DH187" s="89"/>
      <c r="DI187" s="89"/>
      <c r="DJ187" s="89"/>
      <c r="DK187" s="89"/>
      <c r="DL187" s="89"/>
      <c r="DM187" s="89"/>
      <c r="DN187" s="89"/>
      <c r="DO187" s="89"/>
      <c r="DP187" s="89"/>
      <c r="DQ187" s="89"/>
      <c r="DR187" s="89"/>
      <c r="DS187" s="89"/>
      <c r="DT187" s="89"/>
      <c r="DU187" s="89"/>
      <c r="DV187" s="89"/>
      <c r="DW187" s="89"/>
      <c r="DX187" s="89"/>
      <c r="DY187" s="89"/>
      <c r="DZ187" s="89"/>
      <c r="EA187" s="89"/>
      <c r="EB187" s="89"/>
      <c r="EC187" s="89"/>
      <c r="ED187" s="89"/>
      <c r="EE187" s="89"/>
      <c r="EF187" s="89"/>
      <c r="EG187" s="89"/>
      <c r="EH187" s="89"/>
      <c r="EI187" s="89"/>
      <c r="EJ187" s="89"/>
      <c r="EK187" s="89"/>
      <c r="EL187" s="89"/>
      <c r="EM187" s="89"/>
      <c r="EN187" s="89"/>
      <c r="EO187" s="89"/>
      <c r="EP187" s="89"/>
    </row>
    <row r="188" spans="1:146" s="78" customFormat="1" ht="11.25">
      <c r="A188" s="87" t="str">
        <f>CONCATENATE($C$185,C188)</f>
        <v>TC3RESIDENTIAL SERVICE</v>
      </c>
      <c r="B188" s="83" t="s">
        <v>9</v>
      </c>
      <c r="C188" s="78" t="s">
        <v>17</v>
      </c>
      <c r="D188" s="85" t="s">
        <v>4</v>
      </c>
      <c r="E188" s="124">
        <v>2460044.15</v>
      </c>
      <c r="F188" s="124">
        <v>1920994.57</v>
      </c>
      <c r="G188" s="124">
        <v>2162699.94</v>
      </c>
      <c r="H188" s="124">
        <v>2298131.29</v>
      </c>
      <c r="I188" s="124">
        <v>1983416.2400000002</v>
      </c>
      <c r="J188" s="124">
        <v>1674560.31</v>
      </c>
      <c r="K188" s="124">
        <v>1683467.92</v>
      </c>
      <c r="L188" s="124">
        <v>1838311.24</v>
      </c>
      <c r="M188" s="124">
        <v>2493759.29</v>
      </c>
      <c r="N188" s="124">
        <v>3193921.58</v>
      </c>
      <c r="O188" s="124">
        <v>3179397.32</v>
      </c>
      <c r="P188" s="124">
        <v>3108468.39</v>
      </c>
      <c r="Q188" s="90">
        <f>SUM(E188:P188)</f>
        <v>27997172.240000002</v>
      </c>
      <c r="R188" s="125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8"/>
      <c r="AO188" s="68"/>
      <c r="AP188" s="68"/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68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68"/>
      <c r="CY188" s="68"/>
      <c r="CZ188" s="68"/>
      <c r="DA188" s="68"/>
      <c r="DB188" s="68"/>
      <c r="DC188" s="68"/>
      <c r="DD188" s="68"/>
      <c r="DE188" s="68"/>
      <c r="DF188" s="68"/>
      <c r="DG188" s="68"/>
      <c r="DH188" s="68"/>
      <c r="DI188" s="68"/>
      <c r="DJ188" s="68"/>
      <c r="DK188" s="68"/>
      <c r="DL188" s="68"/>
      <c r="DM188" s="68"/>
      <c r="DN188" s="68"/>
      <c r="DO188" s="68"/>
      <c r="DP188" s="68"/>
      <c r="DQ188" s="68"/>
      <c r="DR188" s="68"/>
      <c r="DS188" s="68"/>
      <c r="DT188" s="68"/>
      <c r="DU188" s="68"/>
      <c r="DV188" s="68"/>
      <c r="DW188" s="68"/>
      <c r="DX188" s="68"/>
      <c r="DY188" s="68"/>
      <c r="DZ188" s="68"/>
      <c r="EA188" s="68"/>
      <c r="EB188" s="68"/>
      <c r="EC188" s="68"/>
      <c r="ED188" s="68"/>
      <c r="EE188" s="68"/>
      <c r="EF188" s="68"/>
      <c r="EG188" s="68"/>
      <c r="EH188" s="68"/>
      <c r="EI188" s="68"/>
      <c r="EJ188" s="68"/>
      <c r="EK188" s="68"/>
      <c r="EL188" s="68"/>
      <c r="EM188" s="68"/>
      <c r="EN188" s="68"/>
      <c r="EO188" s="68"/>
      <c r="EP188" s="68"/>
    </row>
    <row r="189" spans="1:146" s="78" customFormat="1" ht="11.25">
      <c r="A189" s="87" t="str">
        <f t="shared" ref="A189:A212" si="27">CONCATENATE($C$185,C189)</f>
        <v>TC3</v>
      </c>
      <c r="D189" s="85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93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  <c r="AN189" s="68"/>
      <c r="AO189" s="68"/>
      <c r="AP189" s="68"/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68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68"/>
      <c r="CY189" s="68"/>
      <c r="CZ189" s="68"/>
      <c r="DA189" s="68"/>
      <c r="DB189" s="68"/>
      <c r="DC189" s="68"/>
      <c r="DD189" s="68"/>
      <c r="DE189" s="68"/>
      <c r="DF189" s="68"/>
      <c r="DG189" s="68"/>
      <c r="DH189" s="68"/>
      <c r="DI189" s="68"/>
      <c r="DJ189" s="68"/>
      <c r="DK189" s="68"/>
      <c r="DL189" s="68"/>
      <c r="DM189" s="68"/>
      <c r="DN189" s="68"/>
      <c r="DO189" s="68"/>
      <c r="DP189" s="68"/>
      <c r="DQ189" s="68"/>
      <c r="DR189" s="68"/>
      <c r="DS189" s="68"/>
      <c r="DT189" s="68"/>
      <c r="DU189" s="68"/>
      <c r="DV189" s="68"/>
      <c r="DW189" s="68"/>
      <c r="DX189" s="68"/>
      <c r="DY189" s="68"/>
      <c r="DZ189" s="68"/>
      <c r="EA189" s="68"/>
      <c r="EB189" s="68"/>
      <c r="EC189" s="68"/>
      <c r="ED189" s="68"/>
      <c r="EE189" s="68"/>
      <c r="EF189" s="68"/>
      <c r="EG189" s="68"/>
      <c r="EH189" s="68"/>
      <c r="EI189" s="68"/>
      <c r="EJ189" s="68"/>
      <c r="EK189" s="68"/>
      <c r="EL189" s="68"/>
      <c r="EM189" s="68"/>
      <c r="EN189" s="68"/>
      <c r="EO189" s="68"/>
      <c r="EP189" s="68"/>
    </row>
    <row r="190" spans="1:146" s="78" customFormat="1" ht="11.25">
      <c r="A190" s="87" t="str">
        <f t="shared" si="27"/>
        <v>TC3SECONDARY &lt; 10 kW</v>
      </c>
      <c r="B190" s="83">
        <v>2</v>
      </c>
      <c r="C190" s="78" t="s">
        <v>150</v>
      </c>
      <c r="D190" s="85" t="s">
        <v>4</v>
      </c>
      <c r="E190" s="124">
        <v>353368.24</v>
      </c>
      <c r="F190" s="124">
        <v>314988.55</v>
      </c>
      <c r="G190" s="124">
        <v>323699.4800000001</v>
      </c>
      <c r="H190" s="124">
        <v>322833.56</v>
      </c>
      <c r="I190" s="124">
        <v>290662.69</v>
      </c>
      <c r="J190" s="124">
        <v>331301.74000000005</v>
      </c>
      <c r="K190" s="124">
        <v>334298.57</v>
      </c>
      <c r="L190" s="124">
        <v>357230.7699999999</v>
      </c>
      <c r="M190" s="124">
        <v>419512.80999999994</v>
      </c>
      <c r="N190" s="124">
        <v>481804.82</v>
      </c>
      <c r="O190" s="124">
        <v>490542.72</v>
      </c>
      <c r="P190" s="124">
        <v>492225.5</v>
      </c>
      <c r="Q190" s="90">
        <f>SUM(E190:P190)</f>
        <v>4512469.45</v>
      </c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  <c r="AO190" s="68"/>
      <c r="AP190" s="68"/>
      <c r="AQ190" s="68"/>
      <c r="AR190" s="68"/>
      <c r="AS190" s="68"/>
      <c r="AT190" s="68"/>
      <c r="AU190" s="68"/>
      <c r="AV190" s="68"/>
      <c r="AW190" s="68"/>
      <c r="AX190" s="68"/>
      <c r="AY190" s="68"/>
      <c r="AZ190" s="68"/>
      <c r="BA190" s="68"/>
      <c r="BB190" s="68"/>
      <c r="BC190" s="68"/>
      <c r="BD190" s="68"/>
      <c r="BE190" s="68"/>
      <c r="BF190" s="68"/>
      <c r="BG190" s="68"/>
      <c r="BH190" s="68"/>
      <c r="BI190" s="68"/>
      <c r="BJ190" s="68"/>
      <c r="BK190" s="68"/>
      <c r="BL190" s="68"/>
      <c r="BM190" s="68"/>
      <c r="BN190" s="68"/>
      <c r="BO190" s="68"/>
      <c r="BP190" s="68"/>
      <c r="BQ190" s="68"/>
      <c r="BR190" s="68"/>
      <c r="BS190" s="68"/>
      <c r="BT190" s="68"/>
      <c r="BU190" s="68"/>
      <c r="BV190" s="68"/>
      <c r="BW190" s="68"/>
      <c r="BX190" s="68"/>
      <c r="BY190" s="68"/>
      <c r="BZ190" s="68"/>
      <c r="CA190" s="68"/>
      <c r="CB190" s="68"/>
      <c r="CC190" s="68"/>
      <c r="CD190" s="68"/>
      <c r="CE190" s="68"/>
      <c r="CF190" s="68"/>
      <c r="CG190" s="68"/>
      <c r="CH190" s="68"/>
      <c r="CI190" s="68"/>
      <c r="CJ190" s="68"/>
      <c r="CK190" s="68"/>
      <c r="CL190" s="68"/>
      <c r="CM190" s="68"/>
      <c r="CN190" s="68"/>
      <c r="CO190" s="68"/>
      <c r="CP190" s="68"/>
      <c r="CQ190" s="68"/>
      <c r="CR190" s="68"/>
      <c r="CS190" s="68"/>
      <c r="CT190" s="68"/>
      <c r="CU190" s="68"/>
      <c r="CV190" s="68"/>
      <c r="CW190" s="68"/>
      <c r="CX190" s="68"/>
      <c r="CY190" s="68"/>
      <c r="CZ190" s="68"/>
      <c r="DA190" s="68"/>
      <c r="DB190" s="68"/>
      <c r="DC190" s="68"/>
      <c r="DD190" s="68"/>
      <c r="DE190" s="68"/>
      <c r="DF190" s="68"/>
      <c r="DG190" s="68"/>
      <c r="DH190" s="68"/>
      <c r="DI190" s="68"/>
      <c r="DJ190" s="68"/>
      <c r="DK190" s="68"/>
      <c r="DL190" s="68"/>
      <c r="DM190" s="68"/>
      <c r="DN190" s="68"/>
      <c r="DO190" s="68"/>
      <c r="DP190" s="68"/>
      <c r="DQ190" s="68"/>
      <c r="DR190" s="68"/>
      <c r="DS190" s="68"/>
      <c r="DT190" s="68"/>
      <c r="DU190" s="68"/>
      <c r="DV190" s="68"/>
      <c r="DW190" s="68"/>
      <c r="DX190" s="68"/>
      <c r="DY190" s="68"/>
      <c r="DZ190" s="68"/>
      <c r="EA190" s="68"/>
      <c r="EB190" s="68"/>
      <c r="EC190" s="68"/>
      <c r="ED190" s="68"/>
      <c r="EE190" s="68"/>
      <c r="EF190" s="68"/>
      <c r="EG190" s="68"/>
      <c r="EH190" s="68"/>
      <c r="EI190" s="68"/>
      <c r="EJ190" s="68"/>
      <c r="EK190" s="68"/>
      <c r="EL190" s="68"/>
      <c r="EM190" s="68"/>
      <c r="EN190" s="68"/>
      <c r="EO190" s="68"/>
      <c r="EP190" s="68"/>
    </row>
    <row r="191" spans="1:146" s="78" customFormat="1" ht="11.25">
      <c r="A191" s="87" t="str">
        <f t="shared" si="27"/>
        <v>TC3</v>
      </c>
      <c r="B191" s="83"/>
      <c r="D191" s="85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93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  <c r="AO191" s="68"/>
      <c r="AP191" s="68"/>
      <c r="AQ191" s="68"/>
      <c r="AR191" s="68"/>
      <c r="AS191" s="68"/>
      <c r="AT191" s="68"/>
      <c r="AU191" s="68"/>
      <c r="AV191" s="68"/>
      <c r="AW191" s="68"/>
      <c r="AX191" s="68"/>
      <c r="AY191" s="68"/>
      <c r="AZ191" s="68"/>
      <c r="BA191" s="68"/>
      <c r="BB191" s="68"/>
      <c r="BC191" s="68"/>
      <c r="BD191" s="68"/>
      <c r="BE191" s="68"/>
      <c r="BF191" s="68"/>
      <c r="BG191" s="68"/>
      <c r="BH191" s="68"/>
      <c r="BI191" s="68"/>
      <c r="BJ191" s="68"/>
      <c r="BK191" s="68"/>
      <c r="BL191" s="68"/>
      <c r="BM191" s="68"/>
      <c r="BN191" s="68"/>
      <c r="BO191" s="68"/>
      <c r="BP191" s="68"/>
      <c r="BQ191" s="68"/>
      <c r="BR191" s="68"/>
      <c r="BS191" s="68"/>
      <c r="BT191" s="68"/>
      <c r="BU191" s="68"/>
      <c r="BV191" s="68"/>
      <c r="BW191" s="68"/>
      <c r="BX191" s="68"/>
      <c r="BY191" s="68"/>
      <c r="BZ191" s="68"/>
      <c r="CA191" s="68"/>
      <c r="CB191" s="68"/>
      <c r="CC191" s="68"/>
      <c r="CD191" s="68"/>
      <c r="CE191" s="68"/>
      <c r="CF191" s="68"/>
      <c r="CG191" s="68"/>
      <c r="CH191" s="68"/>
      <c r="CI191" s="68"/>
      <c r="CJ191" s="68"/>
      <c r="CK191" s="68"/>
      <c r="CL191" s="68"/>
      <c r="CM191" s="68"/>
      <c r="CN191" s="68"/>
      <c r="CO191" s="68"/>
      <c r="CP191" s="68"/>
      <c r="CQ191" s="68"/>
      <c r="CR191" s="68"/>
      <c r="CS191" s="68"/>
      <c r="CT191" s="68"/>
      <c r="CU191" s="68"/>
      <c r="CV191" s="68"/>
      <c r="CW191" s="68"/>
      <c r="CX191" s="68"/>
      <c r="CY191" s="68"/>
      <c r="CZ191" s="68"/>
      <c r="DA191" s="68"/>
      <c r="DB191" s="68"/>
      <c r="DC191" s="68"/>
      <c r="DD191" s="68"/>
      <c r="DE191" s="68"/>
      <c r="DF191" s="68"/>
      <c r="DG191" s="68"/>
      <c r="DH191" s="68"/>
      <c r="DI191" s="68"/>
      <c r="DJ191" s="68"/>
      <c r="DK191" s="68"/>
      <c r="DL191" s="68"/>
      <c r="DM191" s="68"/>
      <c r="DN191" s="68"/>
      <c r="DO191" s="68"/>
      <c r="DP191" s="68"/>
      <c r="DQ191" s="68"/>
      <c r="DR191" s="68"/>
      <c r="DS191" s="68"/>
      <c r="DT191" s="68"/>
      <c r="DU191" s="68"/>
      <c r="DV191" s="68"/>
      <c r="DW191" s="68"/>
      <c r="DX191" s="68"/>
      <c r="DY191" s="68"/>
      <c r="DZ191" s="68"/>
      <c r="EA191" s="68"/>
      <c r="EB191" s="68"/>
      <c r="EC191" s="68"/>
      <c r="ED191" s="68"/>
      <c r="EE191" s="68"/>
      <c r="EF191" s="68"/>
      <c r="EG191" s="68"/>
      <c r="EH191" s="68"/>
      <c r="EI191" s="68"/>
      <c r="EJ191" s="68"/>
      <c r="EK191" s="68"/>
      <c r="EL191" s="68"/>
      <c r="EM191" s="68"/>
      <c r="EN191" s="68"/>
      <c r="EO191" s="68"/>
      <c r="EP191" s="68"/>
    </row>
    <row r="192" spans="1:146" s="78" customFormat="1" ht="11.25">
      <c r="A192" s="87" t="str">
        <f t="shared" si="27"/>
        <v>TC3SECONDARY &gt; 10 kW NCP</v>
      </c>
      <c r="B192" s="83">
        <v>3</v>
      </c>
      <c r="C192" s="87" t="s">
        <v>81</v>
      </c>
      <c r="D192" s="74" t="s">
        <v>4</v>
      </c>
      <c r="E192" s="124">
        <v>2200690.84</v>
      </c>
      <c r="F192" s="124">
        <v>2034732.63</v>
      </c>
      <c r="G192" s="124">
        <v>2028738.94</v>
      </c>
      <c r="H192" s="124">
        <v>2054230.02</v>
      </c>
      <c r="I192" s="124">
        <v>1989679.58</v>
      </c>
      <c r="J192" s="124">
        <v>2106690.44</v>
      </c>
      <c r="K192" s="124">
        <v>2095475.82</v>
      </c>
      <c r="L192" s="124">
        <v>2149330.89</v>
      </c>
      <c r="M192" s="124">
        <v>2374693.37</v>
      </c>
      <c r="N192" s="124">
        <v>2633288.9299999997</v>
      </c>
      <c r="O192" s="124">
        <v>2665719.6900000004</v>
      </c>
      <c r="P192" s="124">
        <v>2672171.54</v>
      </c>
      <c r="Q192" s="90">
        <f t="shared" ref="Q192:Q193" si="28">SUM(E192:P192)</f>
        <v>27005442.690000001</v>
      </c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  <c r="AO192" s="68"/>
      <c r="AP192" s="68"/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68"/>
      <c r="BN192" s="68"/>
      <c r="BO192" s="68"/>
      <c r="BP192" s="68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68"/>
      <c r="CY192" s="68"/>
      <c r="CZ192" s="68"/>
      <c r="DA192" s="68"/>
      <c r="DB192" s="68"/>
      <c r="DC192" s="68"/>
      <c r="DD192" s="68"/>
      <c r="DE192" s="68"/>
      <c r="DF192" s="68"/>
      <c r="DG192" s="68"/>
      <c r="DH192" s="68"/>
      <c r="DI192" s="68"/>
      <c r="DJ192" s="68"/>
      <c r="DK192" s="68"/>
      <c r="DL192" s="68"/>
      <c r="DM192" s="68"/>
      <c r="DN192" s="68"/>
      <c r="DO192" s="68"/>
      <c r="DP192" s="68"/>
      <c r="DQ192" s="68"/>
      <c r="DR192" s="68"/>
      <c r="DS192" s="68"/>
      <c r="DT192" s="68"/>
      <c r="DU192" s="68"/>
      <c r="DV192" s="68"/>
      <c r="DW192" s="68"/>
      <c r="DX192" s="68"/>
      <c r="DY192" s="68"/>
      <c r="DZ192" s="68"/>
      <c r="EA192" s="68"/>
      <c r="EB192" s="68"/>
      <c r="EC192" s="68"/>
      <c r="ED192" s="68"/>
      <c r="EE192" s="68"/>
      <c r="EF192" s="68"/>
      <c r="EG192" s="68"/>
      <c r="EH192" s="68"/>
      <c r="EI192" s="68"/>
      <c r="EJ192" s="68"/>
      <c r="EK192" s="68"/>
      <c r="EL192" s="68"/>
      <c r="EM192" s="68"/>
      <c r="EN192" s="68"/>
      <c r="EO192" s="68"/>
      <c r="EP192" s="68"/>
    </row>
    <row r="193" spans="1:146" s="78" customFormat="1" ht="11.25">
      <c r="A193" s="87" t="str">
        <f t="shared" si="27"/>
        <v>TC3SECONDARY &gt; 10 kW 4CP</v>
      </c>
      <c r="B193" s="83">
        <v>4</v>
      </c>
      <c r="C193" s="87" t="s">
        <v>85</v>
      </c>
      <c r="D193" s="74" t="s">
        <v>4</v>
      </c>
      <c r="E193" s="149">
        <v>212543.73999999996</v>
      </c>
      <c r="F193" s="149">
        <v>200879.90000000002</v>
      </c>
      <c r="G193" s="149">
        <v>194204.07</v>
      </c>
      <c r="H193" s="149">
        <v>191586.61</v>
      </c>
      <c r="I193" s="149">
        <v>191509.28</v>
      </c>
      <c r="J193" s="149">
        <v>203617.25000000003</v>
      </c>
      <c r="K193" s="149">
        <v>201094.71000000002</v>
      </c>
      <c r="L193" s="149">
        <v>200120.83000000002</v>
      </c>
      <c r="M193" s="149">
        <v>208590.17</v>
      </c>
      <c r="N193" s="149">
        <v>228641.14</v>
      </c>
      <c r="O193" s="149">
        <v>239773.13</v>
      </c>
      <c r="P193" s="149">
        <v>268963.7</v>
      </c>
      <c r="Q193" s="149">
        <f t="shared" si="28"/>
        <v>2541524.5300000003</v>
      </c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68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68"/>
      <c r="CY193" s="68"/>
      <c r="CZ193" s="68"/>
      <c r="DA193" s="68"/>
      <c r="DB193" s="68"/>
      <c r="DC193" s="68"/>
      <c r="DD193" s="68"/>
      <c r="DE193" s="68"/>
      <c r="DF193" s="68"/>
      <c r="DG193" s="68"/>
      <c r="DH193" s="68"/>
      <c r="DI193" s="68"/>
      <c r="DJ193" s="68"/>
      <c r="DK193" s="68"/>
      <c r="DL193" s="68"/>
      <c r="DM193" s="68"/>
      <c r="DN193" s="68"/>
      <c r="DO193" s="68"/>
      <c r="DP193" s="68"/>
      <c r="DQ193" s="68"/>
      <c r="DR193" s="68"/>
      <c r="DS193" s="68"/>
      <c r="DT193" s="68"/>
      <c r="DU193" s="68"/>
      <c r="DV193" s="68"/>
      <c r="DW193" s="68"/>
      <c r="DX193" s="68"/>
      <c r="DY193" s="68"/>
      <c r="DZ193" s="68"/>
      <c r="EA193" s="68"/>
      <c r="EB193" s="68"/>
      <c r="EC193" s="68"/>
      <c r="ED193" s="68"/>
      <c r="EE193" s="68"/>
      <c r="EF193" s="68"/>
      <c r="EG193" s="68"/>
      <c r="EH193" s="68"/>
      <c r="EI193" s="68"/>
      <c r="EJ193" s="68"/>
      <c r="EK193" s="68"/>
      <c r="EL193" s="68"/>
      <c r="EM193" s="68"/>
      <c r="EN193" s="68"/>
      <c r="EO193" s="68"/>
      <c r="EP193" s="68"/>
    </row>
    <row r="194" spans="1:146" s="78" customFormat="1" ht="11.25">
      <c r="A194" s="87" t="str">
        <f t="shared" si="27"/>
        <v>TC3TOTAL SECONDARY &gt; 10 kW</v>
      </c>
      <c r="B194" s="83">
        <v>5</v>
      </c>
      <c r="C194" s="96" t="s">
        <v>18</v>
      </c>
      <c r="D194" s="85"/>
      <c r="E194" s="231">
        <f>SUM(E192:E193)</f>
        <v>2413234.5799999996</v>
      </c>
      <c r="F194" s="231">
        <f t="shared" ref="F194:Q194" si="29">SUM(F192:F193)</f>
        <v>2235612.5299999998</v>
      </c>
      <c r="G194" s="231">
        <f t="shared" si="29"/>
        <v>2222943.0099999998</v>
      </c>
      <c r="H194" s="231">
        <f t="shared" si="29"/>
        <v>2245816.63</v>
      </c>
      <c r="I194" s="231">
        <f t="shared" si="29"/>
        <v>2181188.86</v>
      </c>
      <c r="J194" s="231">
        <f t="shared" si="29"/>
        <v>2310307.69</v>
      </c>
      <c r="K194" s="231">
        <f t="shared" si="29"/>
        <v>2296570.5300000003</v>
      </c>
      <c r="L194" s="231">
        <f t="shared" si="29"/>
        <v>2349451.7200000002</v>
      </c>
      <c r="M194" s="231">
        <f t="shared" si="29"/>
        <v>2583283.54</v>
      </c>
      <c r="N194" s="231">
        <f t="shared" si="29"/>
        <v>2861930.07</v>
      </c>
      <c r="O194" s="231">
        <f t="shared" si="29"/>
        <v>2905492.8200000003</v>
      </c>
      <c r="P194" s="231">
        <f t="shared" si="29"/>
        <v>2941135.24</v>
      </c>
      <c r="Q194" s="231">
        <f t="shared" si="29"/>
        <v>29546967.220000003</v>
      </c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  <c r="AO194" s="68"/>
      <c r="AP194" s="68"/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68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68"/>
      <c r="CY194" s="68"/>
      <c r="CZ194" s="68"/>
      <c r="DA194" s="68"/>
      <c r="DB194" s="68"/>
      <c r="DC194" s="68"/>
      <c r="DD194" s="68"/>
      <c r="DE194" s="68"/>
      <c r="DF194" s="68"/>
      <c r="DG194" s="68"/>
      <c r="DH194" s="68"/>
      <c r="DI194" s="68"/>
      <c r="DJ194" s="68"/>
      <c r="DK194" s="68"/>
      <c r="DL194" s="68"/>
      <c r="DM194" s="68"/>
      <c r="DN194" s="68"/>
      <c r="DO194" s="68"/>
      <c r="DP194" s="68"/>
      <c r="DQ194" s="68"/>
      <c r="DR194" s="68"/>
      <c r="DS194" s="68"/>
      <c r="DT194" s="68"/>
      <c r="DU194" s="68"/>
      <c r="DV194" s="68"/>
      <c r="DW194" s="68"/>
      <c r="DX194" s="68"/>
      <c r="DY194" s="68"/>
      <c r="DZ194" s="68"/>
      <c r="EA194" s="68"/>
      <c r="EB194" s="68"/>
      <c r="EC194" s="68"/>
      <c r="ED194" s="68"/>
      <c r="EE194" s="68"/>
      <c r="EF194" s="68"/>
      <c r="EG194" s="68"/>
      <c r="EH194" s="68"/>
      <c r="EI194" s="68"/>
      <c r="EJ194" s="68"/>
      <c r="EK194" s="68"/>
      <c r="EL194" s="68"/>
      <c r="EM194" s="68"/>
      <c r="EN194" s="68"/>
      <c r="EO194" s="68"/>
      <c r="EP194" s="68"/>
    </row>
    <row r="195" spans="1:146" s="78" customFormat="1" ht="11.25">
      <c r="A195" s="87" t="str">
        <f t="shared" si="27"/>
        <v>TC3</v>
      </c>
      <c r="C195" s="146"/>
      <c r="D195" s="85"/>
      <c r="E195" s="231"/>
      <c r="F195" s="231"/>
      <c r="G195" s="231"/>
      <c r="H195" s="231"/>
      <c r="I195" s="231"/>
      <c r="J195" s="231"/>
      <c r="K195" s="231"/>
      <c r="L195" s="231"/>
      <c r="M195" s="231"/>
      <c r="N195" s="231"/>
      <c r="O195" s="231"/>
      <c r="P195" s="90"/>
      <c r="Q195" s="71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  <c r="AO195" s="68"/>
      <c r="AP195" s="68"/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68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68"/>
      <c r="CY195" s="68"/>
      <c r="CZ195" s="68"/>
      <c r="DA195" s="68"/>
      <c r="DB195" s="68"/>
      <c r="DC195" s="68"/>
      <c r="DD195" s="68"/>
      <c r="DE195" s="68"/>
      <c r="DF195" s="68"/>
      <c r="DG195" s="68"/>
      <c r="DH195" s="68"/>
      <c r="DI195" s="68"/>
      <c r="DJ195" s="68"/>
      <c r="DK195" s="68"/>
      <c r="DL195" s="68"/>
      <c r="DM195" s="68"/>
      <c r="DN195" s="68"/>
      <c r="DO195" s="68"/>
      <c r="DP195" s="68"/>
      <c r="DQ195" s="68"/>
      <c r="DR195" s="68"/>
      <c r="DS195" s="68"/>
      <c r="DT195" s="68"/>
      <c r="DU195" s="68"/>
      <c r="DV195" s="68"/>
      <c r="DW195" s="68"/>
      <c r="DX195" s="68"/>
      <c r="DY195" s="68"/>
      <c r="DZ195" s="68"/>
      <c r="EA195" s="68"/>
      <c r="EB195" s="68"/>
      <c r="EC195" s="68"/>
      <c r="ED195" s="68"/>
      <c r="EE195" s="68"/>
      <c r="EF195" s="68"/>
      <c r="EG195" s="68"/>
      <c r="EH195" s="68"/>
      <c r="EI195" s="68"/>
      <c r="EJ195" s="68"/>
      <c r="EK195" s="68"/>
      <c r="EL195" s="68"/>
      <c r="EM195" s="68"/>
      <c r="EN195" s="68"/>
      <c r="EO195" s="68"/>
      <c r="EP195" s="68"/>
    </row>
    <row r="196" spans="1:146" s="78" customFormat="1" ht="11.25">
      <c r="A196" s="87" t="str">
        <f t="shared" si="27"/>
        <v>TC3PRIMARY NCP</v>
      </c>
      <c r="B196" s="83">
        <v>6</v>
      </c>
      <c r="C196" s="87" t="s">
        <v>82</v>
      </c>
      <c r="D196" s="74" t="s">
        <v>5</v>
      </c>
      <c r="E196" s="124">
        <f>33299.81-E198</f>
        <v>32664.379999999997</v>
      </c>
      <c r="F196" s="124">
        <f>34251.22-F198</f>
        <v>33641.050000000003</v>
      </c>
      <c r="G196" s="124">
        <f>34588.48-G198</f>
        <v>34025.65</v>
      </c>
      <c r="H196" s="124">
        <f>32904.82-H198</f>
        <v>32384.739999999998</v>
      </c>
      <c r="I196" s="124">
        <f>34813.18-I198</f>
        <v>34290.239999999998</v>
      </c>
      <c r="J196" s="124">
        <f>40580.07-J198</f>
        <v>40064.57</v>
      </c>
      <c r="K196" s="124">
        <f>42811.01-K198</f>
        <v>42285.89</v>
      </c>
      <c r="L196" s="124">
        <f>42096.27-L198</f>
        <v>41537.17</v>
      </c>
      <c r="M196" s="124">
        <f>36264.57-M198</f>
        <v>35686.39</v>
      </c>
      <c r="N196" s="124">
        <f>42089.35-N198</f>
        <v>41507.439999999995</v>
      </c>
      <c r="O196" s="124">
        <f>42861.04-O198</f>
        <v>42287.97</v>
      </c>
      <c r="P196" s="124">
        <f>42762.03-P198</f>
        <v>42212.71</v>
      </c>
      <c r="Q196" s="90">
        <f t="shared" ref="Q196:Q199" si="30">SUM(E196:P196)</f>
        <v>452588.2</v>
      </c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  <c r="AO196" s="68"/>
      <c r="AP196" s="68"/>
      <c r="AQ196" s="68"/>
      <c r="AR196" s="68"/>
      <c r="AS196" s="68"/>
      <c r="AT196" s="68"/>
      <c r="AU196" s="68"/>
      <c r="AV196" s="68"/>
      <c r="AW196" s="68"/>
      <c r="AX196" s="68"/>
      <c r="AY196" s="68"/>
      <c r="AZ196" s="68"/>
      <c r="BA196" s="68"/>
      <c r="BB196" s="68"/>
      <c r="BC196" s="68"/>
      <c r="BD196" s="68"/>
      <c r="BE196" s="68"/>
      <c r="BF196" s="68"/>
      <c r="BG196" s="68"/>
      <c r="BH196" s="68"/>
      <c r="BI196" s="68"/>
      <c r="BJ196" s="68"/>
      <c r="BK196" s="68"/>
      <c r="BL196" s="68"/>
      <c r="BM196" s="68"/>
      <c r="BN196" s="68"/>
      <c r="BO196" s="68"/>
      <c r="BP196" s="68"/>
      <c r="BQ196" s="68"/>
      <c r="BR196" s="68"/>
      <c r="BS196" s="68"/>
      <c r="BT196" s="68"/>
      <c r="BU196" s="68"/>
      <c r="BV196" s="68"/>
      <c r="BW196" s="68"/>
      <c r="BX196" s="68"/>
      <c r="BY196" s="68"/>
      <c r="BZ196" s="68"/>
      <c r="CA196" s="68"/>
      <c r="CB196" s="68"/>
      <c r="CC196" s="68"/>
      <c r="CD196" s="68"/>
      <c r="CE196" s="68"/>
      <c r="CF196" s="68"/>
      <c r="CG196" s="68"/>
      <c r="CH196" s="68"/>
      <c r="CI196" s="68"/>
      <c r="CJ196" s="68"/>
      <c r="CK196" s="68"/>
      <c r="CL196" s="68"/>
      <c r="CM196" s="68"/>
      <c r="CN196" s="68"/>
      <c r="CO196" s="68"/>
      <c r="CP196" s="68"/>
      <c r="CQ196" s="68"/>
      <c r="CR196" s="68"/>
      <c r="CS196" s="68"/>
      <c r="CT196" s="68"/>
      <c r="CU196" s="68"/>
      <c r="CV196" s="68"/>
      <c r="CW196" s="68"/>
      <c r="CX196" s="68"/>
      <c r="CY196" s="68"/>
      <c r="CZ196" s="68"/>
      <c r="DA196" s="68"/>
      <c r="DB196" s="68"/>
      <c r="DC196" s="68"/>
      <c r="DD196" s="68"/>
      <c r="DE196" s="68"/>
      <c r="DF196" s="68"/>
      <c r="DG196" s="68"/>
      <c r="DH196" s="68"/>
      <c r="DI196" s="68"/>
      <c r="DJ196" s="68"/>
      <c r="DK196" s="68"/>
      <c r="DL196" s="68"/>
      <c r="DM196" s="68"/>
      <c r="DN196" s="68"/>
      <c r="DO196" s="68"/>
      <c r="DP196" s="68"/>
      <c r="DQ196" s="68"/>
      <c r="DR196" s="68"/>
      <c r="DS196" s="68"/>
      <c r="DT196" s="68"/>
      <c r="DU196" s="68"/>
      <c r="DV196" s="68"/>
      <c r="DW196" s="68"/>
      <c r="DX196" s="68"/>
      <c r="DY196" s="68"/>
      <c r="DZ196" s="68"/>
      <c r="EA196" s="68"/>
      <c r="EB196" s="68"/>
      <c r="EC196" s="68"/>
      <c r="ED196" s="68"/>
      <c r="EE196" s="68"/>
      <c r="EF196" s="68"/>
      <c r="EG196" s="68"/>
      <c r="EH196" s="68"/>
      <c r="EI196" s="68"/>
      <c r="EJ196" s="68"/>
      <c r="EK196" s="68"/>
      <c r="EL196" s="68"/>
      <c r="EM196" s="68"/>
      <c r="EN196" s="68"/>
      <c r="EO196" s="68"/>
      <c r="EP196" s="68"/>
    </row>
    <row r="197" spans="1:146" s="78" customFormat="1" ht="11.25">
      <c r="A197" s="87" t="str">
        <f t="shared" si="27"/>
        <v>TC3PRIMARY 4CP</v>
      </c>
      <c r="B197" s="83">
        <v>7</v>
      </c>
      <c r="C197" s="87" t="s">
        <v>83</v>
      </c>
      <c r="D197" s="74" t="s">
        <v>5</v>
      </c>
      <c r="E197" s="124">
        <f>475369.58-E199</f>
        <v>417510.87</v>
      </c>
      <c r="F197" s="124">
        <f>468602.79-F199</f>
        <v>410744.07999999996</v>
      </c>
      <c r="G197" s="124">
        <f>450500.93-G199</f>
        <v>392642.22</v>
      </c>
      <c r="H197" s="124">
        <f>458378.24-H199</f>
        <v>400519.52999999997</v>
      </c>
      <c r="I197" s="124">
        <f>434084.12-I199</f>
        <v>376225.41</v>
      </c>
      <c r="J197" s="124">
        <f>463457.74-J199</f>
        <v>405599.02999999997</v>
      </c>
      <c r="K197" s="124">
        <f>425972.18-K199</f>
        <v>368113.47</v>
      </c>
      <c r="L197" s="124">
        <f>464072.09-L199</f>
        <v>406213.38</v>
      </c>
      <c r="M197" s="124">
        <f>474421.82-M199</f>
        <v>416563.11</v>
      </c>
      <c r="N197" s="124">
        <f>496303.04-N199</f>
        <v>438444.32999999996</v>
      </c>
      <c r="O197" s="124">
        <f>500058.85-O199</f>
        <v>442200.13999999996</v>
      </c>
      <c r="P197" s="124">
        <f>484647.78-P199</f>
        <v>426789.07</v>
      </c>
      <c r="Q197" s="90">
        <f t="shared" si="30"/>
        <v>4901564.6399999997</v>
      </c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  <c r="AO197" s="68"/>
      <c r="AP197" s="68"/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68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68"/>
      <c r="CY197" s="68"/>
      <c r="CZ197" s="68"/>
      <c r="DA197" s="68"/>
      <c r="DB197" s="68"/>
      <c r="DC197" s="68"/>
      <c r="DD197" s="68"/>
      <c r="DE197" s="68"/>
      <c r="DF197" s="68"/>
      <c r="DG197" s="68"/>
      <c r="DH197" s="68"/>
      <c r="DI197" s="68"/>
      <c r="DJ197" s="68"/>
      <c r="DK197" s="68"/>
      <c r="DL197" s="68"/>
      <c r="DM197" s="68"/>
      <c r="DN197" s="68"/>
      <c r="DO197" s="68"/>
      <c r="DP197" s="68"/>
      <c r="DQ197" s="68"/>
      <c r="DR197" s="68"/>
      <c r="DS197" s="68"/>
      <c r="DT197" s="68"/>
      <c r="DU197" s="68"/>
      <c r="DV197" s="68"/>
      <c r="DW197" s="68"/>
      <c r="DX197" s="68"/>
      <c r="DY197" s="68"/>
      <c r="DZ197" s="68"/>
      <c r="EA197" s="68"/>
      <c r="EB197" s="68"/>
      <c r="EC197" s="68"/>
      <c r="ED197" s="68"/>
      <c r="EE197" s="68"/>
      <c r="EF197" s="68"/>
      <c r="EG197" s="68"/>
      <c r="EH197" s="68"/>
      <c r="EI197" s="68"/>
      <c r="EJ197" s="68"/>
      <c r="EK197" s="68"/>
      <c r="EL197" s="68"/>
      <c r="EM197" s="68"/>
      <c r="EN197" s="68"/>
      <c r="EO197" s="68"/>
      <c r="EP197" s="68"/>
    </row>
    <row r="198" spans="1:146" s="78" customFormat="1" ht="11.25">
      <c r="A198" s="87" t="str">
        <f t="shared" si="27"/>
        <v>TC3PRIMARY SUB NCP</v>
      </c>
      <c r="B198" s="83">
        <v>8</v>
      </c>
      <c r="C198" s="87" t="s">
        <v>148</v>
      </c>
      <c r="D198" s="74" t="s">
        <v>5</v>
      </c>
      <c r="E198" s="124">
        <f>+'Prm Sb Rev Rider'!GO72</f>
        <v>635.43000000000006</v>
      </c>
      <c r="F198" s="124">
        <f>+'Prm Sb Rev Rider'!GP72</f>
        <v>610.16999999999996</v>
      </c>
      <c r="G198" s="124">
        <f>+'Prm Sb Rev Rider'!GQ72</f>
        <v>562.83000000000004</v>
      </c>
      <c r="H198" s="124">
        <f>+'Prm Sb Rev Rider'!GR72</f>
        <v>520.08000000000004</v>
      </c>
      <c r="I198" s="124">
        <f>+'Prm Sb Rev Rider'!GS72</f>
        <v>522.94000000000005</v>
      </c>
      <c r="J198" s="124">
        <f>+'Prm Sb Rev Rider'!GT72</f>
        <v>515.5</v>
      </c>
      <c r="K198" s="124">
        <f>+'Prm Sb Rev Rider'!GU72</f>
        <v>525.12</v>
      </c>
      <c r="L198" s="124">
        <f>+'Prm Sb Rev Rider'!GV72</f>
        <v>559.09999999999991</v>
      </c>
      <c r="M198" s="124">
        <f>+'Prm Sb Rev Rider'!GW72</f>
        <v>578.18000000000006</v>
      </c>
      <c r="N198" s="124">
        <f>+'Prm Sb Rev Rider'!GX72</f>
        <v>581.91000000000008</v>
      </c>
      <c r="O198" s="124">
        <f>+'Prm Sb Rev Rider'!GY72</f>
        <v>573.06999999999994</v>
      </c>
      <c r="P198" s="124">
        <f>+'Prm Sb Rev Rider'!GZ72</f>
        <v>549.31999999999994</v>
      </c>
      <c r="Q198" s="124">
        <f t="shared" si="30"/>
        <v>6733.65</v>
      </c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  <c r="AO198" s="68"/>
      <c r="AP198" s="68"/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68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68"/>
      <c r="CY198" s="68"/>
      <c r="CZ198" s="68"/>
      <c r="DA198" s="68"/>
      <c r="DB198" s="68"/>
      <c r="DC198" s="68"/>
      <c r="DD198" s="68"/>
      <c r="DE198" s="68"/>
      <c r="DF198" s="68"/>
      <c r="DG198" s="68"/>
      <c r="DH198" s="68"/>
      <c r="DI198" s="68"/>
      <c r="DJ198" s="68"/>
      <c r="DK198" s="68"/>
      <c r="DL198" s="68"/>
      <c r="DM198" s="68"/>
      <c r="DN198" s="68"/>
      <c r="DO198" s="68"/>
      <c r="DP198" s="68"/>
      <c r="DQ198" s="68"/>
      <c r="DR198" s="68"/>
      <c r="DS198" s="68"/>
      <c r="DT198" s="68"/>
      <c r="DU198" s="68"/>
      <c r="DV198" s="68"/>
      <c r="DW198" s="68"/>
      <c r="DX198" s="68"/>
      <c r="DY198" s="68"/>
      <c r="DZ198" s="68"/>
      <c r="EA198" s="68"/>
      <c r="EB198" s="68"/>
      <c r="EC198" s="68"/>
      <c r="ED198" s="68"/>
      <c r="EE198" s="68"/>
      <c r="EF198" s="68"/>
      <c r="EG198" s="68"/>
      <c r="EH198" s="68"/>
      <c r="EI198" s="68"/>
      <c r="EJ198" s="68"/>
      <c r="EK198" s="68"/>
      <c r="EL198" s="68"/>
      <c r="EM198" s="68"/>
      <c r="EN198" s="68"/>
      <c r="EO198" s="68"/>
      <c r="EP198" s="68"/>
    </row>
    <row r="199" spans="1:146" s="78" customFormat="1" ht="11.25">
      <c r="A199" s="87" t="str">
        <f t="shared" si="27"/>
        <v>TC3PRIMARY SUB 4CP</v>
      </c>
      <c r="B199" s="83">
        <v>9</v>
      </c>
      <c r="C199" s="87" t="s">
        <v>149</v>
      </c>
      <c r="D199" s="74" t="s">
        <v>5</v>
      </c>
      <c r="E199" s="124">
        <f>+'[7]Rev Rider Data'!$GO$60+'[7]Rev Rider Data'!$GO$62</f>
        <v>57858.710000000006</v>
      </c>
      <c r="F199" s="124">
        <f>+'[7]Rev Rider Data'!$GO$60+'[7]Rev Rider Data'!$GO$62</f>
        <v>57858.710000000006</v>
      </c>
      <c r="G199" s="124">
        <f>+'[7]Rev Rider Data'!$GO$60+'[7]Rev Rider Data'!$GO$62</f>
        <v>57858.710000000006</v>
      </c>
      <c r="H199" s="124">
        <f>+'[7]Rev Rider Data'!$GO$60+'[7]Rev Rider Data'!$GO$62</f>
        <v>57858.710000000006</v>
      </c>
      <c r="I199" s="124">
        <f>+'[7]Rev Rider Data'!$GO$60+'[7]Rev Rider Data'!$GO$62</f>
        <v>57858.710000000006</v>
      </c>
      <c r="J199" s="124">
        <f>+'[7]Rev Rider Data'!$GO$60+'[7]Rev Rider Data'!$GO$62</f>
        <v>57858.710000000006</v>
      </c>
      <c r="K199" s="124">
        <f>+'[7]Rev Rider Data'!$GO$60+'[7]Rev Rider Data'!$GO$62</f>
        <v>57858.710000000006</v>
      </c>
      <c r="L199" s="124">
        <f>+'[7]Rev Rider Data'!$GO$60+'[7]Rev Rider Data'!$GO$62</f>
        <v>57858.710000000006</v>
      </c>
      <c r="M199" s="124">
        <f>+'[7]Rev Rider Data'!$GO$60+'[7]Rev Rider Data'!$GO$62</f>
        <v>57858.710000000006</v>
      </c>
      <c r="N199" s="124">
        <f>+'[7]Rev Rider Data'!$GO$60+'[7]Rev Rider Data'!$GO$62</f>
        <v>57858.710000000006</v>
      </c>
      <c r="O199" s="124">
        <f>+'[7]Rev Rider Data'!$GO$60+'[7]Rev Rider Data'!$GO$62</f>
        <v>57858.710000000006</v>
      </c>
      <c r="P199" s="124">
        <f>+'[7]Rev Rider Data'!$GO$60+'[7]Rev Rider Data'!$GO$62</f>
        <v>57858.710000000006</v>
      </c>
      <c r="Q199" s="124">
        <f t="shared" si="30"/>
        <v>694304.52</v>
      </c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  <c r="AO199" s="68"/>
      <c r="AP199" s="68"/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68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68"/>
      <c r="CY199" s="68"/>
      <c r="CZ199" s="68"/>
      <c r="DA199" s="68"/>
      <c r="DB199" s="68"/>
      <c r="DC199" s="68"/>
      <c r="DD199" s="68"/>
      <c r="DE199" s="68"/>
      <c r="DF199" s="68"/>
      <c r="DG199" s="68"/>
      <c r="DH199" s="68"/>
      <c r="DI199" s="68"/>
      <c r="DJ199" s="68"/>
      <c r="DK199" s="68"/>
      <c r="DL199" s="68"/>
      <c r="DM199" s="68"/>
      <c r="DN199" s="68"/>
      <c r="DO199" s="68"/>
      <c r="DP199" s="68"/>
      <c r="DQ199" s="68"/>
      <c r="DR199" s="68"/>
      <c r="DS199" s="68"/>
      <c r="DT199" s="68"/>
      <c r="DU199" s="68"/>
      <c r="DV199" s="68"/>
      <c r="DW199" s="68"/>
      <c r="DX199" s="68"/>
      <c r="DY199" s="68"/>
      <c r="DZ199" s="68"/>
      <c r="EA199" s="68"/>
      <c r="EB199" s="68"/>
      <c r="EC199" s="68"/>
      <c r="ED199" s="68"/>
      <c r="EE199" s="68"/>
      <c r="EF199" s="68"/>
      <c r="EG199" s="68"/>
      <c r="EH199" s="68"/>
      <c r="EI199" s="68"/>
      <c r="EJ199" s="68"/>
      <c r="EK199" s="68"/>
      <c r="EL199" s="68"/>
      <c r="EM199" s="68"/>
      <c r="EN199" s="68"/>
      <c r="EO199" s="68"/>
      <c r="EP199" s="68"/>
    </row>
    <row r="200" spans="1:146" s="78" customFormat="1" ht="11.25">
      <c r="A200" s="87" t="str">
        <f t="shared" si="27"/>
        <v>TC3TOTAL PRIMARY</v>
      </c>
      <c r="B200" s="83">
        <v>10</v>
      </c>
      <c r="C200" s="78" t="s">
        <v>19</v>
      </c>
      <c r="D200" s="74"/>
      <c r="E200" s="233">
        <f>SUM(E196:E199)</f>
        <v>508669.39</v>
      </c>
      <c r="F200" s="233">
        <f t="shared" ref="F200:Q200" si="31">SUM(F196:F199)</f>
        <v>502854.00999999995</v>
      </c>
      <c r="G200" s="233">
        <f t="shared" si="31"/>
        <v>485089.41000000003</v>
      </c>
      <c r="H200" s="233">
        <f t="shared" si="31"/>
        <v>491283.06</v>
      </c>
      <c r="I200" s="233">
        <f t="shared" si="31"/>
        <v>468897.3</v>
      </c>
      <c r="J200" s="233">
        <f t="shared" si="31"/>
        <v>504037.81</v>
      </c>
      <c r="K200" s="233">
        <f t="shared" si="31"/>
        <v>468783.19</v>
      </c>
      <c r="L200" s="233">
        <f t="shared" si="31"/>
        <v>506168.36</v>
      </c>
      <c r="M200" s="233">
        <f t="shared" si="31"/>
        <v>510686.39</v>
      </c>
      <c r="N200" s="233">
        <f t="shared" si="31"/>
        <v>538392.3899999999</v>
      </c>
      <c r="O200" s="233">
        <f t="shared" si="31"/>
        <v>542919.89</v>
      </c>
      <c r="P200" s="233">
        <f t="shared" si="31"/>
        <v>527409.81000000006</v>
      </c>
      <c r="Q200" s="233">
        <f t="shared" si="31"/>
        <v>6055191.0099999998</v>
      </c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  <c r="AO200" s="68"/>
      <c r="AP200" s="68"/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68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68"/>
      <c r="CY200" s="68"/>
      <c r="CZ200" s="68"/>
      <c r="DA200" s="68"/>
      <c r="DB200" s="68"/>
      <c r="DC200" s="68"/>
      <c r="DD200" s="68"/>
      <c r="DE200" s="68"/>
      <c r="DF200" s="68"/>
      <c r="DG200" s="68"/>
      <c r="DH200" s="68"/>
      <c r="DI200" s="68"/>
      <c r="DJ200" s="68"/>
      <c r="DK200" s="68"/>
      <c r="DL200" s="68"/>
      <c r="DM200" s="68"/>
      <c r="DN200" s="68"/>
      <c r="DO200" s="68"/>
      <c r="DP200" s="68"/>
      <c r="DQ200" s="68"/>
      <c r="DR200" s="68"/>
      <c r="DS200" s="68"/>
      <c r="DT200" s="68"/>
      <c r="DU200" s="68"/>
      <c r="DV200" s="68"/>
      <c r="DW200" s="68"/>
      <c r="DX200" s="68"/>
      <c r="DY200" s="68"/>
      <c r="DZ200" s="68"/>
      <c r="EA200" s="68"/>
      <c r="EB200" s="68"/>
      <c r="EC200" s="68"/>
      <c r="ED200" s="68"/>
      <c r="EE200" s="68"/>
      <c r="EF200" s="68"/>
      <c r="EG200" s="68"/>
      <c r="EH200" s="68"/>
      <c r="EI200" s="68"/>
      <c r="EJ200" s="68"/>
      <c r="EK200" s="68"/>
      <c r="EL200" s="68"/>
      <c r="EM200" s="68"/>
      <c r="EN200" s="68"/>
      <c r="EO200" s="68"/>
      <c r="EP200" s="68"/>
    </row>
    <row r="201" spans="1:146" s="78" customFormat="1" ht="11.25">
      <c r="A201" s="87" t="str">
        <f t="shared" si="27"/>
        <v>TC3</v>
      </c>
      <c r="B201" s="83"/>
      <c r="D201" s="74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3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  <c r="AO201" s="68"/>
      <c r="AP201" s="68"/>
      <c r="AQ201" s="68"/>
      <c r="AR201" s="68"/>
      <c r="AS201" s="68"/>
      <c r="AT201" s="68"/>
      <c r="AU201" s="68"/>
      <c r="AV201" s="68"/>
      <c r="AW201" s="68"/>
      <c r="AX201" s="68"/>
      <c r="AY201" s="68"/>
      <c r="AZ201" s="68"/>
      <c r="BA201" s="68"/>
      <c r="BB201" s="68"/>
      <c r="BC201" s="68"/>
      <c r="BD201" s="68"/>
      <c r="BE201" s="68"/>
      <c r="BF201" s="68"/>
      <c r="BG201" s="68"/>
      <c r="BH201" s="68"/>
      <c r="BI201" s="68"/>
      <c r="BJ201" s="68"/>
      <c r="BK201" s="68"/>
      <c r="BL201" s="68"/>
      <c r="BM201" s="68"/>
      <c r="BN201" s="68"/>
      <c r="BO201" s="68"/>
      <c r="BP201" s="68"/>
      <c r="BQ201" s="68"/>
      <c r="BR201" s="68"/>
      <c r="BS201" s="68"/>
      <c r="BT201" s="68"/>
      <c r="BU201" s="68"/>
      <c r="BV201" s="68"/>
      <c r="BW201" s="68"/>
      <c r="BX201" s="68"/>
      <c r="BY201" s="68"/>
      <c r="BZ201" s="68"/>
      <c r="CA201" s="68"/>
      <c r="CB201" s="68"/>
      <c r="CC201" s="68"/>
      <c r="CD201" s="68"/>
      <c r="CE201" s="68"/>
      <c r="CF201" s="68"/>
      <c r="CG201" s="68"/>
      <c r="CH201" s="68"/>
      <c r="CI201" s="68"/>
      <c r="CJ201" s="68"/>
      <c r="CK201" s="68"/>
      <c r="CL201" s="68"/>
      <c r="CM201" s="68"/>
      <c r="CN201" s="68"/>
      <c r="CO201" s="68"/>
      <c r="CP201" s="68"/>
      <c r="CQ201" s="68"/>
      <c r="CR201" s="68"/>
      <c r="CS201" s="68"/>
      <c r="CT201" s="68"/>
      <c r="CU201" s="68"/>
      <c r="CV201" s="68"/>
      <c r="CW201" s="68"/>
      <c r="CX201" s="68"/>
      <c r="CY201" s="68"/>
      <c r="CZ201" s="68"/>
      <c r="DA201" s="68"/>
      <c r="DB201" s="68"/>
      <c r="DC201" s="68"/>
      <c r="DD201" s="68"/>
      <c r="DE201" s="68"/>
      <c r="DF201" s="68"/>
      <c r="DG201" s="68"/>
      <c r="DH201" s="68"/>
      <c r="DI201" s="68"/>
      <c r="DJ201" s="68"/>
      <c r="DK201" s="68"/>
      <c r="DL201" s="68"/>
      <c r="DM201" s="68"/>
      <c r="DN201" s="68"/>
      <c r="DO201" s="68"/>
      <c r="DP201" s="68"/>
      <c r="DQ201" s="68"/>
      <c r="DR201" s="68"/>
      <c r="DS201" s="68"/>
      <c r="DT201" s="68"/>
      <c r="DU201" s="68"/>
      <c r="DV201" s="68"/>
      <c r="DW201" s="68"/>
      <c r="DX201" s="68"/>
      <c r="DY201" s="68"/>
      <c r="DZ201" s="68"/>
      <c r="EA201" s="68"/>
      <c r="EB201" s="68"/>
      <c r="EC201" s="68"/>
      <c r="ED201" s="68"/>
      <c r="EE201" s="68"/>
      <c r="EF201" s="68"/>
      <c r="EG201" s="68"/>
      <c r="EH201" s="68"/>
      <c r="EI201" s="68"/>
      <c r="EJ201" s="68"/>
      <c r="EK201" s="68"/>
      <c r="EL201" s="68"/>
      <c r="EM201" s="68"/>
      <c r="EN201" s="68"/>
      <c r="EO201" s="68"/>
      <c r="EP201" s="68"/>
    </row>
    <row r="202" spans="1:146" s="78" customFormat="1" ht="11.25">
      <c r="A202" s="87" t="str">
        <f t="shared" si="27"/>
        <v xml:space="preserve">TC3TRANSMISSION </v>
      </c>
      <c r="B202" s="83">
        <v>11</v>
      </c>
      <c r="C202" s="96" t="s">
        <v>86</v>
      </c>
      <c r="D202" s="74" t="s">
        <v>6</v>
      </c>
      <c r="E202" s="90">
        <v>428092.55000000005</v>
      </c>
      <c r="F202" s="90">
        <v>448600.51000000007</v>
      </c>
      <c r="G202" s="90">
        <v>484131.9</v>
      </c>
      <c r="H202" s="90">
        <v>462922.17</v>
      </c>
      <c r="I202" s="90">
        <v>448278.25</v>
      </c>
      <c r="J202" s="90">
        <v>361359.06000000006</v>
      </c>
      <c r="K202" s="90">
        <v>257349.4</v>
      </c>
      <c r="L202" s="90">
        <v>272172.3</v>
      </c>
      <c r="M202" s="90">
        <v>256266.24000000002</v>
      </c>
      <c r="N202" s="90">
        <v>268760.24</v>
      </c>
      <c r="O202" s="90">
        <v>228295.46</v>
      </c>
      <c r="P202" s="90">
        <v>194591.08</v>
      </c>
      <c r="Q202" s="90">
        <f>SUM(E202:P202)</f>
        <v>4110819.16</v>
      </c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  <c r="AO202" s="68"/>
      <c r="AP202" s="68"/>
      <c r="AQ202" s="68"/>
      <c r="AR202" s="68"/>
      <c r="AS202" s="68"/>
      <c r="AT202" s="68"/>
      <c r="AU202" s="68"/>
      <c r="AV202" s="68"/>
      <c r="AW202" s="68"/>
      <c r="AX202" s="68"/>
      <c r="AY202" s="68"/>
      <c r="AZ202" s="68"/>
      <c r="BA202" s="68"/>
      <c r="BB202" s="68"/>
      <c r="BC202" s="68"/>
      <c r="BD202" s="68"/>
      <c r="BE202" s="68"/>
      <c r="BF202" s="68"/>
      <c r="BG202" s="68"/>
      <c r="BH202" s="68"/>
      <c r="BI202" s="68"/>
      <c r="BJ202" s="68"/>
      <c r="BK202" s="68"/>
      <c r="BL202" s="68"/>
      <c r="BM202" s="68"/>
      <c r="BN202" s="68"/>
      <c r="BO202" s="68"/>
      <c r="BP202" s="68"/>
      <c r="BQ202" s="68"/>
      <c r="BR202" s="68"/>
      <c r="BS202" s="68"/>
      <c r="BT202" s="68"/>
      <c r="BU202" s="68"/>
      <c r="BV202" s="68"/>
      <c r="BW202" s="68"/>
      <c r="BX202" s="68"/>
      <c r="BY202" s="68"/>
      <c r="BZ202" s="68"/>
      <c r="CA202" s="68"/>
      <c r="CB202" s="68"/>
      <c r="CC202" s="68"/>
      <c r="CD202" s="68"/>
      <c r="CE202" s="68"/>
      <c r="CF202" s="68"/>
      <c r="CG202" s="68"/>
      <c r="CH202" s="68"/>
      <c r="CI202" s="68"/>
      <c r="CJ202" s="68"/>
      <c r="CK202" s="68"/>
      <c r="CL202" s="68"/>
      <c r="CM202" s="68"/>
      <c r="CN202" s="68"/>
      <c r="CO202" s="68"/>
      <c r="CP202" s="68"/>
      <c r="CQ202" s="68"/>
      <c r="CR202" s="68"/>
      <c r="CS202" s="68"/>
      <c r="CT202" s="68"/>
      <c r="CU202" s="68"/>
      <c r="CV202" s="68"/>
      <c r="CW202" s="68"/>
      <c r="CX202" s="68"/>
      <c r="CY202" s="68"/>
      <c r="CZ202" s="68"/>
      <c r="DA202" s="68"/>
      <c r="DB202" s="68"/>
      <c r="DC202" s="68"/>
      <c r="DD202" s="68"/>
      <c r="DE202" s="68"/>
      <c r="DF202" s="68"/>
      <c r="DG202" s="68"/>
      <c r="DH202" s="68"/>
      <c r="DI202" s="68"/>
      <c r="DJ202" s="68"/>
      <c r="DK202" s="68"/>
      <c r="DL202" s="68"/>
      <c r="DM202" s="68"/>
      <c r="DN202" s="68"/>
      <c r="DO202" s="68"/>
      <c r="DP202" s="68"/>
      <c r="DQ202" s="68"/>
      <c r="DR202" s="68"/>
      <c r="DS202" s="68"/>
      <c r="DT202" s="68"/>
      <c r="DU202" s="68"/>
      <c r="DV202" s="68"/>
      <c r="DW202" s="68"/>
      <c r="DX202" s="68"/>
      <c r="DY202" s="68"/>
      <c r="DZ202" s="68"/>
      <c r="EA202" s="68"/>
      <c r="EB202" s="68"/>
      <c r="EC202" s="68"/>
      <c r="ED202" s="68"/>
      <c r="EE202" s="68"/>
      <c r="EF202" s="68"/>
      <c r="EG202" s="68"/>
      <c r="EH202" s="68"/>
      <c r="EI202" s="68"/>
      <c r="EJ202" s="68"/>
      <c r="EK202" s="68"/>
      <c r="EL202" s="68"/>
      <c r="EM202" s="68"/>
      <c r="EN202" s="68"/>
      <c r="EO202" s="68"/>
      <c r="EP202" s="68"/>
    </row>
    <row r="203" spans="1:146" s="78" customFormat="1" ht="11.25">
      <c r="A203" s="87" t="str">
        <f t="shared" si="27"/>
        <v>TC3</v>
      </c>
      <c r="D203" s="85"/>
      <c r="E203" s="231"/>
      <c r="F203" s="231"/>
      <c r="G203" s="231"/>
      <c r="H203" s="231"/>
      <c r="I203" s="231"/>
      <c r="J203" s="231"/>
      <c r="K203" s="231"/>
      <c r="L203" s="231"/>
      <c r="M203" s="231"/>
      <c r="N203" s="231"/>
      <c r="O203" s="231"/>
      <c r="P203" s="231"/>
      <c r="Q203" s="71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  <c r="AO203" s="68"/>
      <c r="AP203" s="68"/>
      <c r="AQ203" s="68"/>
      <c r="AR203" s="68"/>
      <c r="AS203" s="68"/>
      <c r="AT203" s="68"/>
      <c r="AU203" s="68"/>
      <c r="AV203" s="68"/>
      <c r="AW203" s="68"/>
      <c r="AX203" s="68"/>
      <c r="AY203" s="68"/>
      <c r="AZ203" s="68"/>
      <c r="BA203" s="68"/>
      <c r="BB203" s="68"/>
      <c r="BC203" s="68"/>
      <c r="BD203" s="68"/>
      <c r="BE203" s="68"/>
      <c r="BF203" s="68"/>
      <c r="BG203" s="68"/>
      <c r="BH203" s="68"/>
      <c r="BI203" s="68"/>
      <c r="BJ203" s="68"/>
      <c r="BK203" s="68"/>
      <c r="BL203" s="68"/>
      <c r="BM203" s="68"/>
      <c r="BN203" s="68"/>
      <c r="BO203" s="68"/>
      <c r="BP203" s="68"/>
      <c r="BQ203" s="68"/>
      <c r="BR203" s="68"/>
      <c r="BS203" s="68"/>
      <c r="BT203" s="68"/>
      <c r="BU203" s="68"/>
      <c r="BV203" s="68"/>
      <c r="BW203" s="68"/>
      <c r="BX203" s="68"/>
      <c r="BY203" s="68"/>
      <c r="BZ203" s="68"/>
      <c r="CA203" s="68"/>
      <c r="CB203" s="68"/>
      <c r="CC203" s="68"/>
      <c r="CD203" s="68"/>
      <c r="CE203" s="68"/>
      <c r="CF203" s="68"/>
      <c r="CG203" s="68"/>
      <c r="CH203" s="68"/>
      <c r="CI203" s="68"/>
      <c r="CJ203" s="68"/>
      <c r="CK203" s="68"/>
      <c r="CL203" s="68"/>
      <c r="CM203" s="68"/>
      <c r="CN203" s="68"/>
      <c r="CO203" s="68"/>
      <c r="CP203" s="68"/>
      <c r="CQ203" s="68"/>
      <c r="CR203" s="68"/>
      <c r="CS203" s="68"/>
      <c r="CT203" s="68"/>
      <c r="CU203" s="68"/>
      <c r="CV203" s="68"/>
      <c r="CW203" s="68"/>
      <c r="CX203" s="68"/>
      <c r="CY203" s="68"/>
      <c r="CZ203" s="68"/>
      <c r="DA203" s="68"/>
      <c r="DB203" s="68"/>
      <c r="DC203" s="68"/>
      <c r="DD203" s="68"/>
      <c r="DE203" s="68"/>
      <c r="DF203" s="68"/>
      <c r="DG203" s="68"/>
      <c r="DH203" s="68"/>
      <c r="DI203" s="68"/>
      <c r="DJ203" s="68"/>
      <c r="DK203" s="68"/>
      <c r="DL203" s="68"/>
      <c r="DM203" s="68"/>
      <c r="DN203" s="68"/>
      <c r="DO203" s="68"/>
      <c r="DP203" s="68"/>
      <c r="DQ203" s="68"/>
      <c r="DR203" s="68"/>
      <c r="DS203" s="68"/>
      <c r="DT203" s="68"/>
      <c r="DU203" s="68"/>
      <c r="DV203" s="68"/>
      <c r="DW203" s="68"/>
      <c r="DX203" s="68"/>
      <c r="DY203" s="68"/>
      <c r="DZ203" s="68"/>
      <c r="EA203" s="68"/>
      <c r="EB203" s="68"/>
      <c r="EC203" s="68"/>
      <c r="ED203" s="68"/>
      <c r="EE203" s="68"/>
      <c r="EF203" s="68"/>
      <c r="EG203" s="68"/>
      <c r="EH203" s="68"/>
      <c r="EI203" s="68"/>
      <c r="EJ203" s="68"/>
      <c r="EK203" s="68"/>
      <c r="EL203" s="68"/>
      <c r="EM203" s="68"/>
      <c r="EN203" s="68"/>
      <c r="EO203" s="68"/>
      <c r="EP203" s="68"/>
    </row>
    <row r="204" spans="1:146" s="78" customFormat="1" ht="11.25">
      <c r="A204" s="87" t="str">
        <f t="shared" si="27"/>
        <v>TC3LIGHTING</v>
      </c>
      <c r="B204" s="83">
        <v>12</v>
      </c>
      <c r="C204" s="68" t="s">
        <v>21</v>
      </c>
      <c r="D204" s="74" t="s">
        <v>4</v>
      </c>
      <c r="E204" s="90">
        <v>100903.39</v>
      </c>
      <c r="F204" s="90">
        <v>101295.82</v>
      </c>
      <c r="G204" s="90">
        <v>100532.03000000003</v>
      </c>
      <c r="H204" s="90">
        <v>100761.34999999999</v>
      </c>
      <c r="I204" s="90">
        <v>99387.760000000024</v>
      </c>
      <c r="J204" s="90">
        <v>107545.71999999996</v>
      </c>
      <c r="K204" s="90">
        <v>107462.10000000002</v>
      </c>
      <c r="L204" s="90">
        <v>107502.89000000001</v>
      </c>
      <c r="M204" s="90">
        <v>106828.71000000002</v>
      </c>
      <c r="N204" s="90">
        <v>107205.41</v>
      </c>
      <c r="O204" s="90">
        <v>106574.76999999999</v>
      </c>
      <c r="P204" s="90">
        <v>106617.17</v>
      </c>
      <c r="Q204" s="90">
        <f>SUM(E204:P204)</f>
        <v>1252617.1199999999</v>
      </c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  <c r="AO204" s="68"/>
      <c r="AP204" s="68"/>
      <c r="AQ204" s="68"/>
      <c r="AR204" s="68"/>
      <c r="AS204" s="68"/>
      <c r="AT204" s="68"/>
      <c r="AU204" s="68"/>
      <c r="AV204" s="68"/>
      <c r="AW204" s="68"/>
      <c r="AX204" s="68"/>
      <c r="AY204" s="68"/>
      <c r="AZ204" s="68"/>
      <c r="BA204" s="68"/>
      <c r="BB204" s="68"/>
      <c r="BC204" s="68"/>
      <c r="BD204" s="68"/>
      <c r="BE204" s="68"/>
      <c r="BF204" s="68"/>
      <c r="BG204" s="68"/>
      <c r="BH204" s="68"/>
      <c r="BI204" s="68"/>
      <c r="BJ204" s="68"/>
      <c r="BK204" s="68"/>
      <c r="BL204" s="68"/>
      <c r="BM204" s="68"/>
      <c r="BN204" s="68"/>
      <c r="BO204" s="68"/>
      <c r="BP204" s="68"/>
      <c r="BQ204" s="68"/>
      <c r="BR204" s="68"/>
      <c r="BS204" s="68"/>
      <c r="BT204" s="68"/>
      <c r="BU204" s="68"/>
      <c r="BV204" s="68"/>
      <c r="BW204" s="68"/>
      <c r="BX204" s="68"/>
      <c r="BY204" s="68"/>
      <c r="BZ204" s="68"/>
      <c r="CA204" s="68"/>
      <c r="CB204" s="68"/>
      <c r="CC204" s="68"/>
      <c r="CD204" s="68"/>
      <c r="CE204" s="68"/>
      <c r="CF204" s="68"/>
      <c r="CG204" s="68"/>
      <c r="CH204" s="68"/>
      <c r="CI204" s="68"/>
      <c r="CJ204" s="68"/>
      <c r="CK204" s="68"/>
      <c r="CL204" s="68"/>
      <c r="CM204" s="68"/>
      <c r="CN204" s="68"/>
      <c r="CO204" s="68"/>
      <c r="CP204" s="68"/>
      <c r="CQ204" s="68"/>
      <c r="CR204" s="68"/>
      <c r="CS204" s="68"/>
      <c r="CT204" s="68"/>
      <c r="CU204" s="68"/>
      <c r="CV204" s="68"/>
      <c r="CW204" s="68"/>
      <c r="CX204" s="68"/>
      <c r="CY204" s="68"/>
      <c r="CZ204" s="68"/>
      <c r="DA204" s="68"/>
      <c r="DB204" s="68"/>
      <c r="DC204" s="68"/>
      <c r="DD204" s="68"/>
      <c r="DE204" s="68"/>
      <c r="DF204" s="68"/>
      <c r="DG204" s="68"/>
      <c r="DH204" s="68"/>
      <c r="DI204" s="68"/>
      <c r="DJ204" s="68"/>
      <c r="DK204" s="68"/>
      <c r="DL204" s="68"/>
      <c r="DM204" s="68"/>
      <c r="DN204" s="68"/>
      <c r="DO204" s="68"/>
      <c r="DP204" s="68"/>
      <c r="DQ204" s="68"/>
      <c r="DR204" s="68"/>
      <c r="DS204" s="68"/>
      <c r="DT204" s="68"/>
      <c r="DU204" s="68"/>
      <c r="DV204" s="68"/>
      <c r="DW204" s="68"/>
      <c r="DX204" s="68"/>
      <c r="DY204" s="68"/>
      <c r="DZ204" s="68"/>
      <c r="EA204" s="68"/>
      <c r="EB204" s="68"/>
      <c r="EC204" s="68"/>
      <c r="ED204" s="68"/>
      <c r="EE204" s="68"/>
      <c r="EF204" s="68"/>
      <c r="EG204" s="68"/>
      <c r="EH204" s="68"/>
      <c r="EI204" s="68"/>
      <c r="EJ204" s="68"/>
      <c r="EK204" s="68"/>
      <c r="EL204" s="68"/>
      <c r="EM204" s="68"/>
      <c r="EN204" s="68"/>
      <c r="EO204" s="68"/>
      <c r="EP204" s="68"/>
    </row>
    <row r="205" spans="1:146" s="78" customFormat="1" ht="11.25">
      <c r="A205" s="87" t="str">
        <f t="shared" si="27"/>
        <v>TC3</v>
      </c>
      <c r="B205" s="83"/>
      <c r="D205" s="85"/>
      <c r="E205" s="231"/>
      <c r="F205" s="231"/>
      <c r="G205" s="231"/>
      <c r="H205" s="231"/>
      <c r="I205" s="231"/>
      <c r="J205" s="231"/>
      <c r="K205" s="231"/>
      <c r="L205" s="231"/>
      <c r="M205" s="231"/>
      <c r="N205" s="231"/>
      <c r="O205" s="231"/>
      <c r="P205" s="90"/>
      <c r="Q205" s="71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  <c r="AO205" s="68"/>
      <c r="AP205" s="68"/>
      <c r="AQ205" s="68"/>
      <c r="AR205" s="68"/>
      <c r="AS205" s="68"/>
      <c r="AT205" s="68"/>
      <c r="AU205" s="68"/>
      <c r="AV205" s="68"/>
      <c r="AW205" s="68"/>
      <c r="AX205" s="68"/>
      <c r="AY205" s="68"/>
      <c r="AZ205" s="68"/>
      <c r="BA205" s="68"/>
      <c r="BB205" s="68"/>
      <c r="BC205" s="68"/>
      <c r="BD205" s="68"/>
      <c r="BE205" s="68"/>
      <c r="BF205" s="68"/>
      <c r="BG205" s="68"/>
      <c r="BH205" s="68"/>
      <c r="BI205" s="68"/>
      <c r="BJ205" s="68"/>
      <c r="BK205" s="68"/>
      <c r="BL205" s="68"/>
      <c r="BM205" s="68"/>
      <c r="BN205" s="68"/>
      <c r="BO205" s="68"/>
      <c r="BP205" s="68"/>
      <c r="BQ205" s="68"/>
      <c r="BR205" s="68"/>
      <c r="BS205" s="68"/>
      <c r="BT205" s="68"/>
      <c r="BU205" s="68"/>
      <c r="BV205" s="68"/>
      <c r="BW205" s="68"/>
      <c r="BX205" s="68"/>
      <c r="BY205" s="68"/>
      <c r="BZ205" s="68"/>
      <c r="CA205" s="68"/>
      <c r="CB205" s="68"/>
      <c r="CC205" s="68"/>
      <c r="CD205" s="68"/>
      <c r="CE205" s="68"/>
      <c r="CF205" s="68"/>
      <c r="CG205" s="68"/>
      <c r="CH205" s="68"/>
      <c r="CI205" s="68"/>
      <c r="CJ205" s="68"/>
      <c r="CK205" s="68"/>
      <c r="CL205" s="68"/>
      <c r="CM205" s="68"/>
      <c r="CN205" s="68"/>
      <c r="CO205" s="68"/>
      <c r="CP205" s="68"/>
      <c r="CQ205" s="68"/>
      <c r="CR205" s="68"/>
      <c r="CS205" s="68"/>
      <c r="CT205" s="68"/>
      <c r="CU205" s="68"/>
      <c r="CV205" s="68"/>
      <c r="CW205" s="68"/>
      <c r="CX205" s="68"/>
      <c r="CY205" s="68"/>
      <c r="CZ205" s="68"/>
      <c r="DA205" s="68"/>
      <c r="DB205" s="68"/>
      <c r="DC205" s="68"/>
      <c r="DD205" s="68"/>
      <c r="DE205" s="68"/>
      <c r="DF205" s="68"/>
      <c r="DG205" s="68"/>
      <c r="DH205" s="68"/>
      <c r="DI205" s="68"/>
      <c r="DJ205" s="68"/>
      <c r="DK205" s="68"/>
      <c r="DL205" s="68"/>
      <c r="DM205" s="68"/>
      <c r="DN205" s="68"/>
      <c r="DO205" s="68"/>
      <c r="DP205" s="68"/>
      <c r="DQ205" s="68"/>
      <c r="DR205" s="68"/>
      <c r="DS205" s="68"/>
      <c r="DT205" s="68"/>
      <c r="DU205" s="68"/>
      <c r="DV205" s="68"/>
      <c r="DW205" s="68"/>
      <c r="DX205" s="68"/>
      <c r="DY205" s="68"/>
      <c r="DZ205" s="68"/>
      <c r="EA205" s="68"/>
      <c r="EB205" s="68"/>
      <c r="EC205" s="68"/>
      <c r="ED205" s="68"/>
      <c r="EE205" s="68"/>
      <c r="EF205" s="68"/>
      <c r="EG205" s="68"/>
      <c r="EH205" s="68"/>
      <c r="EI205" s="68"/>
      <c r="EJ205" s="68"/>
      <c r="EK205" s="68"/>
      <c r="EL205" s="68"/>
      <c r="EM205" s="68"/>
      <c r="EN205" s="68"/>
      <c r="EO205" s="68"/>
      <c r="EP205" s="68"/>
    </row>
    <row r="206" spans="1:146" s="78" customFormat="1" ht="11.25">
      <c r="A206" s="87" t="str">
        <f t="shared" si="27"/>
        <v>TC3TOTAL RETAIL</v>
      </c>
      <c r="B206" s="83">
        <v>13</v>
      </c>
      <c r="C206" s="114" t="s">
        <v>22</v>
      </c>
      <c r="D206" s="212"/>
      <c r="E206" s="234">
        <f>+E188+E190+E194+E200+E202+E204</f>
        <v>6264312.299999998</v>
      </c>
      <c r="F206" s="234">
        <f t="shared" ref="F206:Q206" si="32">+F188+F190+F194+F200+F202+F204</f>
        <v>5524345.9900000002</v>
      </c>
      <c r="G206" s="234">
        <f t="shared" si="32"/>
        <v>5779095.7700000005</v>
      </c>
      <c r="H206" s="234">
        <f t="shared" si="32"/>
        <v>5921748.0599999996</v>
      </c>
      <c r="I206" s="234">
        <f t="shared" si="32"/>
        <v>5471831.0999999996</v>
      </c>
      <c r="J206" s="234">
        <f t="shared" si="32"/>
        <v>5289112.3299999991</v>
      </c>
      <c r="K206" s="234">
        <f t="shared" si="32"/>
        <v>5147931.7100000009</v>
      </c>
      <c r="L206" s="234">
        <f t="shared" si="32"/>
        <v>5430837.2800000003</v>
      </c>
      <c r="M206" s="234">
        <f t="shared" si="32"/>
        <v>6370336.9800000004</v>
      </c>
      <c r="N206" s="234">
        <f t="shared" si="32"/>
        <v>7452014.5099999998</v>
      </c>
      <c r="O206" s="234">
        <f t="shared" si="32"/>
        <v>7453222.9799999995</v>
      </c>
      <c r="P206" s="234">
        <f t="shared" si="32"/>
        <v>7370447.1900000013</v>
      </c>
      <c r="Q206" s="234">
        <f t="shared" si="32"/>
        <v>73475236.200000003</v>
      </c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  <c r="AS206" s="68"/>
      <c r="AT206" s="68"/>
      <c r="AU206" s="68"/>
      <c r="AV206" s="68"/>
      <c r="AW206" s="68"/>
      <c r="AX206" s="68"/>
      <c r="AY206" s="68"/>
      <c r="AZ206" s="68"/>
      <c r="BA206" s="68"/>
      <c r="BB206" s="68"/>
      <c r="BC206" s="68"/>
      <c r="BD206" s="68"/>
      <c r="BE206" s="68"/>
      <c r="BF206" s="68"/>
      <c r="BG206" s="68"/>
      <c r="BH206" s="68"/>
      <c r="BI206" s="68"/>
      <c r="BJ206" s="68"/>
      <c r="BK206" s="68"/>
      <c r="BL206" s="68"/>
      <c r="BM206" s="68"/>
      <c r="BN206" s="68"/>
      <c r="BO206" s="68"/>
      <c r="BP206" s="68"/>
      <c r="BQ206" s="68"/>
      <c r="BR206" s="68"/>
      <c r="BS206" s="68"/>
      <c r="BT206" s="68"/>
      <c r="BU206" s="68"/>
      <c r="BV206" s="68"/>
      <c r="BW206" s="68"/>
      <c r="BX206" s="68"/>
      <c r="BY206" s="68"/>
      <c r="BZ206" s="68"/>
      <c r="CA206" s="68"/>
      <c r="CB206" s="68"/>
      <c r="CC206" s="68"/>
      <c r="CD206" s="68"/>
      <c r="CE206" s="68"/>
      <c r="CF206" s="68"/>
      <c r="CG206" s="68"/>
      <c r="CH206" s="68"/>
      <c r="CI206" s="68"/>
      <c r="CJ206" s="68"/>
      <c r="CK206" s="68"/>
      <c r="CL206" s="68"/>
      <c r="CM206" s="68"/>
      <c r="CN206" s="68"/>
      <c r="CO206" s="68"/>
      <c r="CP206" s="68"/>
      <c r="CQ206" s="68"/>
      <c r="CR206" s="68"/>
      <c r="CS206" s="68"/>
      <c r="CT206" s="68"/>
      <c r="CU206" s="68"/>
      <c r="CV206" s="68"/>
      <c r="CW206" s="68"/>
      <c r="CX206" s="68"/>
      <c r="CY206" s="68"/>
      <c r="CZ206" s="68"/>
      <c r="DA206" s="68"/>
      <c r="DB206" s="68"/>
      <c r="DC206" s="68"/>
      <c r="DD206" s="68"/>
      <c r="DE206" s="68"/>
      <c r="DF206" s="68"/>
      <c r="DG206" s="68"/>
      <c r="DH206" s="68"/>
      <c r="DI206" s="68"/>
      <c r="DJ206" s="68"/>
      <c r="DK206" s="68"/>
      <c r="DL206" s="68"/>
      <c r="DM206" s="68"/>
      <c r="DN206" s="68"/>
      <c r="DO206" s="68"/>
      <c r="DP206" s="68"/>
      <c r="DQ206" s="68"/>
      <c r="DR206" s="68"/>
      <c r="DS206" s="68"/>
      <c r="DT206" s="68"/>
      <c r="DU206" s="68"/>
      <c r="DV206" s="68"/>
      <c r="DW206" s="68"/>
      <c r="DX206" s="68"/>
      <c r="DY206" s="68"/>
      <c r="DZ206" s="68"/>
      <c r="EA206" s="68"/>
      <c r="EB206" s="68"/>
      <c r="EC206" s="68"/>
      <c r="ED206" s="68"/>
      <c r="EE206" s="68"/>
      <c r="EF206" s="68"/>
      <c r="EG206" s="68"/>
      <c r="EH206" s="68"/>
      <c r="EI206" s="68"/>
      <c r="EJ206" s="68"/>
      <c r="EK206" s="68"/>
      <c r="EL206" s="68"/>
      <c r="EM206" s="68"/>
      <c r="EN206" s="68"/>
      <c r="EO206" s="68"/>
      <c r="EP206" s="68"/>
    </row>
    <row r="207" spans="1:146" s="78" customFormat="1" ht="11.25">
      <c r="A207" s="87" t="str">
        <f t="shared" si="27"/>
        <v>TC3</v>
      </c>
      <c r="C207" s="212"/>
      <c r="D207" s="212"/>
      <c r="E207" s="231"/>
      <c r="F207" s="231"/>
      <c r="G207" s="231"/>
      <c r="H207" s="231"/>
      <c r="I207" s="231"/>
      <c r="J207" s="231"/>
      <c r="K207" s="231"/>
      <c r="L207" s="231"/>
      <c r="M207" s="231"/>
      <c r="N207" s="231"/>
      <c r="O207" s="231"/>
      <c r="P207" s="90"/>
      <c r="Q207" s="93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  <c r="AO207" s="68"/>
      <c r="AP207" s="68"/>
      <c r="AQ207" s="68"/>
      <c r="AR207" s="68"/>
      <c r="AS207" s="68"/>
      <c r="AT207" s="68"/>
      <c r="AU207" s="68"/>
      <c r="AV207" s="68"/>
      <c r="AW207" s="68"/>
      <c r="AX207" s="68"/>
      <c r="AY207" s="68"/>
      <c r="AZ207" s="68"/>
      <c r="BA207" s="68"/>
      <c r="BB207" s="68"/>
      <c r="BC207" s="68"/>
      <c r="BD207" s="68"/>
      <c r="BE207" s="68"/>
      <c r="BF207" s="68"/>
      <c r="BG207" s="68"/>
      <c r="BH207" s="68"/>
      <c r="BI207" s="68"/>
      <c r="BJ207" s="68"/>
      <c r="BK207" s="68"/>
      <c r="BL207" s="68"/>
      <c r="BM207" s="68"/>
      <c r="BN207" s="68"/>
      <c r="BO207" s="68"/>
      <c r="BP207" s="68"/>
      <c r="BQ207" s="68"/>
      <c r="BR207" s="68"/>
      <c r="BS207" s="68"/>
      <c r="BT207" s="68"/>
      <c r="BU207" s="68"/>
      <c r="BV207" s="68"/>
      <c r="BW207" s="68"/>
      <c r="BX207" s="68"/>
      <c r="BY207" s="68"/>
      <c r="BZ207" s="68"/>
      <c r="CA207" s="68"/>
      <c r="CB207" s="68"/>
      <c r="CC207" s="68"/>
      <c r="CD207" s="68"/>
      <c r="CE207" s="68"/>
      <c r="CF207" s="68"/>
      <c r="CG207" s="68"/>
      <c r="CH207" s="68"/>
      <c r="CI207" s="68"/>
      <c r="CJ207" s="68"/>
      <c r="CK207" s="68"/>
      <c r="CL207" s="68"/>
      <c r="CM207" s="68"/>
      <c r="CN207" s="68"/>
      <c r="CO207" s="68"/>
      <c r="CP207" s="68"/>
      <c r="CQ207" s="68"/>
      <c r="CR207" s="68"/>
      <c r="CS207" s="68"/>
      <c r="CT207" s="68"/>
      <c r="CU207" s="68"/>
      <c r="CV207" s="68"/>
      <c r="CW207" s="68"/>
      <c r="CX207" s="68"/>
      <c r="CY207" s="68"/>
      <c r="CZ207" s="68"/>
      <c r="DA207" s="68"/>
      <c r="DB207" s="68"/>
      <c r="DC207" s="68"/>
      <c r="DD207" s="68"/>
      <c r="DE207" s="68"/>
      <c r="DF207" s="68"/>
      <c r="DG207" s="68"/>
      <c r="DH207" s="68"/>
      <c r="DI207" s="68"/>
      <c r="DJ207" s="68"/>
      <c r="DK207" s="68"/>
      <c r="DL207" s="68"/>
      <c r="DM207" s="68"/>
      <c r="DN207" s="68"/>
      <c r="DO207" s="68"/>
      <c r="DP207" s="68"/>
      <c r="DQ207" s="68"/>
      <c r="DR207" s="68"/>
      <c r="DS207" s="68"/>
      <c r="DT207" s="68"/>
      <c r="DU207" s="68"/>
      <c r="DV207" s="68"/>
      <c r="DW207" s="68"/>
      <c r="DX207" s="68"/>
      <c r="DY207" s="68"/>
      <c r="DZ207" s="68"/>
      <c r="EA207" s="68"/>
      <c r="EB207" s="68"/>
      <c r="EC207" s="68"/>
      <c r="ED207" s="68"/>
      <c r="EE207" s="68"/>
      <c r="EF207" s="68"/>
      <c r="EG207" s="68"/>
      <c r="EH207" s="68"/>
      <c r="EI207" s="68"/>
      <c r="EJ207" s="68"/>
      <c r="EK207" s="68"/>
      <c r="EL207" s="68"/>
      <c r="EM207" s="68"/>
      <c r="EN207" s="68"/>
      <c r="EO207" s="68"/>
      <c r="EP207" s="68"/>
    </row>
    <row r="208" spans="1:146" s="78" customFormat="1" ht="11.25">
      <c r="A208" s="87" t="str">
        <f t="shared" si="27"/>
        <v>TC3</v>
      </c>
      <c r="B208" s="83">
        <v>12</v>
      </c>
      <c r="C208" s="89"/>
      <c r="D208" s="7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03"/>
      <c r="R208" s="89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  <c r="AO208" s="68"/>
      <c r="AP208" s="68"/>
      <c r="AQ208" s="68"/>
      <c r="AR208" s="68"/>
      <c r="AS208" s="68"/>
      <c r="AT208" s="68"/>
      <c r="AU208" s="68"/>
      <c r="AV208" s="68"/>
      <c r="AW208" s="68"/>
      <c r="AX208" s="68"/>
      <c r="AY208" s="68"/>
      <c r="AZ208" s="68"/>
      <c r="BA208" s="68"/>
      <c r="BB208" s="68"/>
      <c r="BC208" s="68"/>
      <c r="BD208" s="68"/>
      <c r="BE208" s="68"/>
      <c r="BF208" s="68"/>
      <c r="BG208" s="68"/>
      <c r="BH208" s="68"/>
      <c r="BI208" s="68"/>
      <c r="BJ208" s="68"/>
      <c r="BK208" s="68"/>
      <c r="BL208" s="68"/>
      <c r="BM208" s="68"/>
      <c r="BN208" s="68"/>
      <c r="BO208" s="68"/>
      <c r="BP208" s="68"/>
      <c r="BQ208" s="68"/>
      <c r="BR208" s="68"/>
      <c r="BS208" s="68"/>
      <c r="BT208" s="68"/>
      <c r="BU208" s="68"/>
      <c r="BV208" s="68"/>
      <c r="BW208" s="68"/>
      <c r="BX208" s="68"/>
      <c r="BY208" s="68"/>
      <c r="BZ208" s="68"/>
      <c r="CA208" s="68"/>
      <c r="CB208" s="68"/>
      <c r="CC208" s="68"/>
      <c r="CD208" s="68"/>
      <c r="CE208" s="68"/>
      <c r="CF208" s="68"/>
      <c r="CG208" s="68"/>
      <c r="CH208" s="68"/>
      <c r="CI208" s="68"/>
      <c r="CJ208" s="68"/>
      <c r="CK208" s="68"/>
      <c r="CL208" s="68"/>
      <c r="CM208" s="68"/>
      <c r="CN208" s="68"/>
      <c r="CO208" s="68"/>
      <c r="CP208" s="68"/>
      <c r="CQ208" s="68"/>
      <c r="CR208" s="68"/>
      <c r="CS208" s="68"/>
      <c r="CT208" s="68"/>
      <c r="CU208" s="68"/>
      <c r="CV208" s="68"/>
      <c r="CW208" s="68"/>
      <c r="CX208" s="68"/>
      <c r="CY208" s="68"/>
      <c r="CZ208" s="68"/>
      <c r="DA208" s="68"/>
      <c r="DB208" s="68"/>
      <c r="DC208" s="68"/>
      <c r="DD208" s="68"/>
      <c r="DE208" s="68"/>
      <c r="DF208" s="68"/>
      <c r="DG208" s="68"/>
      <c r="DH208" s="68"/>
      <c r="DI208" s="68"/>
      <c r="DJ208" s="68"/>
      <c r="DK208" s="68"/>
      <c r="DL208" s="68"/>
      <c r="DM208" s="68"/>
      <c r="DN208" s="68"/>
      <c r="DO208" s="68"/>
      <c r="DP208" s="68"/>
      <c r="DQ208" s="68"/>
      <c r="DR208" s="68"/>
      <c r="DS208" s="68"/>
      <c r="DT208" s="68"/>
      <c r="DU208" s="68"/>
      <c r="DV208" s="68"/>
      <c r="DW208" s="68"/>
      <c r="DX208" s="68"/>
      <c r="DY208" s="68"/>
      <c r="DZ208" s="68"/>
      <c r="EA208" s="68"/>
      <c r="EB208" s="68"/>
      <c r="EC208" s="68"/>
      <c r="ED208" s="68"/>
      <c r="EE208" s="68"/>
      <c r="EF208" s="68"/>
      <c r="EG208" s="68"/>
      <c r="EH208" s="68"/>
      <c r="EI208" s="68"/>
      <c r="EJ208" s="68"/>
      <c r="EK208" s="68"/>
      <c r="EL208" s="68"/>
      <c r="EM208" s="68"/>
      <c r="EN208" s="68"/>
      <c r="EO208" s="68"/>
      <c r="EP208" s="68"/>
    </row>
    <row r="209" spans="1:146" s="78" customFormat="1" ht="11.25">
      <c r="A209" s="87" t="str">
        <f t="shared" si="27"/>
        <v>TC3</v>
      </c>
      <c r="B209" s="83">
        <v>13</v>
      </c>
      <c r="C209" s="89"/>
      <c r="D209" s="7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03"/>
      <c r="R209" s="133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  <c r="AO209" s="68"/>
      <c r="AP209" s="68"/>
      <c r="AQ209" s="68"/>
      <c r="AR209" s="68"/>
      <c r="AS209" s="68"/>
      <c r="AT209" s="68"/>
      <c r="AU209" s="68"/>
      <c r="AV209" s="68"/>
      <c r="AW209" s="68"/>
      <c r="AX209" s="68"/>
      <c r="AY209" s="68"/>
      <c r="AZ209" s="68"/>
      <c r="BA209" s="68"/>
      <c r="BB209" s="68"/>
      <c r="BC209" s="68"/>
      <c r="BD209" s="68"/>
      <c r="BE209" s="68"/>
      <c r="BF209" s="68"/>
      <c r="BG209" s="68"/>
      <c r="BH209" s="68"/>
      <c r="BI209" s="68"/>
      <c r="BJ209" s="68"/>
      <c r="BK209" s="68"/>
      <c r="BL209" s="68"/>
      <c r="BM209" s="68"/>
      <c r="BN209" s="68"/>
      <c r="BO209" s="68"/>
      <c r="BP209" s="68"/>
      <c r="BQ209" s="68"/>
      <c r="BR209" s="68"/>
      <c r="BS209" s="68"/>
      <c r="BT209" s="68"/>
      <c r="BU209" s="68"/>
      <c r="BV209" s="68"/>
      <c r="BW209" s="68"/>
      <c r="BX209" s="68"/>
      <c r="BY209" s="68"/>
      <c r="BZ209" s="68"/>
      <c r="CA209" s="68"/>
      <c r="CB209" s="68"/>
      <c r="CC209" s="68"/>
      <c r="CD209" s="68"/>
      <c r="CE209" s="68"/>
      <c r="CF209" s="68"/>
      <c r="CG209" s="68"/>
      <c r="CH209" s="68"/>
      <c r="CI209" s="68"/>
      <c r="CJ209" s="68"/>
      <c r="CK209" s="68"/>
      <c r="CL209" s="68"/>
      <c r="CM209" s="68"/>
      <c r="CN209" s="68"/>
      <c r="CO209" s="68"/>
      <c r="CP209" s="68"/>
      <c r="CQ209" s="68"/>
      <c r="CR209" s="68"/>
      <c r="CS209" s="68"/>
      <c r="CT209" s="68"/>
      <c r="CU209" s="68"/>
      <c r="CV209" s="68"/>
      <c r="CW209" s="68"/>
      <c r="CX209" s="68"/>
      <c r="CY209" s="68"/>
      <c r="CZ209" s="68"/>
      <c r="DA209" s="68"/>
      <c r="DB209" s="68"/>
      <c r="DC209" s="68"/>
      <c r="DD209" s="68"/>
      <c r="DE209" s="68"/>
      <c r="DF209" s="68"/>
      <c r="DG209" s="68"/>
      <c r="DH209" s="68"/>
      <c r="DI209" s="68"/>
      <c r="DJ209" s="68"/>
      <c r="DK209" s="68"/>
      <c r="DL209" s="68"/>
      <c r="DM209" s="68"/>
      <c r="DN209" s="68"/>
      <c r="DO209" s="68"/>
      <c r="DP209" s="68"/>
      <c r="DQ209" s="68"/>
      <c r="DR209" s="68"/>
      <c r="DS209" s="68"/>
      <c r="DT209" s="68"/>
      <c r="DU209" s="68"/>
      <c r="DV209" s="68"/>
      <c r="DW209" s="68"/>
      <c r="DX209" s="68"/>
      <c r="DY209" s="68"/>
      <c r="DZ209" s="68"/>
      <c r="EA209" s="68"/>
      <c r="EB209" s="68"/>
      <c r="EC209" s="68"/>
      <c r="ED209" s="68"/>
      <c r="EE209" s="68"/>
      <c r="EF209" s="68"/>
      <c r="EG209" s="68"/>
      <c r="EH209" s="68"/>
      <c r="EI209" s="68"/>
      <c r="EJ209" s="68"/>
      <c r="EK209" s="68"/>
      <c r="EL209" s="68"/>
      <c r="EM209" s="68"/>
      <c r="EN209" s="68"/>
      <c r="EO209" s="68"/>
      <c r="EP209" s="68"/>
    </row>
    <row r="210" spans="1:146" s="78" customFormat="1" ht="11.25">
      <c r="A210" s="87" t="str">
        <f t="shared" si="27"/>
        <v>TC3</v>
      </c>
      <c r="B210" s="83">
        <v>14</v>
      </c>
      <c r="C210" s="114"/>
      <c r="D210" s="212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24"/>
      <c r="Q210" s="103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  <c r="AO210" s="68"/>
      <c r="AP210" s="68"/>
      <c r="AQ210" s="68"/>
      <c r="AR210" s="68"/>
      <c r="AS210" s="68"/>
      <c r="AT210" s="68"/>
      <c r="AU210" s="68"/>
      <c r="AV210" s="68"/>
      <c r="AW210" s="68"/>
      <c r="AX210" s="68"/>
      <c r="AY210" s="68"/>
      <c r="AZ210" s="68"/>
      <c r="BA210" s="68"/>
      <c r="BB210" s="68"/>
      <c r="BC210" s="68"/>
      <c r="BD210" s="68"/>
      <c r="BE210" s="68"/>
      <c r="BF210" s="68"/>
      <c r="BG210" s="68"/>
      <c r="BH210" s="68"/>
      <c r="BI210" s="68"/>
      <c r="BJ210" s="68"/>
      <c r="BK210" s="68"/>
      <c r="BL210" s="68"/>
      <c r="BM210" s="68"/>
      <c r="BN210" s="68"/>
      <c r="BO210" s="68"/>
      <c r="BP210" s="68"/>
      <c r="BQ210" s="68"/>
      <c r="BR210" s="68"/>
      <c r="BS210" s="68"/>
      <c r="BT210" s="68"/>
      <c r="BU210" s="68"/>
      <c r="BV210" s="68"/>
      <c r="BW210" s="68"/>
      <c r="BX210" s="68"/>
      <c r="BY210" s="68"/>
      <c r="BZ210" s="68"/>
      <c r="CA210" s="68"/>
      <c r="CB210" s="68"/>
      <c r="CC210" s="68"/>
      <c r="CD210" s="68"/>
      <c r="CE210" s="68"/>
      <c r="CF210" s="68"/>
      <c r="CG210" s="68"/>
      <c r="CH210" s="68"/>
      <c r="CI210" s="68"/>
      <c r="CJ210" s="68"/>
      <c r="CK210" s="68"/>
      <c r="CL210" s="68"/>
      <c r="CM210" s="68"/>
      <c r="CN210" s="68"/>
      <c r="CO210" s="68"/>
      <c r="CP210" s="68"/>
      <c r="CQ210" s="68"/>
      <c r="CR210" s="68"/>
      <c r="CS210" s="68"/>
      <c r="CT210" s="68"/>
      <c r="CU210" s="68"/>
      <c r="CV210" s="68"/>
      <c r="CW210" s="68"/>
      <c r="CX210" s="68"/>
      <c r="CY210" s="68"/>
      <c r="CZ210" s="68"/>
      <c r="DA210" s="68"/>
      <c r="DB210" s="68"/>
      <c r="DC210" s="68"/>
      <c r="DD210" s="68"/>
      <c r="DE210" s="68"/>
      <c r="DF210" s="68"/>
      <c r="DG210" s="68"/>
      <c r="DH210" s="68"/>
      <c r="DI210" s="68"/>
      <c r="DJ210" s="68"/>
      <c r="DK210" s="68"/>
      <c r="DL210" s="68"/>
      <c r="DM210" s="68"/>
      <c r="DN210" s="68"/>
      <c r="DO210" s="68"/>
      <c r="DP210" s="68"/>
      <c r="DQ210" s="68"/>
      <c r="DR210" s="68"/>
      <c r="DS210" s="68"/>
      <c r="DT210" s="68"/>
      <c r="DU210" s="68"/>
      <c r="DV210" s="68"/>
      <c r="DW210" s="68"/>
      <c r="DX210" s="68"/>
      <c r="DY210" s="68"/>
      <c r="DZ210" s="68"/>
      <c r="EA210" s="68"/>
      <c r="EB210" s="68"/>
      <c r="EC210" s="68"/>
      <c r="ED210" s="68"/>
      <c r="EE210" s="68"/>
      <c r="EF210" s="68"/>
      <c r="EG210" s="68"/>
      <c r="EH210" s="68"/>
      <c r="EI210" s="68"/>
      <c r="EJ210" s="68"/>
      <c r="EK210" s="68"/>
      <c r="EL210" s="68"/>
      <c r="EM210" s="68"/>
      <c r="EN210" s="68"/>
      <c r="EO210" s="68"/>
      <c r="EP210" s="68"/>
    </row>
    <row r="211" spans="1:146" s="78" customFormat="1" ht="11.25">
      <c r="A211" s="87" t="str">
        <f t="shared" si="27"/>
        <v>TC3</v>
      </c>
      <c r="B211" s="83"/>
      <c r="D211" s="116"/>
      <c r="E211" s="231"/>
      <c r="F211" s="231"/>
      <c r="G211" s="231"/>
      <c r="H211" s="231"/>
      <c r="I211" s="231"/>
      <c r="J211" s="231"/>
      <c r="K211" s="231"/>
      <c r="L211" s="231"/>
      <c r="M211" s="231"/>
      <c r="N211" s="231"/>
      <c r="O211" s="231"/>
      <c r="P211" s="90"/>
      <c r="Q211" s="71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  <c r="AO211" s="68"/>
      <c r="AP211" s="68"/>
      <c r="AQ211" s="68"/>
      <c r="AR211" s="68"/>
      <c r="AS211" s="68"/>
      <c r="AT211" s="68"/>
      <c r="AU211" s="68"/>
      <c r="AV211" s="68"/>
      <c r="AW211" s="68"/>
      <c r="AX211" s="68"/>
      <c r="AY211" s="68"/>
      <c r="AZ211" s="68"/>
      <c r="BA211" s="68"/>
      <c r="BB211" s="68"/>
      <c r="BC211" s="68"/>
      <c r="BD211" s="68"/>
      <c r="BE211" s="68"/>
      <c r="BF211" s="68"/>
      <c r="BG211" s="68"/>
      <c r="BH211" s="68"/>
      <c r="BI211" s="68"/>
      <c r="BJ211" s="68"/>
      <c r="BK211" s="68"/>
      <c r="BL211" s="68"/>
      <c r="BM211" s="68"/>
      <c r="BN211" s="68"/>
      <c r="BO211" s="68"/>
      <c r="BP211" s="68"/>
      <c r="BQ211" s="68"/>
      <c r="BR211" s="68"/>
      <c r="BS211" s="68"/>
      <c r="BT211" s="68"/>
      <c r="BU211" s="68"/>
      <c r="BV211" s="68"/>
      <c r="BW211" s="68"/>
      <c r="BX211" s="68"/>
      <c r="BY211" s="68"/>
      <c r="BZ211" s="68"/>
      <c r="CA211" s="68"/>
      <c r="CB211" s="68"/>
      <c r="CC211" s="68"/>
      <c r="CD211" s="68"/>
      <c r="CE211" s="68"/>
      <c r="CF211" s="68"/>
      <c r="CG211" s="68"/>
      <c r="CH211" s="68"/>
      <c r="CI211" s="68"/>
      <c r="CJ211" s="68"/>
      <c r="CK211" s="68"/>
      <c r="CL211" s="68"/>
      <c r="CM211" s="68"/>
      <c r="CN211" s="68"/>
      <c r="CO211" s="68"/>
      <c r="CP211" s="68"/>
      <c r="CQ211" s="68"/>
      <c r="CR211" s="68"/>
      <c r="CS211" s="68"/>
      <c r="CT211" s="68"/>
      <c r="CU211" s="68"/>
      <c r="CV211" s="68"/>
      <c r="CW211" s="68"/>
      <c r="CX211" s="68"/>
      <c r="CY211" s="68"/>
      <c r="CZ211" s="68"/>
      <c r="DA211" s="68"/>
      <c r="DB211" s="68"/>
      <c r="DC211" s="68"/>
      <c r="DD211" s="68"/>
      <c r="DE211" s="68"/>
      <c r="DF211" s="68"/>
      <c r="DG211" s="68"/>
      <c r="DH211" s="68"/>
      <c r="DI211" s="68"/>
      <c r="DJ211" s="68"/>
      <c r="DK211" s="68"/>
      <c r="DL211" s="68"/>
      <c r="DM211" s="68"/>
      <c r="DN211" s="68"/>
      <c r="DO211" s="68"/>
      <c r="DP211" s="68"/>
      <c r="DQ211" s="68"/>
      <c r="DR211" s="68"/>
      <c r="DS211" s="68"/>
      <c r="DT211" s="68"/>
      <c r="DU211" s="68"/>
      <c r="DV211" s="68"/>
      <c r="DW211" s="68"/>
      <c r="DX211" s="68"/>
      <c r="DY211" s="68"/>
      <c r="DZ211" s="68"/>
      <c r="EA211" s="68"/>
      <c r="EB211" s="68"/>
      <c r="EC211" s="68"/>
      <c r="ED211" s="68"/>
      <c r="EE211" s="68"/>
      <c r="EF211" s="68"/>
      <c r="EG211" s="68"/>
      <c r="EH211" s="68"/>
      <c r="EI211" s="68"/>
      <c r="EJ211" s="68"/>
      <c r="EK211" s="68"/>
      <c r="EL211" s="68"/>
      <c r="EM211" s="68"/>
      <c r="EN211" s="68"/>
      <c r="EO211" s="68"/>
      <c r="EP211" s="68"/>
    </row>
    <row r="212" spans="1:146" s="78" customFormat="1" ht="12" thickBot="1">
      <c r="A212" s="87" t="str">
        <f t="shared" si="27"/>
        <v xml:space="preserve">TC3TOTAL </v>
      </c>
      <c r="B212" s="83">
        <v>15</v>
      </c>
      <c r="C212" s="147" t="s">
        <v>95</v>
      </c>
      <c r="D212" s="211"/>
      <c r="E212" s="117">
        <f>E206+E208+E209+E210</f>
        <v>6264312.299999998</v>
      </c>
      <c r="F212" s="117">
        <f t="shared" ref="F212:P212" si="33">F206+F208+F209+F210</f>
        <v>5524345.9900000002</v>
      </c>
      <c r="G212" s="117">
        <f t="shared" si="33"/>
        <v>5779095.7700000005</v>
      </c>
      <c r="H212" s="117">
        <f t="shared" si="33"/>
        <v>5921748.0599999996</v>
      </c>
      <c r="I212" s="117">
        <f t="shared" si="33"/>
        <v>5471831.0999999996</v>
      </c>
      <c r="J212" s="117">
        <f t="shared" si="33"/>
        <v>5289112.3299999991</v>
      </c>
      <c r="K212" s="117">
        <f t="shared" si="33"/>
        <v>5147931.7100000009</v>
      </c>
      <c r="L212" s="117">
        <f t="shared" si="33"/>
        <v>5430837.2800000003</v>
      </c>
      <c r="M212" s="117">
        <f t="shared" si="33"/>
        <v>6370336.9800000004</v>
      </c>
      <c r="N212" s="117">
        <f t="shared" si="33"/>
        <v>7452014.5099999998</v>
      </c>
      <c r="O212" s="117">
        <f t="shared" si="33"/>
        <v>7453222.9799999995</v>
      </c>
      <c r="P212" s="117">
        <f t="shared" si="33"/>
        <v>7370447.1900000013</v>
      </c>
      <c r="Q212" s="117">
        <f>Q206+Q208+Q209+Q210</f>
        <v>73475236.200000003</v>
      </c>
      <c r="R212" s="12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  <c r="AO212" s="68"/>
      <c r="AP212" s="68"/>
      <c r="AQ212" s="68"/>
      <c r="AR212" s="68"/>
      <c r="AS212" s="68"/>
      <c r="AT212" s="68"/>
      <c r="AU212" s="68"/>
      <c r="AV212" s="68"/>
      <c r="AW212" s="68"/>
      <c r="AX212" s="68"/>
      <c r="AY212" s="68"/>
      <c r="AZ212" s="68"/>
      <c r="BA212" s="68"/>
      <c r="BB212" s="68"/>
      <c r="BC212" s="68"/>
      <c r="BD212" s="68"/>
      <c r="BE212" s="68"/>
      <c r="BF212" s="68"/>
      <c r="BG212" s="68"/>
      <c r="BH212" s="68"/>
      <c r="BI212" s="68"/>
      <c r="BJ212" s="68"/>
      <c r="BK212" s="68"/>
      <c r="BL212" s="68"/>
      <c r="BM212" s="68"/>
      <c r="BN212" s="68"/>
      <c r="BO212" s="68"/>
      <c r="BP212" s="68"/>
      <c r="BQ212" s="68"/>
      <c r="BR212" s="68"/>
      <c r="BS212" s="68"/>
      <c r="BT212" s="68"/>
      <c r="BU212" s="68"/>
      <c r="BV212" s="68"/>
      <c r="BW212" s="68"/>
      <c r="BX212" s="68"/>
      <c r="BY212" s="68"/>
      <c r="BZ212" s="68"/>
      <c r="CA212" s="68"/>
      <c r="CB212" s="68"/>
      <c r="CC212" s="68"/>
      <c r="CD212" s="68"/>
      <c r="CE212" s="68"/>
      <c r="CF212" s="68"/>
      <c r="CG212" s="68"/>
      <c r="CH212" s="68"/>
      <c r="CI212" s="68"/>
      <c r="CJ212" s="68"/>
      <c r="CK212" s="68"/>
      <c r="CL212" s="68"/>
      <c r="CM212" s="68"/>
      <c r="CN212" s="68"/>
      <c r="CO212" s="68"/>
      <c r="CP212" s="68"/>
      <c r="CQ212" s="68"/>
      <c r="CR212" s="68"/>
      <c r="CS212" s="68"/>
      <c r="CT212" s="68"/>
      <c r="CU212" s="68"/>
      <c r="CV212" s="68"/>
      <c r="CW212" s="68"/>
      <c r="CX212" s="68"/>
      <c r="CY212" s="68"/>
      <c r="CZ212" s="68"/>
      <c r="DA212" s="68"/>
      <c r="DB212" s="68"/>
      <c r="DC212" s="68"/>
      <c r="DD212" s="68"/>
      <c r="DE212" s="68"/>
      <c r="DF212" s="68"/>
      <c r="DG212" s="68"/>
      <c r="DH212" s="68"/>
      <c r="DI212" s="68"/>
      <c r="DJ212" s="68"/>
      <c r="DK212" s="68"/>
      <c r="DL212" s="68"/>
      <c r="DM212" s="68"/>
      <c r="DN212" s="68"/>
      <c r="DO212" s="68"/>
      <c r="DP212" s="68"/>
      <c r="DQ212" s="68"/>
      <c r="DR212" s="68"/>
      <c r="DS212" s="68"/>
      <c r="DT212" s="68"/>
      <c r="DU212" s="68"/>
      <c r="DV212" s="68"/>
      <c r="DW212" s="68"/>
      <c r="DX212" s="68"/>
      <c r="DY212" s="68"/>
      <c r="DZ212" s="68"/>
      <c r="EA212" s="68"/>
      <c r="EB212" s="68"/>
      <c r="EC212" s="68"/>
      <c r="ED212" s="68"/>
      <c r="EE212" s="68"/>
      <c r="EF212" s="68"/>
      <c r="EG212" s="68"/>
      <c r="EH212" s="68"/>
      <c r="EI212" s="68"/>
      <c r="EJ212" s="68"/>
      <c r="EK212" s="68"/>
      <c r="EL212" s="68"/>
      <c r="EM212" s="68"/>
      <c r="EN212" s="68"/>
      <c r="EO212" s="68"/>
      <c r="EP212" s="68"/>
    </row>
    <row r="213" spans="1:146" ht="13.5" thickTop="1"/>
    <row r="214" spans="1:146" s="87" customFormat="1" ht="11.25">
      <c r="C214" s="73" t="s">
        <v>166</v>
      </c>
      <c r="D214" s="99"/>
      <c r="E214" s="228"/>
      <c r="F214" s="229"/>
      <c r="G214" s="229"/>
      <c r="H214" s="230"/>
      <c r="I214" s="231"/>
      <c r="J214" s="231"/>
      <c r="K214" s="231"/>
      <c r="L214" s="231"/>
      <c r="M214" s="231"/>
      <c r="N214" s="231"/>
      <c r="O214" s="231"/>
      <c r="P214" s="90"/>
      <c r="Q214" s="10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  <c r="AL214" s="89"/>
      <c r="AM214" s="89"/>
      <c r="AN214" s="89"/>
      <c r="AO214" s="89"/>
      <c r="AP214" s="89"/>
      <c r="AQ214" s="89"/>
      <c r="AR214" s="89"/>
      <c r="AS214" s="89"/>
      <c r="AT214" s="89"/>
      <c r="AU214" s="89"/>
      <c r="AV214" s="89"/>
      <c r="AW214" s="89"/>
      <c r="AX214" s="89"/>
      <c r="AY214" s="89"/>
      <c r="AZ214" s="89"/>
      <c r="BA214" s="89"/>
      <c r="BB214" s="89"/>
      <c r="BC214" s="89"/>
      <c r="BD214" s="89"/>
      <c r="BE214" s="89"/>
      <c r="BF214" s="89"/>
      <c r="BG214" s="89"/>
      <c r="BH214" s="89"/>
      <c r="BI214" s="89"/>
      <c r="BJ214" s="89"/>
      <c r="BK214" s="89"/>
      <c r="BL214" s="89"/>
      <c r="BM214" s="89"/>
      <c r="BN214" s="89"/>
      <c r="BO214" s="89"/>
      <c r="BP214" s="89"/>
      <c r="BQ214" s="89"/>
      <c r="BR214" s="89"/>
      <c r="BS214" s="89"/>
      <c r="BT214" s="89"/>
      <c r="BU214" s="89"/>
      <c r="BV214" s="89"/>
      <c r="BW214" s="89"/>
      <c r="BX214" s="89"/>
      <c r="BY214" s="89"/>
      <c r="BZ214" s="89"/>
      <c r="CA214" s="89"/>
      <c r="CB214" s="89"/>
      <c r="CC214" s="89"/>
      <c r="CD214" s="89"/>
      <c r="CE214" s="89"/>
      <c r="CF214" s="89"/>
      <c r="CG214" s="89"/>
      <c r="CH214" s="89"/>
      <c r="CI214" s="89"/>
      <c r="CJ214" s="89"/>
      <c r="CK214" s="89"/>
      <c r="CL214" s="89"/>
      <c r="CM214" s="89"/>
      <c r="CN214" s="89"/>
      <c r="CO214" s="89"/>
      <c r="CP214" s="89"/>
      <c r="CQ214" s="89"/>
      <c r="CR214" s="89"/>
      <c r="CS214" s="89"/>
      <c r="CT214" s="89"/>
      <c r="CU214" s="89"/>
      <c r="CV214" s="89"/>
      <c r="CW214" s="89"/>
      <c r="CX214" s="89"/>
      <c r="CY214" s="89"/>
      <c r="CZ214" s="89"/>
      <c r="DA214" s="89"/>
      <c r="DB214" s="89"/>
      <c r="DC214" s="89"/>
      <c r="DD214" s="89"/>
      <c r="DE214" s="89"/>
      <c r="DF214" s="89"/>
      <c r="DG214" s="89"/>
      <c r="DH214" s="89"/>
      <c r="DI214" s="89"/>
      <c r="DJ214" s="89"/>
      <c r="DK214" s="89"/>
      <c r="DL214" s="89"/>
      <c r="DM214" s="89"/>
      <c r="DN214" s="89"/>
      <c r="DO214" s="89"/>
      <c r="DP214" s="89"/>
      <c r="DQ214" s="89"/>
      <c r="DR214" s="89"/>
      <c r="DS214" s="89"/>
      <c r="DT214" s="89"/>
      <c r="DU214" s="89"/>
      <c r="DV214" s="89"/>
      <c r="DW214" s="89"/>
      <c r="DX214" s="89"/>
      <c r="DY214" s="89"/>
      <c r="DZ214" s="89"/>
      <c r="EA214" s="89"/>
      <c r="EB214" s="89"/>
      <c r="EC214" s="89"/>
      <c r="ED214" s="89"/>
      <c r="EE214" s="89"/>
      <c r="EF214" s="89"/>
      <c r="EG214" s="89"/>
      <c r="EH214" s="89"/>
      <c r="EI214" s="89"/>
      <c r="EJ214" s="89"/>
      <c r="EK214" s="89"/>
      <c r="EL214" s="89"/>
      <c r="EM214" s="89"/>
      <c r="EN214" s="89"/>
      <c r="EO214" s="89"/>
      <c r="EP214" s="89"/>
    </row>
    <row r="215" spans="1:146" s="87" customFormat="1" ht="11.25">
      <c r="B215" s="211" t="s">
        <v>8</v>
      </c>
      <c r="C215" s="213" t="s">
        <v>0</v>
      </c>
      <c r="D215" s="213" t="s">
        <v>7</v>
      </c>
      <c r="E215" s="232" t="s">
        <v>151</v>
      </c>
      <c r="F215" s="232" t="s">
        <v>152</v>
      </c>
      <c r="G215" s="232" t="s">
        <v>153</v>
      </c>
      <c r="H215" s="232" t="s">
        <v>154</v>
      </c>
      <c r="I215" s="232" t="s">
        <v>155</v>
      </c>
      <c r="J215" s="232" t="s">
        <v>156</v>
      </c>
      <c r="K215" s="232" t="s">
        <v>157</v>
      </c>
      <c r="L215" s="232" t="s">
        <v>158</v>
      </c>
      <c r="M215" s="232" t="s">
        <v>159</v>
      </c>
      <c r="N215" s="232" t="s">
        <v>160</v>
      </c>
      <c r="O215" s="232" t="s">
        <v>161</v>
      </c>
      <c r="P215" s="232" t="s">
        <v>162</v>
      </c>
      <c r="Q215" s="110" t="s">
        <v>2</v>
      </c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89"/>
      <c r="AK215" s="89"/>
      <c r="AL215" s="89"/>
      <c r="AM215" s="89"/>
      <c r="AN215" s="89"/>
      <c r="AO215" s="89"/>
      <c r="AP215" s="89"/>
      <c r="AQ215" s="89"/>
      <c r="AR215" s="89"/>
      <c r="AS215" s="89"/>
      <c r="AT215" s="89"/>
      <c r="AU215" s="89"/>
      <c r="AV215" s="89"/>
      <c r="AW215" s="89"/>
      <c r="AX215" s="89"/>
      <c r="AY215" s="89"/>
      <c r="AZ215" s="89"/>
      <c r="BA215" s="89"/>
      <c r="BB215" s="89"/>
      <c r="BC215" s="89"/>
      <c r="BD215" s="89"/>
      <c r="BE215" s="89"/>
      <c r="BF215" s="89"/>
      <c r="BG215" s="89"/>
      <c r="BH215" s="89"/>
      <c r="BI215" s="89"/>
      <c r="BJ215" s="89"/>
      <c r="BK215" s="89"/>
      <c r="BL215" s="89"/>
      <c r="BM215" s="89"/>
      <c r="BN215" s="89"/>
      <c r="BO215" s="89"/>
      <c r="BP215" s="89"/>
      <c r="BQ215" s="89"/>
      <c r="BR215" s="89"/>
      <c r="BS215" s="89"/>
      <c r="BT215" s="89"/>
      <c r="BU215" s="89"/>
      <c r="BV215" s="89"/>
      <c r="BW215" s="89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89"/>
      <c r="CK215" s="89"/>
      <c r="CL215" s="89"/>
      <c r="CM215" s="89"/>
      <c r="CN215" s="89"/>
      <c r="CO215" s="89"/>
      <c r="CP215" s="89"/>
      <c r="CQ215" s="89"/>
      <c r="CR215" s="89"/>
      <c r="CS215" s="89"/>
      <c r="CT215" s="89"/>
      <c r="CU215" s="89"/>
      <c r="CV215" s="89"/>
      <c r="CW215" s="89"/>
      <c r="CX215" s="89"/>
      <c r="CY215" s="89"/>
      <c r="CZ215" s="89"/>
      <c r="DA215" s="89"/>
      <c r="DB215" s="89"/>
      <c r="DC215" s="89"/>
      <c r="DD215" s="89"/>
      <c r="DE215" s="89"/>
      <c r="DF215" s="89"/>
      <c r="DG215" s="89"/>
      <c r="DH215" s="89"/>
      <c r="DI215" s="89"/>
      <c r="DJ215" s="89"/>
      <c r="DK215" s="89"/>
      <c r="DL215" s="89"/>
      <c r="DM215" s="89"/>
      <c r="DN215" s="89"/>
      <c r="DO215" s="89"/>
      <c r="DP215" s="89"/>
      <c r="DQ215" s="89"/>
      <c r="DR215" s="89"/>
      <c r="DS215" s="89"/>
      <c r="DT215" s="89"/>
      <c r="DU215" s="89"/>
      <c r="DV215" s="89"/>
      <c r="DW215" s="89"/>
      <c r="DX215" s="89"/>
      <c r="DY215" s="89"/>
      <c r="DZ215" s="89"/>
      <c r="EA215" s="89"/>
      <c r="EB215" s="89"/>
      <c r="EC215" s="89"/>
      <c r="ED215" s="89"/>
      <c r="EE215" s="89"/>
      <c r="EF215" s="89"/>
      <c r="EG215" s="89"/>
      <c r="EH215" s="89"/>
      <c r="EI215" s="89"/>
      <c r="EJ215" s="89"/>
      <c r="EK215" s="89"/>
      <c r="EL215" s="89"/>
      <c r="EM215" s="89"/>
      <c r="EN215" s="89"/>
      <c r="EO215" s="89"/>
      <c r="EP215" s="89"/>
    </row>
    <row r="216" spans="1:146" s="87" customFormat="1" ht="11.25">
      <c r="A216" s="87" t="str">
        <f>CONCATENATE($C$214,C216)</f>
        <v>TDCR</v>
      </c>
      <c r="C216" s="213"/>
      <c r="D216" s="213"/>
      <c r="E216" s="232"/>
      <c r="F216" s="232"/>
      <c r="G216" s="232"/>
      <c r="H216" s="232"/>
      <c r="I216" s="232"/>
      <c r="J216" s="232"/>
      <c r="K216" s="232"/>
      <c r="L216" s="232"/>
      <c r="M216" s="232"/>
      <c r="N216" s="232"/>
      <c r="O216" s="232"/>
      <c r="P216" s="227"/>
      <c r="Q216" s="110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89"/>
      <c r="AK216" s="89"/>
      <c r="AL216" s="89"/>
      <c r="AM216" s="89"/>
      <c r="AN216" s="89"/>
      <c r="AO216" s="89"/>
      <c r="AP216" s="89"/>
      <c r="AQ216" s="89"/>
      <c r="AR216" s="89"/>
      <c r="AS216" s="89"/>
      <c r="AT216" s="89"/>
      <c r="AU216" s="89"/>
      <c r="AV216" s="89"/>
      <c r="AW216" s="89"/>
      <c r="AX216" s="89"/>
      <c r="AY216" s="89"/>
      <c r="AZ216" s="89"/>
      <c r="BA216" s="89"/>
      <c r="BB216" s="89"/>
      <c r="BC216" s="89"/>
      <c r="BD216" s="89"/>
      <c r="BE216" s="89"/>
      <c r="BF216" s="89"/>
      <c r="BG216" s="89"/>
      <c r="BH216" s="89"/>
      <c r="BI216" s="89"/>
      <c r="BJ216" s="89"/>
      <c r="BK216" s="89"/>
      <c r="BL216" s="89"/>
      <c r="BM216" s="89"/>
      <c r="BN216" s="89"/>
      <c r="BO216" s="89"/>
      <c r="BP216" s="89"/>
      <c r="BQ216" s="89"/>
      <c r="BR216" s="89"/>
      <c r="BS216" s="89"/>
      <c r="BT216" s="89"/>
      <c r="BU216" s="89"/>
      <c r="BV216" s="89"/>
      <c r="BW216" s="89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89"/>
      <c r="CK216" s="89"/>
      <c r="CL216" s="89"/>
      <c r="CM216" s="89"/>
      <c r="CN216" s="89"/>
      <c r="CO216" s="89"/>
      <c r="CP216" s="89"/>
      <c r="CQ216" s="89"/>
      <c r="CR216" s="89"/>
      <c r="CS216" s="89"/>
      <c r="CT216" s="89"/>
      <c r="CU216" s="89"/>
      <c r="CV216" s="89"/>
      <c r="CW216" s="89"/>
      <c r="CX216" s="89"/>
      <c r="CY216" s="89"/>
      <c r="CZ216" s="89"/>
      <c r="DA216" s="89"/>
      <c r="DB216" s="89"/>
      <c r="DC216" s="89"/>
      <c r="DD216" s="89"/>
      <c r="DE216" s="89"/>
      <c r="DF216" s="89"/>
      <c r="DG216" s="89"/>
      <c r="DH216" s="89"/>
      <c r="DI216" s="89"/>
      <c r="DJ216" s="89"/>
      <c r="DK216" s="89"/>
      <c r="DL216" s="89"/>
      <c r="DM216" s="89"/>
      <c r="DN216" s="89"/>
      <c r="DO216" s="89"/>
      <c r="DP216" s="89"/>
      <c r="DQ216" s="89"/>
      <c r="DR216" s="89"/>
      <c r="DS216" s="89"/>
      <c r="DT216" s="89"/>
      <c r="DU216" s="89"/>
      <c r="DV216" s="89"/>
      <c r="DW216" s="89"/>
      <c r="DX216" s="89"/>
      <c r="DY216" s="89"/>
      <c r="DZ216" s="89"/>
      <c r="EA216" s="89"/>
      <c r="EB216" s="89"/>
      <c r="EC216" s="89"/>
      <c r="ED216" s="89"/>
      <c r="EE216" s="89"/>
      <c r="EF216" s="89"/>
      <c r="EG216" s="89"/>
      <c r="EH216" s="89"/>
      <c r="EI216" s="89"/>
      <c r="EJ216" s="89"/>
      <c r="EK216" s="89"/>
      <c r="EL216" s="89"/>
      <c r="EM216" s="89"/>
      <c r="EN216" s="89"/>
      <c r="EO216" s="89"/>
      <c r="EP216" s="89"/>
    </row>
    <row r="217" spans="1:146" s="78" customFormat="1" ht="11.25">
      <c r="A217" s="87" t="str">
        <f t="shared" ref="A217:A242" si="34">CONCATENATE($C$214,C217)</f>
        <v>TDCRRESIDENTIAL SERVICE</v>
      </c>
      <c r="B217" s="83" t="s">
        <v>9</v>
      </c>
      <c r="C217" s="78" t="s">
        <v>17</v>
      </c>
      <c r="D217" s="85" t="s">
        <v>4</v>
      </c>
      <c r="E217" s="124">
        <v>24492850.780000001</v>
      </c>
      <c r="F217" s="124">
        <v>18908018.539999999</v>
      </c>
      <c r="G217" s="124">
        <v>22004282.390000001</v>
      </c>
      <c r="H217" s="124">
        <v>23599014.170000002</v>
      </c>
      <c r="I217" s="124">
        <v>20769832.869999997</v>
      </c>
      <c r="J217" s="124">
        <v>12935410.58</v>
      </c>
      <c r="K217" s="124">
        <v>12745411.16</v>
      </c>
      <c r="L217" s="124">
        <v>13916403.48</v>
      </c>
      <c r="M217" s="124">
        <v>18800057.899999999</v>
      </c>
      <c r="N217" s="124">
        <v>24553973.530000001</v>
      </c>
      <c r="O217" s="124">
        <v>24800261.5</v>
      </c>
      <c r="P217" s="124">
        <v>38304487.199999996</v>
      </c>
      <c r="Q217" s="90">
        <f>SUM(E217:P217)</f>
        <v>255830004.09999999</v>
      </c>
      <c r="R217" s="125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  <c r="AO217" s="68"/>
      <c r="AP217" s="68"/>
      <c r="AQ217" s="68"/>
      <c r="AR217" s="68"/>
      <c r="AS217" s="68"/>
      <c r="AT217" s="68"/>
      <c r="AU217" s="68"/>
      <c r="AV217" s="68"/>
      <c r="AW217" s="68"/>
      <c r="AX217" s="68"/>
      <c r="AY217" s="68"/>
      <c r="AZ217" s="68"/>
      <c r="BA217" s="68"/>
      <c r="BB217" s="68"/>
      <c r="BC217" s="68"/>
      <c r="BD217" s="68"/>
      <c r="BE217" s="68"/>
      <c r="BF217" s="68"/>
      <c r="BG217" s="68"/>
      <c r="BH217" s="68"/>
      <c r="BI217" s="68"/>
      <c r="BJ217" s="68"/>
      <c r="BK217" s="68"/>
      <c r="BL217" s="68"/>
      <c r="BM217" s="68"/>
      <c r="BN217" s="68"/>
      <c r="BO217" s="68"/>
      <c r="BP217" s="68"/>
      <c r="BQ217" s="68"/>
      <c r="BR217" s="68"/>
      <c r="BS217" s="68"/>
      <c r="BT217" s="68"/>
      <c r="BU217" s="68"/>
      <c r="BV217" s="68"/>
      <c r="BW217" s="68"/>
      <c r="BX217" s="68"/>
      <c r="BY217" s="68"/>
      <c r="BZ217" s="68"/>
      <c r="CA217" s="68"/>
      <c r="CB217" s="68"/>
      <c r="CC217" s="68"/>
      <c r="CD217" s="68"/>
      <c r="CE217" s="68"/>
      <c r="CF217" s="68"/>
      <c r="CG217" s="68"/>
      <c r="CH217" s="68"/>
      <c r="CI217" s="68"/>
      <c r="CJ217" s="68"/>
      <c r="CK217" s="68"/>
      <c r="CL217" s="68"/>
      <c r="CM217" s="68"/>
      <c r="CN217" s="68"/>
      <c r="CO217" s="68"/>
      <c r="CP217" s="68"/>
      <c r="CQ217" s="68"/>
      <c r="CR217" s="68"/>
      <c r="CS217" s="68"/>
      <c r="CT217" s="68"/>
      <c r="CU217" s="68"/>
      <c r="CV217" s="68"/>
      <c r="CW217" s="68"/>
      <c r="CX217" s="68"/>
      <c r="CY217" s="68"/>
      <c r="CZ217" s="68"/>
      <c r="DA217" s="68"/>
      <c r="DB217" s="68"/>
      <c r="DC217" s="68"/>
      <c r="DD217" s="68"/>
      <c r="DE217" s="68"/>
      <c r="DF217" s="68"/>
      <c r="DG217" s="68"/>
      <c r="DH217" s="68"/>
      <c r="DI217" s="68"/>
      <c r="DJ217" s="68"/>
      <c r="DK217" s="68"/>
      <c r="DL217" s="68"/>
      <c r="DM217" s="68"/>
      <c r="DN217" s="68"/>
      <c r="DO217" s="68"/>
      <c r="DP217" s="68"/>
      <c r="DQ217" s="68"/>
      <c r="DR217" s="68"/>
      <c r="DS217" s="68"/>
      <c r="DT217" s="68"/>
      <c r="DU217" s="68"/>
      <c r="DV217" s="68"/>
      <c r="DW217" s="68"/>
      <c r="DX217" s="68"/>
      <c r="DY217" s="68"/>
      <c r="DZ217" s="68"/>
      <c r="EA217" s="68"/>
      <c r="EB217" s="68"/>
      <c r="EC217" s="68"/>
      <c r="ED217" s="68"/>
      <c r="EE217" s="68"/>
      <c r="EF217" s="68"/>
      <c r="EG217" s="68"/>
      <c r="EH217" s="68"/>
      <c r="EI217" s="68"/>
      <c r="EJ217" s="68"/>
      <c r="EK217" s="68"/>
      <c r="EL217" s="68"/>
      <c r="EM217" s="68"/>
      <c r="EN217" s="68"/>
      <c r="EO217" s="68"/>
      <c r="EP217" s="68"/>
    </row>
    <row r="218" spans="1:146" s="78" customFormat="1" ht="11.25">
      <c r="A218" s="87" t="str">
        <f t="shared" si="34"/>
        <v>TDCR</v>
      </c>
      <c r="D218" s="85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93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  <c r="AO218" s="68"/>
      <c r="AP218" s="68"/>
      <c r="AQ218" s="68"/>
      <c r="AR218" s="68"/>
      <c r="AS218" s="68"/>
      <c r="AT218" s="68"/>
      <c r="AU218" s="68"/>
      <c r="AV218" s="68"/>
      <c r="AW218" s="68"/>
      <c r="AX218" s="68"/>
      <c r="AY218" s="68"/>
      <c r="AZ218" s="68"/>
      <c r="BA218" s="68"/>
      <c r="BB218" s="68"/>
      <c r="BC218" s="68"/>
      <c r="BD218" s="68"/>
      <c r="BE218" s="68"/>
      <c r="BF218" s="68"/>
      <c r="BG218" s="68"/>
      <c r="BH218" s="68"/>
      <c r="BI218" s="68"/>
      <c r="BJ218" s="68"/>
      <c r="BK218" s="68"/>
      <c r="BL218" s="68"/>
      <c r="BM218" s="68"/>
      <c r="BN218" s="68"/>
      <c r="BO218" s="68"/>
      <c r="BP218" s="68"/>
      <c r="BQ218" s="68"/>
      <c r="BR218" s="68"/>
      <c r="BS218" s="68"/>
      <c r="BT218" s="68"/>
      <c r="BU218" s="68"/>
      <c r="BV218" s="68"/>
      <c r="BW218" s="68"/>
      <c r="BX218" s="68"/>
      <c r="BY218" s="68"/>
      <c r="BZ218" s="68"/>
      <c r="CA218" s="68"/>
      <c r="CB218" s="68"/>
      <c r="CC218" s="68"/>
      <c r="CD218" s="68"/>
      <c r="CE218" s="68"/>
      <c r="CF218" s="68"/>
      <c r="CG218" s="68"/>
      <c r="CH218" s="68"/>
      <c r="CI218" s="68"/>
      <c r="CJ218" s="68"/>
      <c r="CK218" s="68"/>
      <c r="CL218" s="68"/>
      <c r="CM218" s="68"/>
      <c r="CN218" s="68"/>
      <c r="CO218" s="68"/>
      <c r="CP218" s="68"/>
      <c r="CQ218" s="68"/>
      <c r="CR218" s="68"/>
      <c r="CS218" s="68"/>
      <c r="CT218" s="68"/>
      <c r="CU218" s="68"/>
      <c r="CV218" s="68"/>
      <c r="CW218" s="68"/>
      <c r="CX218" s="68"/>
      <c r="CY218" s="68"/>
      <c r="CZ218" s="68"/>
      <c r="DA218" s="68"/>
      <c r="DB218" s="68"/>
      <c r="DC218" s="68"/>
      <c r="DD218" s="68"/>
      <c r="DE218" s="68"/>
      <c r="DF218" s="68"/>
      <c r="DG218" s="68"/>
      <c r="DH218" s="68"/>
      <c r="DI218" s="68"/>
      <c r="DJ218" s="68"/>
      <c r="DK218" s="68"/>
      <c r="DL218" s="68"/>
      <c r="DM218" s="68"/>
      <c r="DN218" s="68"/>
      <c r="DO218" s="68"/>
      <c r="DP218" s="68"/>
      <c r="DQ218" s="68"/>
      <c r="DR218" s="68"/>
      <c r="DS218" s="68"/>
      <c r="DT218" s="68"/>
      <c r="DU218" s="68"/>
      <c r="DV218" s="68"/>
      <c r="DW218" s="68"/>
      <c r="DX218" s="68"/>
      <c r="DY218" s="68"/>
      <c r="DZ218" s="68"/>
      <c r="EA218" s="68"/>
      <c r="EB218" s="68"/>
      <c r="EC218" s="68"/>
      <c r="ED218" s="68"/>
      <c r="EE218" s="68"/>
      <c r="EF218" s="68"/>
      <c r="EG218" s="68"/>
      <c r="EH218" s="68"/>
      <c r="EI218" s="68"/>
      <c r="EJ218" s="68"/>
      <c r="EK218" s="68"/>
      <c r="EL218" s="68"/>
      <c r="EM218" s="68"/>
      <c r="EN218" s="68"/>
      <c r="EO218" s="68"/>
      <c r="EP218" s="68"/>
    </row>
    <row r="219" spans="1:146" s="78" customFormat="1" ht="11.25">
      <c r="A219" s="87" t="str">
        <f t="shared" si="34"/>
        <v>TDCRSECONDARY &lt; 10 kW</v>
      </c>
      <c r="B219" s="83">
        <v>2</v>
      </c>
      <c r="C219" s="78" t="s">
        <v>150</v>
      </c>
      <c r="D219" s="85" t="s">
        <v>4</v>
      </c>
      <c r="E219" s="124">
        <v>1044361.02</v>
      </c>
      <c r="F219" s="124">
        <v>925479.60000000009</v>
      </c>
      <c r="G219" s="124">
        <v>981340.03</v>
      </c>
      <c r="H219" s="124">
        <v>992895.84000000008</v>
      </c>
      <c r="I219" s="124">
        <v>909581.96</v>
      </c>
      <c r="J219" s="124">
        <v>837637.39000000013</v>
      </c>
      <c r="K219" s="124">
        <v>832887.42999999993</v>
      </c>
      <c r="L219" s="124">
        <v>872554.57000000007</v>
      </c>
      <c r="M219" s="124">
        <v>997274.57000000007</v>
      </c>
      <c r="N219" s="124">
        <v>1162343.73</v>
      </c>
      <c r="O219" s="124">
        <v>1201756.6400000001</v>
      </c>
      <c r="P219" s="124">
        <v>1555253.7599999998</v>
      </c>
      <c r="Q219" s="93">
        <f>SUM(E219:P219)</f>
        <v>12313366.540000001</v>
      </c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  <c r="AV219" s="68"/>
      <c r="AW219" s="68"/>
      <c r="AX219" s="68"/>
      <c r="AY219" s="68"/>
      <c r="AZ219" s="68"/>
      <c r="BA219" s="68"/>
      <c r="BB219" s="68"/>
      <c r="BC219" s="68"/>
      <c r="BD219" s="68"/>
      <c r="BE219" s="68"/>
      <c r="BF219" s="68"/>
      <c r="BG219" s="68"/>
      <c r="BH219" s="68"/>
      <c r="BI219" s="68"/>
      <c r="BJ219" s="68"/>
      <c r="BK219" s="68"/>
      <c r="BL219" s="68"/>
      <c r="BM219" s="68"/>
      <c r="BN219" s="68"/>
      <c r="BO219" s="68"/>
      <c r="BP219" s="68"/>
      <c r="BQ219" s="68"/>
      <c r="BR219" s="68"/>
      <c r="BS219" s="68"/>
      <c r="BT219" s="68"/>
      <c r="BU219" s="68"/>
      <c r="BV219" s="68"/>
      <c r="BW219" s="68"/>
      <c r="BX219" s="68"/>
      <c r="BY219" s="68"/>
      <c r="BZ219" s="68"/>
      <c r="CA219" s="68"/>
      <c r="CB219" s="68"/>
      <c r="CC219" s="68"/>
      <c r="CD219" s="68"/>
      <c r="CE219" s="68"/>
      <c r="CF219" s="68"/>
      <c r="CG219" s="68"/>
      <c r="CH219" s="68"/>
      <c r="CI219" s="68"/>
      <c r="CJ219" s="68"/>
      <c r="CK219" s="68"/>
      <c r="CL219" s="68"/>
      <c r="CM219" s="68"/>
      <c r="CN219" s="68"/>
      <c r="CO219" s="68"/>
      <c r="CP219" s="68"/>
      <c r="CQ219" s="68"/>
      <c r="CR219" s="68"/>
      <c r="CS219" s="68"/>
      <c r="CT219" s="68"/>
      <c r="CU219" s="68"/>
      <c r="CV219" s="68"/>
      <c r="CW219" s="68"/>
      <c r="CX219" s="68"/>
      <c r="CY219" s="68"/>
      <c r="CZ219" s="68"/>
      <c r="DA219" s="68"/>
      <c r="DB219" s="68"/>
      <c r="DC219" s="68"/>
      <c r="DD219" s="68"/>
      <c r="DE219" s="68"/>
      <c r="DF219" s="68"/>
      <c r="DG219" s="68"/>
      <c r="DH219" s="68"/>
      <c r="DI219" s="68"/>
      <c r="DJ219" s="68"/>
      <c r="DK219" s="68"/>
      <c r="DL219" s="68"/>
      <c r="DM219" s="68"/>
      <c r="DN219" s="68"/>
      <c r="DO219" s="68"/>
      <c r="DP219" s="68"/>
      <c r="DQ219" s="68"/>
      <c r="DR219" s="68"/>
      <c r="DS219" s="68"/>
      <c r="DT219" s="68"/>
      <c r="DU219" s="68"/>
      <c r="DV219" s="68"/>
      <c r="DW219" s="68"/>
      <c r="DX219" s="68"/>
      <c r="DY219" s="68"/>
      <c r="DZ219" s="68"/>
      <c r="EA219" s="68"/>
      <c r="EB219" s="68"/>
      <c r="EC219" s="68"/>
      <c r="ED219" s="68"/>
      <c r="EE219" s="68"/>
      <c r="EF219" s="68"/>
      <c r="EG219" s="68"/>
      <c r="EH219" s="68"/>
      <c r="EI219" s="68"/>
      <c r="EJ219" s="68"/>
      <c r="EK219" s="68"/>
      <c r="EL219" s="68"/>
      <c r="EM219" s="68"/>
      <c r="EN219" s="68"/>
      <c r="EO219" s="68"/>
      <c r="EP219" s="68"/>
    </row>
    <row r="220" spans="1:146" s="78" customFormat="1" ht="11.25">
      <c r="A220" s="87" t="str">
        <f t="shared" si="34"/>
        <v>TDCR</v>
      </c>
      <c r="B220" s="83"/>
      <c r="D220" s="85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93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  <c r="AO220" s="68"/>
      <c r="AP220" s="68"/>
      <c r="AQ220" s="68"/>
      <c r="AR220" s="68"/>
      <c r="AS220" s="68"/>
      <c r="AT220" s="68"/>
      <c r="AU220" s="68"/>
      <c r="AV220" s="68"/>
      <c r="AW220" s="68"/>
      <c r="AX220" s="68"/>
      <c r="AY220" s="68"/>
      <c r="AZ220" s="68"/>
      <c r="BA220" s="68"/>
      <c r="BB220" s="68"/>
      <c r="BC220" s="68"/>
      <c r="BD220" s="68"/>
      <c r="BE220" s="68"/>
      <c r="BF220" s="68"/>
      <c r="BG220" s="68"/>
      <c r="BH220" s="68"/>
      <c r="BI220" s="68"/>
      <c r="BJ220" s="68"/>
      <c r="BK220" s="68"/>
      <c r="BL220" s="68"/>
      <c r="BM220" s="68"/>
      <c r="BN220" s="68"/>
      <c r="BO220" s="68"/>
      <c r="BP220" s="68"/>
      <c r="BQ220" s="68"/>
      <c r="BR220" s="68"/>
      <c r="BS220" s="68"/>
      <c r="BT220" s="68"/>
      <c r="BU220" s="68"/>
      <c r="BV220" s="68"/>
      <c r="BW220" s="68"/>
      <c r="BX220" s="68"/>
      <c r="BY220" s="68"/>
      <c r="BZ220" s="68"/>
      <c r="CA220" s="68"/>
      <c r="CB220" s="68"/>
      <c r="CC220" s="68"/>
      <c r="CD220" s="68"/>
      <c r="CE220" s="68"/>
      <c r="CF220" s="68"/>
      <c r="CG220" s="68"/>
      <c r="CH220" s="68"/>
      <c r="CI220" s="68"/>
      <c r="CJ220" s="68"/>
      <c r="CK220" s="68"/>
      <c r="CL220" s="68"/>
      <c r="CM220" s="68"/>
      <c r="CN220" s="68"/>
      <c r="CO220" s="68"/>
      <c r="CP220" s="68"/>
      <c r="CQ220" s="68"/>
      <c r="CR220" s="68"/>
      <c r="CS220" s="68"/>
      <c r="CT220" s="68"/>
      <c r="CU220" s="68"/>
      <c r="CV220" s="68"/>
      <c r="CW220" s="68"/>
      <c r="CX220" s="68"/>
      <c r="CY220" s="68"/>
      <c r="CZ220" s="68"/>
      <c r="DA220" s="68"/>
      <c r="DB220" s="68"/>
      <c r="DC220" s="68"/>
      <c r="DD220" s="68"/>
      <c r="DE220" s="68"/>
      <c r="DF220" s="68"/>
      <c r="DG220" s="68"/>
      <c r="DH220" s="68"/>
      <c r="DI220" s="68"/>
      <c r="DJ220" s="68"/>
      <c r="DK220" s="68"/>
      <c r="DL220" s="68"/>
      <c r="DM220" s="68"/>
      <c r="DN220" s="68"/>
      <c r="DO220" s="68"/>
      <c r="DP220" s="68"/>
      <c r="DQ220" s="68"/>
      <c r="DR220" s="68"/>
      <c r="DS220" s="68"/>
      <c r="DT220" s="68"/>
      <c r="DU220" s="68"/>
      <c r="DV220" s="68"/>
      <c r="DW220" s="68"/>
      <c r="DX220" s="68"/>
      <c r="DY220" s="68"/>
      <c r="DZ220" s="68"/>
      <c r="EA220" s="68"/>
      <c r="EB220" s="68"/>
      <c r="EC220" s="68"/>
      <c r="ED220" s="68"/>
      <c r="EE220" s="68"/>
      <c r="EF220" s="68"/>
      <c r="EG220" s="68"/>
      <c r="EH220" s="68"/>
      <c r="EI220" s="68"/>
      <c r="EJ220" s="68"/>
      <c r="EK220" s="68"/>
      <c r="EL220" s="68"/>
      <c r="EM220" s="68"/>
      <c r="EN220" s="68"/>
      <c r="EO220" s="68"/>
      <c r="EP220" s="68"/>
    </row>
    <row r="221" spans="1:146" s="78" customFormat="1" ht="11.25">
      <c r="A221" s="87" t="str">
        <f t="shared" si="34"/>
        <v>TDCRSECONDARY &gt; 10 kW NCP</v>
      </c>
      <c r="B221" s="83">
        <v>3</v>
      </c>
      <c r="C221" s="87" t="s">
        <v>81</v>
      </c>
      <c r="D221" s="74" t="s">
        <v>4</v>
      </c>
      <c r="E221" s="124">
        <v>11586592.709999999</v>
      </c>
      <c r="F221" s="124">
        <v>11328392.760000002</v>
      </c>
      <c r="G221" s="124">
        <v>11792781.340000002</v>
      </c>
      <c r="H221" s="124">
        <v>11966860.970000001</v>
      </c>
      <c r="I221" s="124">
        <v>11973774.51</v>
      </c>
      <c r="J221" s="124">
        <v>10315242.889999999</v>
      </c>
      <c r="K221" s="124">
        <v>10058376.76</v>
      </c>
      <c r="L221" s="124">
        <v>9889377.4400000013</v>
      </c>
      <c r="M221" s="124">
        <v>10332022.559999999</v>
      </c>
      <c r="N221" s="124">
        <v>10878922.600000001</v>
      </c>
      <c r="O221" s="124">
        <v>11025898.83</v>
      </c>
      <c r="P221" s="124">
        <v>12965076.58</v>
      </c>
      <c r="Q221" s="93">
        <f>SUM(E221:P221)</f>
        <v>134113319.94999999</v>
      </c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  <c r="AN221" s="68"/>
      <c r="AO221" s="68"/>
      <c r="AP221" s="68"/>
      <c r="AQ221" s="68"/>
      <c r="AR221" s="68"/>
      <c r="AS221" s="68"/>
      <c r="AT221" s="68"/>
      <c r="AU221" s="68"/>
      <c r="AV221" s="68"/>
      <c r="AW221" s="68"/>
      <c r="AX221" s="68"/>
      <c r="AY221" s="68"/>
      <c r="AZ221" s="68"/>
      <c r="BA221" s="68"/>
      <c r="BB221" s="68"/>
      <c r="BC221" s="68"/>
      <c r="BD221" s="68"/>
      <c r="BE221" s="68"/>
      <c r="BF221" s="68"/>
      <c r="BG221" s="68"/>
      <c r="BH221" s="68"/>
      <c r="BI221" s="68"/>
      <c r="BJ221" s="68"/>
      <c r="BK221" s="68"/>
      <c r="BL221" s="68"/>
      <c r="BM221" s="68"/>
      <c r="BN221" s="68"/>
      <c r="BO221" s="68"/>
      <c r="BP221" s="68"/>
      <c r="BQ221" s="68"/>
      <c r="BR221" s="68"/>
      <c r="BS221" s="68"/>
      <c r="BT221" s="68"/>
      <c r="BU221" s="68"/>
      <c r="BV221" s="68"/>
      <c r="BW221" s="68"/>
      <c r="BX221" s="68"/>
      <c r="BY221" s="68"/>
      <c r="BZ221" s="68"/>
      <c r="CA221" s="68"/>
      <c r="CB221" s="68"/>
      <c r="CC221" s="68"/>
      <c r="CD221" s="68"/>
      <c r="CE221" s="68"/>
      <c r="CF221" s="68"/>
      <c r="CG221" s="68"/>
      <c r="CH221" s="68"/>
      <c r="CI221" s="68"/>
      <c r="CJ221" s="68"/>
      <c r="CK221" s="68"/>
      <c r="CL221" s="68"/>
      <c r="CM221" s="68"/>
      <c r="CN221" s="68"/>
      <c r="CO221" s="68"/>
      <c r="CP221" s="68"/>
      <c r="CQ221" s="68"/>
      <c r="CR221" s="68"/>
      <c r="CS221" s="68"/>
      <c r="CT221" s="68"/>
      <c r="CU221" s="68"/>
      <c r="CV221" s="68"/>
      <c r="CW221" s="68"/>
      <c r="CX221" s="68"/>
      <c r="CY221" s="68"/>
      <c r="CZ221" s="68"/>
      <c r="DA221" s="68"/>
      <c r="DB221" s="68"/>
      <c r="DC221" s="68"/>
      <c r="DD221" s="68"/>
      <c r="DE221" s="68"/>
      <c r="DF221" s="68"/>
      <c r="DG221" s="68"/>
      <c r="DH221" s="68"/>
      <c r="DI221" s="68"/>
      <c r="DJ221" s="68"/>
      <c r="DK221" s="68"/>
      <c r="DL221" s="68"/>
      <c r="DM221" s="68"/>
      <c r="DN221" s="68"/>
      <c r="DO221" s="68"/>
      <c r="DP221" s="68"/>
      <c r="DQ221" s="68"/>
      <c r="DR221" s="68"/>
      <c r="DS221" s="68"/>
      <c r="DT221" s="68"/>
      <c r="DU221" s="68"/>
      <c r="DV221" s="68"/>
      <c r="DW221" s="68"/>
      <c r="DX221" s="68"/>
      <c r="DY221" s="68"/>
      <c r="DZ221" s="68"/>
      <c r="EA221" s="68"/>
      <c r="EB221" s="68"/>
      <c r="EC221" s="68"/>
      <c r="ED221" s="68"/>
      <c r="EE221" s="68"/>
      <c r="EF221" s="68"/>
      <c r="EG221" s="68"/>
      <c r="EH221" s="68"/>
      <c r="EI221" s="68"/>
      <c r="EJ221" s="68"/>
      <c r="EK221" s="68"/>
      <c r="EL221" s="68"/>
      <c r="EM221" s="68"/>
      <c r="EN221" s="68"/>
      <c r="EO221" s="68"/>
      <c r="EP221" s="68"/>
    </row>
    <row r="222" spans="1:146" s="78" customFormat="1" ht="11.25">
      <c r="A222" s="87" t="str">
        <f t="shared" si="34"/>
        <v>TDCRSECONDARY &gt; 10 kW 4CP</v>
      </c>
      <c r="B222" s="83">
        <v>4</v>
      </c>
      <c r="C222" s="87" t="s">
        <v>85</v>
      </c>
      <c r="D222" s="74" t="s">
        <v>4</v>
      </c>
      <c r="E222" s="149">
        <v>1490963.31</v>
      </c>
      <c r="F222" s="149">
        <v>1509332.1900000002</v>
      </c>
      <c r="G222" s="149">
        <v>1490510.92</v>
      </c>
      <c r="H222" s="149">
        <v>1425320.1300000001</v>
      </c>
      <c r="I222" s="149">
        <v>1419737.3900000001</v>
      </c>
      <c r="J222" s="149">
        <v>1291509.3700000001</v>
      </c>
      <c r="K222" s="149">
        <v>1282715.5</v>
      </c>
      <c r="L222" s="149">
        <v>1299466.9100000001</v>
      </c>
      <c r="M222" s="149">
        <v>1312193.79</v>
      </c>
      <c r="N222" s="149">
        <v>1349688.91</v>
      </c>
      <c r="O222" s="149">
        <v>1358064.4100000001</v>
      </c>
      <c r="P222" s="149">
        <v>1539928.8199999998</v>
      </c>
      <c r="Q222" s="72">
        <f>SUM(E222:P222)</f>
        <v>16769431.649999999</v>
      </c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  <c r="AO222" s="68"/>
      <c r="AP222" s="68"/>
      <c r="AQ222" s="68"/>
      <c r="AR222" s="68"/>
      <c r="AS222" s="68"/>
      <c r="AT222" s="68"/>
      <c r="AU222" s="68"/>
      <c r="AV222" s="68"/>
      <c r="AW222" s="68"/>
      <c r="AX222" s="68"/>
      <c r="AY222" s="68"/>
      <c r="AZ222" s="68"/>
      <c r="BA222" s="68"/>
      <c r="BB222" s="68"/>
      <c r="BC222" s="68"/>
      <c r="BD222" s="68"/>
      <c r="BE222" s="68"/>
      <c r="BF222" s="68"/>
      <c r="BG222" s="68"/>
      <c r="BH222" s="68"/>
      <c r="BI222" s="68"/>
      <c r="BJ222" s="68"/>
      <c r="BK222" s="68"/>
      <c r="BL222" s="68"/>
      <c r="BM222" s="68"/>
      <c r="BN222" s="68"/>
      <c r="BO222" s="68"/>
      <c r="BP222" s="68"/>
      <c r="BQ222" s="68"/>
      <c r="BR222" s="68"/>
      <c r="BS222" s="68"/>
      <c r="BT222" s="68"/>
      <c r="BU222" s="68"/>
      <c r="BV222" s="68"/>
      <c r="BW222" s="68"/>
      <c r="BX222" s="68"/>
      <c r="BY222" s="68"/>
      <c r="BZ222" s="68"/>
      <c r="CA222" s="68"/>
      <c r="CB222" s="68"/>
      <c r="CC222" s="68"/>
      <c r="CD222" s="68"/>
      <c r="CE222" s="68"/>
      <c r="CF222" s="68"/>
      <c r="CG222" s="68"/>
      <c r="CH222" s="68"/>
      <c r="CI222" s="68"/>
      <c r="CJ222" s="68"/>
      <c r="CK222" s="68"/>
      <c r="CL222" s="68"/>
      <c r="CM222" s="68"/>
      <c r="CN222" s="68"/>
      <c r="CO222" s="68"/>
      <c r="CP222" s="68"/>
      <c r="CQ222" s="68"/>
      <c r="CR222" s="68"/>
      <c r="CS222" s="68"/>
      <c r="CT222" s="68"/>
      <c r="CU222" s="68"/>
      <c r="CV222" s="68"/>
      <c r="CW222" s="68"/>
      <c r="CX222" s="68"/>
      <c r="CY222" s="68"/>
      <c r="CZ222" s="68"/>
      <c r="DA222" s="68"/>
      <c r="DB222" s="68"/>
      <c r="DC222" s="68"/>
      <c r="DD222" s="68"/>
      <c r="DE222" s="68"/>
      <c r="DF222" s="68"/>
      <c r="DG222" s="68"/>
      <c r="DH222" s="68"/>
      <c r="DI222" s="68"/>
      <c r="DJ222" s="68"/>
      <c r="DK222" s="68"/>
      <c r="DL222" s="68"/>
      <c r="DM222" s="68"/>
      <c r="DN222" s="68"/>
      <c r="DO222" s="68"/>
      <c r="DP222" s="68"/>
      <c r="DQ222" s="68"/>
      <c r="DR222" s="68"/>
      <c r="DS222" s="68"/>
      <c r="DT222" s="68"/>
      <c r="DU222" s="68"/>
      <c r="DV222" s="68"/>
      <c r="DW222" s="68"/>
      <c r="DX222" s="68"/>
      <c r="DY222" s="68"/>
      <c r="DZ222" s="68"/>
      <c r="EA222" s="68"/>
      <c r="EB222" s="68"/>
      <c r="EC222" s="68"/>
      <c r="ED222" s="68"/>
      <c r="EE222" s="68"/>
      <c r="EF222" s="68"/>
      <c r="EG222" s="68"/>
      <c r="EH222" s="68"/>
      <c r="EI222" s="68"/>
      <c r="EJ222" s="68"/>
      <c r="EK222" s="68"/>
      <c r="EL222" s="68"/>
      <c r="EM222" s="68"/>
      <c r="EN222" s="68"/>
      <c r="EO222" s="68"/>
      <c r="EP222" s="68"/>
    </row>
    <row r="223" spans="1:146" s="78" customFormat="1" ht="11.25">
      <c r="A223" s="87" t="str">
        <f t="shared" si="34"/>
        <v>TDCRTOTAL SECONDARY &gt; 10 kW</v>
      </c>
      <c r="B223" s="83">
        <v>5</v>
      </c>
      <c r="C223" s="96" t="s">
        <v>18</v>
      </c>
      <c r="D223" s="85"/>
      <c r="E223" s="231">
        <f>SUM(E221:E222)</f>
        <v>13077556.02</v>
      </c>
      <c r="F223" s="231">
        <f t="shared" ref="F223:Q223" si="35">SUM(F221:F222)</f>
        <v>12837724.950000001</v>
      </c>
      <c r="G223" s="231">
        <f t="shared" si="35"/>
        <v>13283292.260000002</v>
      </c>
      <c r="H223" s="231">
        <f t="shared" si="35"/>
        <v>13392181.100000001</v>
      </c>
      <c r="I223" s="231">
        <f t="shared" si="35"/>
        <v>13393511.9</v>
      </c>
      <c r="J223" s="231">
        <f t="shared" si="35"/>
        <v>11606752.259999998</v>
      </c>
      <c r="K223" s="231">
        <f t="shared" si="35"/>
        <v>11341092.26</v>
      </c>
      <c r="L223" s="231">
        <f t="shared" si="35"/>
        <v>11188844.350000001</v>
      </c>
      <c r="M223" s="231">
        <f t="shared" si="35"/>
        <v>11644216.349999998</v>
      </c>
      <c r="N223" s="231">
        <f t="shared" si="35"/>
        <v>12228611.510000002</v>
      </c>
      <c r="O223" s="231">
        <f t="shared" si="35"/>
        <v>12383963.24</v>
      </c>
      <c r="P223" s="231">
        <f t="shared" si="35"/>
        <v>14505005.4</v>
      </c>
      <c r="Q223" s="231">
        <f t="shared" si="35"/>
        <v>150882751.59999999</v>
      </c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  <c r="AN223" s="68"/>
      <c r="AO223" s="68"/>
      <c r="AP223" s="68"/>
      <c r="AQ223" s="68"/>
      <c r="AR223" s="68"/>
      <c r="AS223" s="68"/>
      <c r="AT223" s="68"/>
      <c r="AU223" s="68"/>
      <c r="AV223" s="68"/>
      <c r="AW223" s="68"/>
      <c r="AX223" s="68"/>
      <c r="AY223" s="68"/>
      <c r="AZ223" s="68"/>
      <c r="BA223" s="68"/>
      <c r="BB223" s="68"/>
      <c r="BC223" s="68"/>
      <c r="BD223" s="68"/>
      <c r="BE223" s="68"/>
      <c r="BF223" s="68"/>
      <c r="BG223" s="68"/>
      <c r="BH223" s="68"/>
      <c r="BI223" s="68"/>
      <c r="BJ223" s="68"/>
      <c r="BK223" s="68"/>
      <c r="BL223" s="68"/>
      <c r="BM223" s="68"/>
      <c r="BN223" s="68"/>
      <c r="BO223" s="68"/>
      <c r="BP223" s="68"/>
      <c r="BQ223" s="68"/>
      <c r="BR223" s="68"/>
      <c r="BS223" s="68"/>
      <c r="BT223" s="68"/>
      <c r="BU223" s="68"/>
      <c r="BV223" s="68"/>
      <c r="BW223" s="68"/>
      <c r="BX223" s="68"/>
      <c r="BY223" s="68"/>
      <c r="BZ223" s="68"/>
      <c r="CA223" s="68"/>
      <c r="CB223" s="68"/>
      <c r="CC223" s="68"/>
      <c r="CD223" s="68"/>
      <c r="CE223" s="68"/>
      <c r="CF223" s="68"/>
      <c r="CG223" s="68"/>
      <c r="CH223" s="68"/>
      <c r="CI223" s="68"/>
      <c r="CJ223" s="68"/>
      <c r="CK223" s="68"/>
      <c r="CL223" s="68"/>
      <c r="CM223" s="68"/>
      <c r="CN223" s="68"/>
      <c r="CO223" s="68"/>
      <c r="CP223" s="68"/>
      <c r="CQ223" s="68"/>
      <c r="CR223" s="68"/>
      <c r="CS223" s="68"/>
      <c r="CT223" s="68"/>
      <c r="CU223" s="68"/>
      <c r="CV223" s="68"/>
      <c r="CW223" s="68"/>
      <c r="CX223" s="68"/>
      <c r="CY223" s="68"/>
      <c r="CZ223" s="68"/>
      <c r="DA223" s="68"/>
      <c r="DB223" s="68"/>
      <c r="DC223" s="68"/>
      <c r="DD223" s="68"/>
      <c r="DE223" s="68"/>
      <c r="DF223" s="68"/>
      <c r="DG223" s="68"/>
      <c r="DH223" s="68"/>
      <c r="DI223" s="68"/>
      <c r="DJ223" s="68"/>
      <c r="DK223" s="68"/>
      <c r="DL223" s="68"/>
      <c r="DM223" s="68"/>
      <c r="DN223" s="68"/>
      <c r="DO223" s="68"/>
      <c r="DP223" s="68"/>
      <c r="DQ223" s="68"/>
      <c r="DR223" s="68"/>
      <c r="DS223" s="68"/>
      <c r="DT223" s="68"/>
      <c r="DU223" s="68"/>
      <c r="DV223" s="68"/>
      <c r="DW223" s="68"/>
      <c r="DX223" s="68"/>
      <c r="DY223" s="68"/>
      <c r="DZ223" s="68"/>
      <c r="EA223" s="68"/>
      <c r="EB223" s="68"/>
      <c r="EC223" s="68"/>
      <c r="ED223" s="68"/>
      <c r="EE223" s="68"/>
      <c r="EF223" s="68"/>
      <c r="EG223" s="68"/>
      <c r="EH223" s="68"/>
      <c r="EI223" s="68"/>
      <c r="EJ223" s="68"/>
      <c r="EK223" s="68"/>
      <c r="EL223" s="68"/>
      <c r="EM223" s="68"/>
      <c r="EN223" s="68"/>
      <c r="EO223" s="68"/>
      <c r="EP223" s="68"/>
    </row>
    <row r="224" spans="1:146" s="78" customFormat="1" ht="11.25">
      <c r="A224" s="87" t="str">
        <f t="shared" si="34"/>
        <v>TDCR</v>
      </c>
      <c r="C224" s="146"/>
      <c r="D224" s="85"/>
      <c r="E224" s="231"/>
      <c r="F224" s="231"/>
      <c r="G224" s="231"/>
      <c r="H224" s="231"/>
      <c r="I224" s="231"/>
      <c r="J224" s="231"/>
      <c r="K224" s="231"/>
      <c r="L224" s="231"/>
      <c r="M224" s="231"/>
      <c r="N224" s="231"/>
      <c r="O224" s="231"/>
      <c r="P224" s="90"/>
      <c r="Q224" s="71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  <c r="AO224" s="68"/>
      <c r="AP224" s="68"/>
      <c r="AQ224" s="68"/>
      <c r="AR224" s="68"/>
      <c r="AS224" s="68"/>
      <c r="AT224" s="68"/>
      <c r="AU224" s="68"/>
      <c r="AV224" s="68"/>
      <c r="AW224" s="68"/>
      <c r="AX224" s="68"/>
      <c r="AY224" s="68"/>
      <c r="AZ224" s="68"/>
      <c r="BA224" s="68"/>
      <c r="BB224" s="68"/>
      <c r="BC224" s="68"/>
      <c r="BD224" s="68"/>
      <c r="BE224" s="68"/>
      <c r="BF224" s="68"/>
      <c r="BG224" s="68"/>
      <c r="BH224" s="68"/>
      <c r="BI224" s="68"/>
      <c r="BJ224" s="68"/>
      <c r="BK224" s="68"/>
      <c r="BL224" s="68"/>
      <c r="BM224" s="68"/>
      <c r="BN224" s="68"/>
      <c r="BO224" s="68"/>
      <c r="BP224" s="68"/>
      <c r="BQ224" s="68"/>
      <c r="BR224" s="68"/>
      <c r="BS224" s="68"/>
      <c r="BT224" s="68"/>
      <c r="BU224" s="68"/>
      <c r="BV224" s="68"/>
      <c r="BW224" s="68"/>
      <c r="BX224" s="68"/>
      <c r="BY224" s="68"/>
      <c r="BZ224" s="68"/>
      <c r="CA224" s="68"/>
      <c r="CB224" s="68"/>
      <c r="CC224" s="68"/>
      <c r="CD224" s="68"/>
      <c r="CE224" s="68"/>
      <c r="CF224" s="68"/>
      <c r="CG224" s="68"/>
      <c r="CH224" s="68"/>
      <c r="CI224" s="68"/>
      <c r="CJ224" s="68"/>
      <c r="CK224" s="68"/>
      <c r="CL224" s="68"/>
      <c r="CM224" s="68"/>
      <c r="CN224" s="68"/>
      <c r="CO224" s="68"/>
      <c r="CP224" s="68"/>
      <c r="CQ224" s="68"/>
      <c r="CR224" s="68"/>
      <c r="CS224" s="68"/>
      <c r="CT224" s="68"/>
      <c r="CU224" s="68"/>
      <c r="CV224" s="68"/>
      <c r="CW224" s="68"/>
      <c r="CX224" s="68"/>
      <c r="CY224" s="68"/>
      <c r="CZ224" s="68"/>
      <c r="DA224" s="68"/>
      <c r="DB224" s="68"/>
      <c r="DC224" s="68"/>
      <c r="DD224" s="68"/>
      <c r="DE224" s="68"/>
      <c r="DF224" s="68"/>
      <c r="DG224" s="68"/>
      <c r="DH224" s="68"/>
      <c r="DI224" s="68"/>
      <c r="DJ224" s="68"/>
      <c r="DK224" s="68"/>
      <c r="DL224" s="68"/>
      <c r="DM224" s="68"/>
      <c r="DN224" s="68"/>
      <c r="DO224" s="68"/>
      <c r="DP224" s="68"/>
      <c r="DQ224" s="68"/>
      <c r="DR224" s="68"/>
      <c r="DS224" s="68"/>
      <c r="DT224" s="68"/>
      <c r="DU224" s="68"/>
      <c r="DV224" s="68"/>
      <c r="DW224" s="68"/>
      <c r="DX224" s="68"/>
      <c r="DY224" s="68"/>
      <c r="DZ224" s="68"/>
      <c r="EA224" s="68"/>
      <c r="EB224" s="68"/>
      <c r="EC224" s="68"/>
      <c r="ED224" s="68"/>
      <c r="EE224" s="68"/>
      <c r="EF224" s="68"/>
      <c r="EG224" s="68"/>
      <c r="EH224" s="68"/>
      <c r="EI224" s="68"/>
      <c r="EJ224" s="68"/>
      <c r="EK224" s="68"/>
      <c r="EL224" s="68"/>
      <c r="EM224" s="68"/>
      <c r="EN224" s="68"/>
      <c r="EO224" s="68"/>
      <c r="EP224" s="68"/>
    </row>
    <row r="225" spans="1:146" s="78" customFormat="1" ht="11.25">
      <c r="A225" s="87" t="str">
        <f t="shared" si="34"/>
        <v>TDCRPRIMARY NCP</v>
      </c>
      <c r="B225" s="83">
        <v>6</v>
      </c>
      <c r="C225" s="87" t="s">
        <v>82</v>
      </c>
      <c r="D225" s="74" t="s">
        <v>5</v>
      </c>
      <c r="E225" s="124">
        <f>279875.02-E227</f>
        <v>272352.84000000003</v>
      </c>
      <c r="F225" s="124">
        <f>286913.84-F227</f>
        <v>280744.37000000005</v>
      </c>
      <c r="G225" s="124">
        <f>289600.7-G227</f>
        <v>283829.04000000004</v>
      </c>
      <c r="H225" s="124">
        <f>277146.82-H227</f>
        <v>271453.19</v>
      </c>
      <c r="I225" s="124">
        <f>283522.83-I227</f>
        <v>277771.89</v>
      </c>
      <c r="J225" s="124">
        <f>229296.01-J227</f>
        <v>224609.85</v>
      </c>
      <c r="K225" s="124">
        <f>239507.44-K227</f>
        <v>234576.49</v>
      </c>
      <c r="L225" s="124">
        <f>237715.42-L227</f>
        <v>232198.91</v>
      </c>
      <c r="M225" s="124">
        <f>226298.16-M227</f>
        <v>220918.66</v>
      </c>
      <c r="N225" s="124">
        <f>254130.24-N227</f>
        <v>248742.24</v>
      </c>
      <c r="O225" s="124">
        <f>231792.79-O227</f>
        <v>226453.83000000002</v>
      </c>
      <c r="P225" s="124">
        <f>272935.6-P227</f>
        <v>266650.02999999997</v>
      </c>
      <c r="Q225" s="93">
        <f>SUM(E225:P225)</f>
        <v>3040301.3400000003</v>
      </c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  <c r="AM225" s="68"/>
      <c r="AN225" s="68"/>
      <c r="AO225" s="68"/>
      <c r="AP225" s="68"/>
      <c r="AQ225" s="68"/>
      <c r="AR225" s="68"/>
      <c r="AS225" s="68"/>
      <c r="AT225" s="68"/>
      <c r="AU225" s="68"/>
      <c r="AV225" s="68"/>
      <c r="AW225" s="68"/>
      <c r="AX225" s="68"/>
      <c r="AY225" s="68"/>
      <c r="AZ225" s="68"/>
      <c r="BA225" s="68"/>
      <c r="BB225" s="68"/>
      <c r="BC225" s="68"/>
      <c r="BD225" s="68"/>
      <c r="BE225" s="68"/>
      <c r="BF225" s="68"/>
      <c r="BG225" s="68"/>
      <c r="BH225" s="68"/>
      <c r="BI225" s="68"/>
      <c r="BJ225" s="68"/>
      <c r="BK225" s="68"/>
      <c r="BL225" s="68"/>
      <c r="BM225" s="68"/>
      <c r="BN225" s="68"/>
      <c r="BO225" s="68"/>
      <c r="BP225" s="68"/>
      <c r="BQ225" s="68"/>
      <c r="BR225" s="68"/>
      <c r="BS225" s="68"/>
      <c r="BT225" s="68"/>
      <c r="BU225" s="68"/>
      <c r="BV225" s="68"/>
      <c r="BW225" s="68"/>
      <c r="BX225" s="68"/>
      <c r="BY225" s="68"/>
      <c r="BZ225" s="68"/>
      <c r="CA225" s="68"/>
      <c r="CB225" s="68"/>
      <c r="CC225" s="68"/>
      <c r="CD225" s="68"/>
      <c r="CE225" s="68"/>
      <c r="CF225" s="68"/>
      <c r="CG225" s="68"/>
      <c r="CH225" s="68"/>
      <c r="CI225" s="68"/>
      <c r="CJ225" s="68"/>
      <c r="CK225" s="68"/>
      <c r="CL225" s="68"/>
      <c r="CM225" s="68"/>
      <c r="CN225" s="68"/>
      <c r="CO225" s="68"/>
      <c r="CP225" s="68"/>
      <c r="CQ225" s="68"/>
      <c r="CR225" s="68"/>
      <c r="CS225" s="68"/>
      <c r="CT225" s="68"/>
      <c r="CU225" s="68"/>
      <c r="CV225" s="68"/>
      <c r="CW225" s="68"/>
      <c r="CX225" s="68"/>
      <c r="CY225" s="68"/>
      <c r="CZ225" s="68"/>
      <c r="DA225" s="68"/>
      <c r="DB225" s="68"/>
      <c r="DC225" s="68"/>
      <c r="DD225" s="68"/>
      <c r="DE225" s="68"/>
      <c r="DF225" s="68"/>
      <c r="DG225" s="68"/>
      <c r="DH225" s="68"/>
      <c r="DI225" s="68"/>
      <c r="DJ225" s="68"/>
      <c r="DK225" s="68"/>
      <c r="DL225" s="68"/>
      <c r="DM225" s="68"/>
      <c r="DN225" s="68"/>
      <c r="DO225" s="68"/>
      <c r="DP225" s="68"/>
      <c r="DQ225" s="68"/>
      <c r="DR225" s="68"/>
      <c r="DS225" s="68"/>
      <c r="DT225" s="68"/>
      <c r="DU225" s="68"/>
      <c r="DV225" s="68"/>
      <c r="DW225" s="68"/>
      <c r="DX225" s="68"/>
      <c r="DY225" s="68"/>
      <c r="DZ225" s="68"/>
      <c r="EA225" s="68"/>
      <c r="EB225" s="68"/>
      <c r="EC225" s="68"/>
      <c r="ED225" s="68"/>
      <c r="EE225" s="68"/>
      <c r="EF225" s="68"/>
      <c r="EG225" s="68"/>
      <c r="EH225" s="68"/>
      <c r="EI225" s="68"/>
      <c r="EJ225" s="68"/>
      <c r="EK225" s="68"/>
      <c r="EL225" s="68"/>
      <c r="EM225" s="68"/>
      <c r="EN225" s="68"/>
      <c r="EO225" s="68"/>
      <c r="EP225" s="68"/>
    </row>
    <row r="226" spans="1:146" s="78" customFormat="1" ht="11.25">
      <c r="A226" s="87" t="str">
        <f t="shared" si="34"/>
        <v>TDCRPRIMARY 4CP</v>
      </c>
      <c r="B226" s="83">
        <v>7</v>
      </c>
      <c r="C226" s="87" t="s">
        <v>83</v>
      </c>
      <c r="D226" s="74" t="s">
        <v>5</v>
      </c>
      <c r="E226" s="124">
        <f>4023488.28-E228</f>
        <v>3206837.96</v>
      </c>
      <c r="F226" s="124">
        <f>4083156.83-F228</f>
        <v>3266527.01</v>
      </c>
      <c r="G226" s="124">
        <f>4048490-G228</f>
        <v>3234787.7199999997</v>
      </c>
      <c r="H226" s="124">
        <f>4228008.04-H228</f>
        <v>3376898.91</v>
      </c>
      <c r="I226" s="124">
        <f>4232968.85-I228</f>
        <v>3385488.46</v>
      </c>
      <c r="J226" s="124">
        <f>3882920.48-J228</f>
        <v>3112296.63</v>
      </c>
      <c r="K226" s="124">
        <f>3815106.01-K228</f>
        <v>3045454.37</v>
      </c>
      <c r="L226" s="124">
        <f>3961645.25-L228</f>
        <v>3225985.89</v>
      </c>
      <c r="M226" s="124">
        <f>3850804-M228</f>
        <v>3108948.44</v>
      </c>
      <c r="N226" s="124">
        <f>3854620.13-N228</f>
        <v>3118923.0599999996</v>
      </c>
      <c r="O226" s="124">
        <f>3867756.3-O228</f>
        <v>3131772.84</v>
      </c>
      <c r="P226" s="124">
        <f>3786334.46-P228</f>
        <v>3044903.31</v>
      </c>
      <c r="Q226" s="103">
        <f>SUM(E226:P226)</f>
        <v>38258824.600000001</v>
      </c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  <c r="AO226" s="68"/>
      <c r="AP226" s="68"/>
      <c r="AQ226" s="68"/>
      <c r="AR226" s="68"/>
      <c r="AS226" s="68"/>
      <c r="AT226" s="68"/>
      <c r="AU226" s="68"/>
      <c r="AV226" s="68"/>
      <c r="AW226" s="68"/>
      <c r="AX226" s="68"/>
      <c r="AY226" s="68"/>
      <c r="AZ226" s="68"/>
      <c r="BA226" s="68"/>
      <c r="BB226" s="68"/>
      <c r="BC226" s="68"/>
      <c r="BD226" s="68"/>
      <c r="BE226" s="68"/>
      <c r="BF226" s="68"/>
      <c r="BG226" s="68"/>
      <c r="BH226" s="68"/>
      <c r="BI226" s="68"/>
      <c r="BJ226" s="68"/>
      <c r="BK226" s="68"/>
      <c r="BL226" s="68"/>
      <c r="BM226" s="68"/>
      <c r="BN226" s="68"/>
      <c r="BO226" s="68"/>
      <c r="BP226" s="68"/>
      <c r="BQ226" s="68"/>
      <c r="BR226" s="68"/>
      <c r="BS226" s="68"/>
      <c r="BT226" s="68"/>
      <c r="BU226" s="68"/>
      <c r="BV226" s="68"/>
      <c r="BW226" s="68"/>
      <c r="BX226" s="68"/>
      <c r="BY226" s="68"/>
      <c r="BZ226" s="68"/>
      <c r="CA226" s="68"/>
      <c r="CB226" s="68"/>
      <c r="CC226" s="68"/>
      <c r="CD226" s="68"/>
      <c r="CE226" s="68"/>
      <c r="CF226" s="68"/>
      <c r="CG226" s="68"/>
      <c r="CH226" s="68"/>
      <c r="CI226" s="68"/>
      <c r="CJ226" s="68"/>
      <c r="CK226" s="68"/>
      <c r="CL226" s="68"/>
      <c r="CM226" s="68"/>
      <c r="CN226" s="68"/>
      <c r="CO226" s="68"/>
      <c r="CP226" s="68"/>
      <c r="CQ226" s="68"/>
      <c r="CR226" s="68"/>
      <c r="CS226" s="68"/>
      <c r="CT226" s="68"/>
      <c r="CU226" s="68"/>
      <c r="CV226" s="68"/>
      <c r="CW226" s="68"/>
      <c r="CX226" s="68"/>
      <c r="CY226" s="68"/>
      <c r="CZ226" s="68"/>
      <c r="DA226" s="68"/>
      <c r="DB226" s="68"/>
      <c r="DC226" s="68"/>
      <c r="DD226" s="68"/>
      <c r="DE226" s="68"/>
      <c r="DF226" s="68"/>
      <c r="DG226" s="68"/>
      <c r="DH226" s="68"/>
      <c r="DI226" s="68"/>
      <c r="DJ226" s="68"/>
      <c r="DK226" s="68"/>
      <c r="DL226" s="68"/>
      <c r="DM226" s="68"/>
      <c r="DN226" s="68"/>
      <c r="DO226" s="68"/>
      <c r="DP226" s="68"/>
      <c r="DQ226" s="68"/>
      <c r="DR226" s="68"/>
      <c r="DS226" s="68"/>
      <c r="DT226" s="68"/>
      <c r="DU226" s="68"/>
      <c r="DV226" s="68"/>
      <c r="DW226" s="68"/>
      <c r="DX226" s="68"/>
      <c r="DY226" s="68"/>
      <c r="DZ226" s="68"/>
      <c r="EA226" s="68"/>
      <c r="EB226" s="68"/>
      <c r="EC226" s="68"/>
      <c r="ED226" s="68"/>
      <c r="EE226" s="68"/>
      <c r="EF226" s="68"/>
      <c r="EG226" s="68"/>
      <c r="EH226" s="68"/>
      <c r="EI226" s="68"/>
      <c r="EJ226" s="68"/>
      <c r="EK226" s="68"/>
      <c r="EL226" s="68"/>
      <c r="EM226" s="68"/>
      <c r="EN226" s="68"/>
      <c r="EO226" s="68"/>
      <c r="EP226" s="68"/>
    </row>
    <row r="227" spans="1:146" s="78" customFormat="1" ht="11.25">
      <c r="A227" s="87" t="str">
        <f t="shared" si="34"/>
        <v>TDCRPRIMARY SUB NCP</v>
      </c>
      <c r="B227" s="83">
        <v>8</v>
      </c>
      <c r="C227" s="87" t="s">
        <v>148</v>
      </c>
      <c r="D227" s="74" t="s">
        <v>5</v>
      </c>
      <c r="E227" s="124">
        <f>+'Prm Sb Rev Rider'!GC72</f>
        <v>7522.18</v>
      </c>
      <c r="F227" s="124">
        <f>+'Prm Sb Rev Rider'!GD72</f>
        <v>6169.47</v>
      </c>
      <c r="G227" s="124">
        <f>+'Prm Sb Rev Rider'!GE72</f>
        <v>5771.66</v>
      </c>
      <c r="H227" s="124">
        <f>+'Prm Sb Rev Rider'!GF72</f>
        <v>5693.63</v>
      </c>
      <c r="I227" s="124">
        <f>+'Prm Sb Rev Rider'!GG72</f>
        <v>5750.94</v>
      </c>
      <c r="J227" s="124">
        <f>+'Prm Sb Rev Rider'!GH72</f>
        <v>4686.16</v>
      </c>
      <c r="K227" s="124">
        <f>+'Prm Sb Rev Rider'!GI72</f>
        <v>4930.95</v>
      </c>
      <c r="L227" s="124">
        <f>+'Prm Sb Rev Rider'!GJ72</f>
        <v>5516.51</v>
      </c>
      <c r="M227" s="124">
        <f>+'Prm Sb Rev Rider'!GK72</f>
        <v>5379.5</v>
      </c>
      <c r="N227" s="124">
        <f>+'Prm Sb Rev Rider'!GL72</f>
        <v>5387.9999999999991</v>
      </c>
      <c r="O227" s="124">
        <f>+'Prm Sb Rev Rider'!GM72</f>
        <v>5338.96</v>
      </c>
      <c r="P227" s="124">
        <f>+'Prm Sb Rev Rider'!GN72</f>
        <v>6285.57</v>
      </c>
      <c r="Q227" s="103">
        <f t="shared" ref="Q227:Q228" si="36">SUM(E227:P227)</f>
        <v>68433.53</v>
      </c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  <c r="AO227" s="68"/>
      <c r="AP227" s="68"/>
      <c r="AQ227" s="68"/>
      <c r="AR227" s="68"/>
      <c r="AS227" s="68"/>
      <c r="AT227" s="68"/>
      <c r="AU227" s="68"/>
      <c r="AV227" s="68"/>
      <c r="AW227" s="68"/>
      <c r="AX227" s="68"/>
      <c r="AY227" s="68"/>
      <c r="AZ227" s="68"/>
      <c r="BA227" s="68"/>
      <c r="BB227" s="68"/>
      <c r="BC227" s="68"/>
      <c r="BD227" s="68"/>
      <c r="BE227" s="68"/>
      <c r="BF227" s="68"/>
      <c r="BG227" s="68"/>
      <c r="BH227" s="68"/>
      <c r="BI227" s="68"/>
      <c r="BJ227" s="68"/>
      <c r="BK227" s="68"/>
      <c r="BL227" s="68"/>
      <c r="BM227" s="68"/>
      <c r="BN227" s="68"/>
      <c r="BO227" s="68"/>
      <c r="BP227" s="68"/>
      <c r="BQ227" s="68"/>
      <c r="BR227" s="68"/>
      <c r="BS227" s="68"/>
      <c r="BT227" s="68"/>
      <c r="BU227" s="68"/>
      <c r="BV227" s="68"/>
      <c r="BW227" s="68"/>
      <c r="BX227" s="68"/>
      <c r="BY227" s="68"/>
      <c r="BZ227" s="68"/>
      <c r="CA227" s="68"/>
      <c r="CB227" s="68"/>
      <c r="CC227" s="68"/>
      <c r="CD227" s="68"/>
      <c r="CE227" s="68"/>
      <c r="CF227" s="68"/>
      <c r="CG227" s="68"/>
      <c r="CH227" s="68"/>
      <c r="CI227" s="68"/>
      <c r="CJ227" s="68"/>
      <c r="CK227" s="68"/>
      <c r="CL227" s="68"/>
      <c r="CM227" s="68"/>
      <c r="CN227" s="68"/>
      <c r="CO227" s="68"/>
      <c r="CP227" s="68"/>
      <c r="CQ227" s="68"/>
      <c r="CR227" s="68"/>
      <c r="CS227" s="68"/>
      <c r="CT227" s="68"/>
      <c r="CU227" s="68"/>
      <c r="CV227" s="68"/>
      <c r="CW227" s="68"/>
      <c r="CX227" s="68"/>
      <c r="CY227" s="68"/>
      <c r="CZ227" s="68"/>
      <c r="DA227" s="68"/>
      <c r="DB227" s="68"/>
      <c r="DC227" s="68"/>
      <c r="DD227" s="68"/>
      <c r="DE227" s="68"/>
      <c r="DF227" s="68"/>
      <c r="DG227" s="68"/>
      <c r="DH227" s="68"/>
      <c r="DI227" s="68"/>
      <c r="DJ227" s="68"/>
      <c r="DK227" s="68"/>
      <c r="DL227" s="68"/>
      <c r="DM227" s="68"/>
      <c r="DN227" s="68"/>
      <c r="DO227" s="68"/>
      <c r="DP227" s="68"/>
      <c r="DQ227" s="68"/>
      <c r="DR227" s="68"/>
      <c r="DS227" s="68"/>
      <c r="DT227" s="68"/>
      <c r="DU227" s="68"/>
      <c r="DV227" s="68"/>
      <c r="DW227" s="68"/>
      <c r="DX227" s="68"/>
      <c r="DY227" s="68"/>
      <c r="DZ227" s="68"/>
      <c r="EA227" s="68"/>
      <c r="EB227" s="68"/>
      <c r="EC227" s="68"/>
      <c r="ED227" s="68"/>
      <c r="EE227" s="68"/>
      <c r="EF227" s="68"/>
      <c r="EG227" s="68"/>
      <c r="EH227" s="68"/>
      <c r="EI227" s="68"/>
      <c r="EJ227" s="68"/>
      <c r="EK227" s="68"/>
      <c r="EL227" s="68"/>
      <c r="EM227" s="68"/>
      <c r="EN227" s="68"/>
      <c r="EO227" s="68"/>
      <c r="EP227" s="68"/>
    </row>
    <row r="228" spans="1:146" s="78" customFormat="1" ht="11.25">
      <c r="A228" s="87" t="str">
        <f t="shared" si="34"/>
        <v>TDCRPRIMARY SUB 4CP</v>
      </c>
      <c r="B228" s="83">
        <v>9</v>
      </c>
      <c r="C228" s="87" t="s">
        <v>149</v>
      </c>
      <c r="D228" s="74" t="s">
        <v>5</v>
      </c>
      <c r="E228" s="124">
        <f>+'Prm Sb Rev Rider'!GC60+'Prm Sb Rev Rider'!GC62</f>
        <v>816650.32000000007</v>
      </c>
      <c r="F228" s="124">
        <f>+'Prm Sb Rev Rider'!GD60+'Prm Sb Rev Rider'!GD62</f>
        <v>816629.82000000018</v>
      </c>
      <c r="G228" s="124">
        <f>+'Prm Sb Rev Rider'!GE60+'Prm Sb Rev Rider'!GE62</f>
        <v>813702.28000000014</v>
      </c>
      <c r="H228" s="124">
        <f>+'Prm Sb Rev Rider'!GF60+'Prm Sb Rev Rider'!GF62</f>
        <v>851109.12999999989</v>
      </c>
      <c r="I228" s="124">
        <f>+'Prm Sb Rev Rider'!GG60+'Prm Sb Rev Rider'!GG62</f>
        <v>847480.3899999999</v>
      </c>
      <c r="J228" s="124">
        <f>+'Prm Sb Rev Rider'!GH60+'Prm Sb Rev Rider'!GH62</f>
        <v>770623.85000000009</v>
      </c>
      <c r="K228" s="124">
        <f>+'Prm Sb Rev Rider'!GI60+'Prm Sb Rev Rider'!GI62</f>
        <v>769651.63999999978</v>
      </c>
      <c r="L228" s="124">
        <f>+'Prm Sb Rev Rider'!GJ60+'Prm Sb Rev Rider'!GJ62</f>
        <v>735659.35999999987</v>
      </c>
      <c r="M228" s="124">
        <f>+'Prm Sb Rev Rider'!GK60+'Prm Sb Rev Rider'!GK62</f>
        <v>741855.56000000017</v>
      </c>
      <c r="N228" s="124">
        <f>+'Prm Sb Rev Rider'!GL60+'Prm Sb Rev Rider'!GL62</f>
        <v>735697.07000000007</v>
      </c>
      <c r="O228" s="124">
        <f>+'Prm Sb Rev Rider'!GM60+'Prm Sb Rev Rider'!GM62</f>
        <v>735983.46000000008</v>
      </c>
      <c r="P228" s="124">
        <f>+'Prm Sb Rev Rider'!GN60+'Prm Sb Rev Rider'!GN62</f>
        <v>741431.14999999991</v>
      </c>
      <c r="Q228" s="103">
        <f t="shared" si="36"/>
        <v>9376474.0300000031</v>
      </c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  <c r="AO228" s="68"/>
      <c r="AP228" s="68"/>
      <c r="AQ228" s="68"/>
      <c r="AR228" s="68"/>
      <c r="AS228" s="68"/>
      <c r="AT228" s="68"/>
      <c r="AU228" s="68"/>
      <c r="AV228" s="68"/>
      <c r="AW228" s="68"/>
      <c r="AX228" s="68"/>
      <c r="AY228" s="68"/>
      <c r="AZ228" s="68"/>
      <c r="BA228" s="68"/>
      <c r="BB228" s="68"/>
      <c r="BC228" s="68"/>
      <c r="BD228" s="68"/>
      <c r="BE228" s="68"/>
      <c r="BF228" s="68"/>
      <c r="BG228" s="68"/>
      <c r="BH228" s="68"/>
      <c r="BI228" s="68"/>
      <c r="BJ228" s="68"/>
      <c r="BK228" s="68"/>
      <c r="BL228" s="68"/>
      <c r="BM228" s="68"/>
      <c r="BN228" s="68"/>
      <c r="BO228" s="68"/>
      <c r="BP228" s="68"/>
      <c r="BQ228" s="68"/>
      <c r="BR228" s="68"/>
      <c r="BS228" s="68"/>
      <c r="BT228" s="68"/>
      <c r="BU228" s="68"/>
      <c r="BV228" s="68"/>
      <c r="BW228" s="68"/>
      <c r="BX228" s="68"/>
      <c r="BY228" s="68"/>
      <c r="BZ228" s="68"/>
      <c r="CA228" s="68"/>
      <c r="CB228" s="68"/>
      <c r="CC228" s="68"/>
      <c r="CD228" s="68"/>
      <c r="CE228" s="68"/>
      <c r="CF228" s="68"/>
      <c r="CG228" s="68"/>
      <c r="CH228" s="68"/>
      <c r="CI228" s="68"/>
      <c r="CJ228" s="68"/>
      <c r="CK228" s="68"/>
      <c r="CL228" s="68"/>
      <c r="CM228" s="68"/>
      <c r="CN228" s="68"/>
      <c r="CO228" s="68"/>
      <c r="CP228" s="68"/>
      <c r="CQ228" s="68"/>
      <c r="CR228" s="68"/>
      <c r="CS228" s="68"/>
      <c r="CT228" s="68"/>
      <c r="CU228" s="68"/>
      <c r="CV228" s="68"/>
      <c r="CW228" s="68"/>
      <c r="CX228" s="68"/>
      <c r="CY228" s="68"/>
      <c r="CZ228" s="68"/>
      <c r="DA228" s="68"/>
      <c r="DB228" s="68"/>
      <c r="DC228" s="68"/>
      <c r="DD228" s="68"/>
      <c r="DE228" s="68"/>
      <c r="DF228" s="68"/>
      <c r="DG228" s="68"/>
      <c r="DH228" s="68"/>
      <c r="DI228" s="68"/>
      <c r="DJ228" s="68"/>
      <c r="DK228" s="68"/>
      <c r="DL228" s="68"/>
      <c r="DM228" s="68"/>
      <c r="DN228" s="68"/>
      <c r="DO228" s="68"/>
      <c r="DP228" s="68"/>
      <c r="DQ228" s="68"/>
      <c r="DR228" s="68"/>
      <c r="DS228" s="68"/>
      <c r="DT228" s="68"/>
      <c r="DU228" s="68"/>
      <c r="DV228" s="68"/>
      <c r="DW228" s="68"/>
      <c r="DX228" s="68"/>
      <c r="DY228" s="68"/>
      <c r="DZ228" s="68"/>
      <c r="EA228" s="68"/>
      <c r="EB228" s="68"/>
      <c r="EC228" s="68"/>
      <c r="ED228" s="68"/>
      <c r="EE228" s="68"/>
      <c r="EF228" s="68"/>
      <c r="EG228" s="68"/>
      <c r="EH228" s="68"/>
      <c r="EI228" s="68"/>
      <c r="EJ228" s="68"/>
      <c r="EK228" s="68"/>
      <c r="EL228" s="68"/>
      <c r="EM228" s="68"/>
      <c r="EN228" s="68"/>
      <c r="EO228" s="68"/>
      <c r="EP228" s="68"/>
    </row>
    <row r="229" spans="1:146" s="78" customFormat="1" ht="11.25">
      <c r="A229" s="87" t="str">
        <f t="shared" si="34"/>
        <v>TDCRTOTAL PRIMARY</v>
      </c>
      <c r="B229" s="83">
        <v>10</v>
      </c>
      <c r="C229" s="78" t="s">
        <v>19</v>
      </c>
      <c r="D229" s="74"/>
      <c r="E229" s="233">
        <f>SUM(E225:E228)</f>
        <v>4303363.3</v>
      </c>
      <c r="F229" s="233">
        <f t="shared" ref="F229:Q229" si="37">SUM(F225:F228)</f>
        <v>4370070.67</v>
      </c>
      <c r="G229" s="233">
        <f t="shared" si="37"/>
        <v>4338090.7</v>
      </c>
      <c r="H229" s="233">
        <f t="shared" si="37"/>
        <v>4505154.8599999994</v>
      </c>
      <c r="I229" s="233">
        <f t="shared" si="37"/>
        <v>4516491.68</v>
      </c>
      <c r="J229" s="233">
        <f t="shared" si="37"/>
        <v>4112216.49</v>
      </c>
      <c r="K229" s="233">
        <f t="shared" si="37"/>
        <v>4054613.45</v>
      </c>
      <c r="L229" s="233">
        <f t="shared" si="37"/>
        <v>4199360.67</v>
      </c>
      <c r="M229" s="233">
        <f t="shared" si="37"/>
        <v>4077102.16</v>
      </c>
      <c r="N229" s="233">
        <f t="shared" si="37"/>
        <v>4108750.37</v>
      </c>
      <c r="O229" s="233">
        <f t="shared" si="37"/>
        <v>4099549.09</v>
      </c>
      <c r="P229" s="233">
        <f t="shared" si="37"/>
        <v>4059270.0599999996</v>
      </c>
      <c r="Q229" s="233">
        <f t="shared" si="37"/>
        <v>50744033.500000007</v>
      </c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  <c r="AO229" s="68"/>
      <c r="AP229" s="68"/>
      <c r="AQ229" s="68"/>
      <c r="AR229" s="68"/>
      <c r="AS229" s="68"/>
      <c r="AT229" s="68"/>
      <c r="AU229" s="68"/>
      <c r="AV229" s="68"/>
      <c r="AW229" s="68"/>
      <c r="AX229" s="68"/>
      <c r="AY229" s="68"/>
      <c r="AZ229" s="68"/>
      <c r="BA229" s="68"/>
      <c r="BB229" s="68"/>
      <c r="BC229" s="68"/>
      <c r="BD229" s="68"/>
      <c r="BE229" s="68"/>
      <c r="BF229" s="68"/>
      <c r="BG229" s="68"/>
      <c r="BH229" s="68"/>
      <c r="BI229" s="68"/>
      <c r="BJ229" s="68"/>
      <c r="BK229" s="68"/>
      <c r="BL229" s="68"/>
      <c r="BM229" s="68"/>
      <c r="BN229" s="68"/>
      <c r="BO229" s="68"/>
      <c r="BP229" s="68"/>
      <c r="BQ229" s="68"/>
      <c r="BR229" s="68"/>
      <c r="BS229" s="68"/>
      <c r="BT229" s="68"/>
      <c r="BU229" s="68"/>
      <c r="BV229" s="68"/>
      <c r="BW229" s="68"/>
      <c r="BX229" s="68"/>
      <c r="BY229" s="68"/>
      <c r="BZ229" s="68"/>
      <c r="CA229" s="68"/>
      <c r="CB229" s="68"/>
      <c r="CC229" s="68"/>
      <c r="CD229" s="68"/>
      <c r="CE229" s="68"/>
      <c r="CF229" s="68"/>
      <c r="CG229" s="68"/>
      <c r="CH229" s="68"/>
      <c r="CI229" s="68"/>
      <c r="CJ229" s="68"/>
      <c r="CK229" s="68"/>
      <c r="CL229" s="68"/>
      <c r="CM229" s="68"/>
      <c r="CN229" s="68"/>
      <c r="CO229" s="68"/>
      <c r="CP229" s="68"/>
      <c r="CQ229" s="68"/>
      <c r="CR229" s="68"/>
      <c r="CS229" s="68"/>
      <c r="CT229" s="68"/>
      <c r="CU229" s="68"/>
      <c r="CV229" s="68"/>
      <c r="CW229" s="68"/>
      <c r="CX229" s="68"/>
      <c r="CY229" s="68"/>
      <c r="CZ229" s="68"/>
      <c r="DA229" s="68"/>
      <c r="DB229" s="68"/>
      <c r="DC229" s="68"/>
      <c r="DD229" s="68"/>
      <c r="DE229" s="68"/>
      <c r="DF229" s="68"/>
      <c r="DG229" s="68"/>
      <c r="DH229" s="68"/>
      <c r="DI229" s="68"/>
      <c r="DJ229" s="68"/>
      <c r="DK229" s="68"/>
      <c r="DL229" s="68"/>
      <c r="DM229" s="68"/>
      <c r="DN229" s="68"/>
      <c r="DO229" s="68"/>
      <c r="DP229" s="68"/>
      <c r="DQ229" s="68"/>
      <c r="DR229" s="68"/>
      <c r="DS229" s="68"/>
      <c r="DT229" s="68"/>
      <c r="DU229" s="68"/>
      <c r="DV229" s="68"/>
      <c r="DW229" s="68"/>
      <c r="DX229" s="68"/>
      <c r="DY229" s="68"/>
      <c r="DZ229" s="68"/>
      <c r="EA229" s="68"/>
      <c r="EB229" s="68"/>
      <c r="EC229" s="68"/>
      <c r="ED229" s="68"/>
      <c r="EE229" s="68"/>
      <c r="EF229" s="68"/>
      <c r="EG229" s="68"/>
      <c r="EH229" s="68"/>
      <c r="EI229" s="68"/>
      <c r="EJ229" s="68"/>
      <c r="EK229" s="68"/>
      <c r="EL229" s="68"/>
      <c r="EM229" s="68"/>
      <c r="EN229" s="68"/>
      <c r="EO229" s="68"/>
      <c r="EP229" s="68"/>
    </row>
    <row r="230" spans="1:146" s="78" customFormat="1" ht="11.25">
      <c r="A230" s="87" t="str">
        <f t="shared" si="34"/>
        <v>TDCR</v>
      </c>
      <c r="B230" s="83"/>
      <c r="D230" s="74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3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  <c r="AO230" s="68"/>
      <c r="AP230" s="68"/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68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68"/>
      <c r="CL230" s="68"/>
      <c r="CM230" s="68"/>
      <c r="CN230" s="68"/>
      <c r="CO230" s="68"/>
      <c r="CP230" s="68"/>
      <c r="CQ230" s="68"/>
      <c r="CR230" s="68"/>
      <c r="CS230" s="68"/>
      <c r="CT230" s="68"/>
      <c r="CU230" s="68"/>
      <c r="CV230" s="68"/>
      <c r="CW230" s="68"/>
      <c r="CX230" s="68"/>
      <c r="CY230" s="68"/>
      <c r="CZ230" s="68"/>
      <c r="DA230" s="68"/>
      <c r="DB230" s="68"/>
      <c r="DC230" s="68"/>
      <c r="DD230" s="68"/>
      <c r="DE230" s="68"/>
      <c r="DF230" s="68"/>
      <c r="DG230" s="68"/>
      <c r="DH230" s="68"/>
      <c r="DI230" s="68"/>
      <c r="DJ230" s="68"/>
      <c r="DK230" s="68"/>
      <c r="DL230" s="68"/>
      <c r="DM230" s="68"/>
      <c r="DN230" s="68"/>
      <c r="DO230" s="68"/>
      <c r="DP230" s="68"/>
      <c r="DQ230" s="68"/>
      <c r="DR230" s="68"/>
      <c r="DS230" s="68"/>
      <c r="DT230" s="68"/>
      <c r="DU230" s="68"/>
      <c r="DV230" s="68"/>
      <c r="DW230" s="68"/>
      <c r="DX230" s="68"/>
      <c r="DY230" s="68"/>
      <c r="DZ230" s="68"/>
      <c r="EA230" s="68"/>
      <c r="EB230" s="68"/>
      <c r="EC230" s="68"/>
      <c r="ED230" s="68"/>
      <c r="EE230" s="68"/>
      <c r="EF230" s="68"/>
      <c r="EG230" s="68"/>
      <c r="EH230" s="68"/>
      <c r="EI230" s="68"/>
      <c r="EJ230" s="68"/>
      <c r="EK230" s="68"/>
      <c r="EL230" s="68"/>
      <c r="EM230" s="68"/>
      <c r="EN230" s="68"/>
      <c r="EO230" s="68"/>
      <c r="EP230" s="68"/>
    </row>
    <row r="231" spans="1:146" s="78" customFormat="1" ht="11.25">
      <c r="A231" s="87" t="str">
        <f t="shared" si="34"/>
        <v xml:space="preserve">TDCRTRANSMISSION </v>
      </c>
      <c r="B231" s="83">
        <v>11</v>
      </c>
      <c r="C231" s="96" t="s">
        <v>86</v>
      </c>
      <c r="D231" s="74" t="s">
        <v>6</v>
      </c>
      <c r="E231" s="90">
        <v>3781803.04</v>
      </c>
      <c r="F231" s="90">
        <v>4194007.68</v>
      </c>
      <c r="G231" s="90">
        <v>5188287.8500000006</v>
      </c>
      <c r="H231" s="90">
        <v>5043110.1500000004</v>
      </c>
      <c r="I231" s="90">
        <v>5152619.4400000004</v>
      </c>
      <c r="J231" s="90">
        <v>5198254.6500000004</v>
      </c>
      <c r="K231" s="90">
        <v>4152290.8200000003</v>
      </c>
      <c r="L231" s="90">
        <v>4500270.6100000003</v>
      </c>
      <c r="M231" s="90">
        <v>4004692.5800000005</v>
      </c>
      <c r="N231" s="90">
        <v>4605684.8100000005</v>
      </c>
      <c r="O231" s="90">
        <v>3674571.75</v>
      </c>
      <c r="P231" s="90">
        <v>3074317.6100000003</v>
      </c>
      <c r="Q231" s="93">
        <f>SUM(E231:P231)</f>
        <v>52569910.990000002</v>
      </c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68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68"/>
      <c r="CL231" s="68"/>
      <c r="CM231" s="68"/>
      <c r="CN231" s="68"/>
      <c r="CO231" s="68"/>
      <c r="CP231" s="68"/>
      <c r="CQ231" s="68"/>
      <c r="CR231" s="68"/>
      <c r="CS231" s="68"/>
      <c r="CT231" s="68"/>
      <c r="CU231" s="68"/>
      <c r="CV231" s="68"/>
      <c r="CW231" s="68"/>
      <c r="CX231" s="68"/>
      <c r="CY231" s="68"/>
      <c r="CZ231" s="68"/>
      <c r="DA231" s="68"/>
      <c r="DB231" s="68"/>
      <c r="DC231" s="68"/>
      <c r="DD231" s="68"/>
      <c r="DE231" s="68"/>
      <c r="DF231" s="68"/>
      <c r="DG231" s="68"/>
      <c r="DH231" s="68"/>
      <c r="DI231" s="68"/>
      <c r="DJ231" s="68"/>
      <c r="DK231" s="68"/>
      <c r="DL231" s="68"/>
      <c r="DM231" s="68"/>
      <c r="DN231" s="68"/>
      <c r="DO231" s="68"/>
      <c r="DP231" s="68"/>
      <c r="DQ231" s="68"/>
      <c r="DR231" s="68"/>
      <c r="DS231" s="68"/>
      <c r="DT231" s="68"/>
      <c r="DU231" s="68"/>
      <c r="DV231" s="68"/>
      <c r="DW231" s="68"/>
      <c r="DX231" s="68"/>
      <c r="DY231" s="68"/>
      <c r="DZ231" s="68"/>
      <c r="EA231" s="68"/>
      <c r="EB231" s="68"/>
      <c r="EC231" s="68"/>
      <c r="ED231" s="68"/>
      <c r="EE231" s="68"/>
      <c r="EF231" s="68"/>
      <c r="EG231" s="68"/>
      <c r="EH231" s="68"/>
      <c r="EI231" s="68"/>
      <c r="EJ231" s="68"/>
      <c r="EK231" s="68"/>
      <c r="EL231" s="68"/>
      <c r="EM231" s="68"/>
      <c r="EN231" s="68"/>
      <c r="EO231" s="68"/>
      <c r="EP231" s="68"/>
    </row>
    <row r="232" spans="1:146" s="78" customFormat="1" ht="11.25">
      <c r="A232" s="87" t="str">
        <f t="shared" si="34"/>
        <v>TDCR</v>
      </c>
      <c r="D232" s="85"/>
      <c r="E232" s="231"/>
      <c r="F232" s="231"/>
      <c r="G232" s="231"/>
      <c r="H232" s="231"/>
      <c r="I232" s="231"/>
      <c r="J232" s="231"/>
      <c r="K232" s="231"/>
      <c r="L232" s="231"/>
      <c r="M232" s="231"/>
      <c r="N232" s="231"/>
      <c r="O232" s="231"/>
      <c r="P232" s="231"/>
      <c r="Q232" s="71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  <c r="AO232" s="68"/>
      <c r="AP232" s="68"/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68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68"/>
      <c r="CL232" s="68"/>
      <c r="CM232" s="68"/>
      <c r="CN232" s="68"/>
      <c r="CO232" s="68"/>
      <c r="CP232" s="68"/>
      <c r="CQ232" s="68"/>
      <c r="CR232" s="68"/>
      <c r="CS232" s="68"/>
      <c r="CT232" s="68"/>
      <c r="CU232" s="68"/>
      <c r="CV232" s="68"/>
      <c r="CW232" s="68"/>
      <c r="CX232" s="68"/>
      <c r="CY232" s="68"/>
      <c r="CZ232" s="68"/>
      <c r="DA232" s="68"/>
      <c r="DB232" s="68"/>
      <c r="DC232" s="68"/>
      <c r="DD232" s="68"/>
      <c r="DE232" s="68"/>
      <c r="DF232" s="68"/>
      <c r="DG232" s="68"/>
      <c r="DH232" s="68"/>
      <c r="DI232" s="68"/>
      <c r="DJ232" s="68"/>
      <c r="DK232" s="68"/>
      <c r="DL232" s="68"/>
      <c r="DM232" s="68"/>
      <c r="DN232" s="68"/>
      <c r="DO232" s="68"/>
      <c r="DP232" s="68"/>
      <c r="DQ232" s="68"/>
      <c r="DR232" s="68"/>
      <c r="DS232" s="68"/>
      <c r="DT232" s="68"/>
      <c r="DU232" s="68"/>
      <c r="DV232" s="68"/>
      <c r="DW232" s="68"/>
      <c r="DX232" s="68"/>
      <c r="DY232" s="68"/>
      <c r="DZ232" s="68"/>
      <c r="EA232" s="68"/>
      <c r="EB232" s="68"/>
      <c r="EC232" s="68"/>
      <c r="ED232" s="68"/>
      <c r="EE232" s="68"/>
      <c r="EF232" s="68"/>
      <c r="EG232" s="68"/>
      <c r="EH232" s="68"/>
      <c r="EI232" s="68"/>
      <c r="EJ232" s="68"/>
      <c r="EK232" s="68"/>
      <c r="EL232" s="68"/>
      <c r="EM232" s="68"/>
      <c r="EN232" s="68"/>
      <c r="EO232" s="68"/>
      <c r="EP232" s="68"/>
    </row>
    <row r="233" spans="1:146" s="78" customFormat="1" ht="11.25">
      <c r="A233" s="87" t="str">
        <f t="shared" si="34"/>
        <v>TDCRLIGHTING</v>
      </c>
      <c r="B233" s="83">
        <v>12</v>
      </c>
      <c r="C233" s="68" t="s">
        <v>21</v>
      </c>
      <c r="D233" s="74" t="s">
        <v>4</v>
      </c>
      <c r="E233" s="90">
        <v>370388.94999999995</v>
      </c>
      <c r="F233" s="90">
        <v>371939.27999999991</v>
      </c>
      <c r="G233" s="90">
        <v>368867.36000000022</v>
      </c>
      <c r="H233" s="90">
        <v>369582.34</v>
      </c>
      <c r="I233" s="90">
        <v>367968.49000000022</v>
      </c>
      <c r="J233" s="90">
        <v>344509.40999999968</v>
      </c>
      <c r="K233" s="90">
        <v>344090.61000000004</v>
      </c>
      <c r="L233" s="90">
        <v>343903.86</v>
      </c>
      <c r="M233" s="90">
        <v>342590.92999999982</v>
      </c>
      <c r="N233" s="90">
        <v>343570.56999999972</v>
      </c>
      <c r="O233" s="90">
        <v>341173.99999999977</v>
      </c>
      <c r="P233" s="90">
        <v>436494.65999999968</v>
      </c>
      <c r="Q233" s="93">
        <f>SUM(E233:P233)</f>
        <v>4345080.459999999</v>
      </c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  <c r="AO233" s="68"/>
      <c r="AP233" s="68"/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68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68"/>
      <c r="CL233" s="68"/>
      <c r="CM233" s="68"/>
      <c r="CN233" s="68"/>
      <c r="CO233" s="68"/>
      <c r="CP233" s="68"/>
      <c r="CQ233" s="68"/>
      <c r="CR233" s="68"/>
      <c r="CS233" s="68"/>
      <c r="CT233" s="68"/>
      <c r="CU233" s="68"/>
      <c r="CV233" s="68"/>
      <c r="CW233" s="68"/>
      <c r="CX233" s="68"/>
      <c r="CY233" s="68"/>
      <c r="CZ233" s="68"/>
      <c r="DA233" s="68"/>
      <c r="DB233" s="68"/>
      <c r="DC233" s="68"/>
      <c r="DD233" s="68"/>
      <c r="DE233" s="68"/>
      <c r="DF233" s="68"/>
      <c r="DG233" s="68"/>
      <c r="DH233" s="68"/>
      <c r="DI233" s="68"/>
      <c r="DJ233" s="68"/>
      <c r="DK233" s="68"/>
      <c r="DL233" s="68"/>
      <c r="DM233" s="68"/>
      <c r="DN233" s="68"/>
      <c r="DO233" s="68"/>
      <c r="DP233" s="68"/>
      <c r="DQ233" s="68"/>
      <c r="DR233" s="68"/>
      <c r="DS233" s="68"/>
      <c r="DT233" s="68"/>
      <c r="DU233" s="68"/>
      <c r="DV233" s="68"/>
      <c r="DW233" s="68"/>
      <c r="DX233" s="68"/>
      <c r="DY233" s="68"/>
      <c r="DZ233" s="68"/>
      <c r="EA233" s="68"/>
      <c r="EB233" s="68"/>
      <c r="EC233" s="68"/>
      <c r="ED233" s="68"/>
      <c r="EE233" s="68"/>
      <c r="EF233" s="68"/>
      <c r="EG233" s="68"/>
      <c r="EH233" s="68"/>
      <c r="EI233" s="68"/>
      <c r="EJ233" s="68"/>
      <c r="EK233" s="68"/>
      <c r="EL233" s="68"/>
      <c r="EM233" s="68"/>
      <c r="EN233" s="68"/>
      <c r="EO233" s="68"/>
      <c r="EP233" s="68"/>
    </row>
    <row r="234" spans="1:146" s="78" customFormat="1" ht="11.25">
      <c r="A234" s="87" t="str">
        <f t="shared" si="34"/>
        <v>TDCR</v>
      </c>
      <c r="B234" s="83"/>
      <c r="D234" s="85"/>
      <c r="E234" s="231"/>
      <c r="F234" s="231"/>
      <c r="G234" s="231"/>
      <c r="H234" s="231"/>
      <c r="I234" s="231"/>
      <c r="J234" s="231"/>
      <c r="K234" s="231"/>
      <c r="L234" s="231"/>
      <c r="M234" s="231"/>
      <c r="N234" s="231"/>
      <c r="O234" s="231"/>
      <c r="P234" s="90"/>
      <c r="Q234" s="71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68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68"/>
      <c r="CL234" s="68"/>
      <c r="CM234" s="68"/>
      <c r="CN234" s="68"/>
      <c r="CO234" s="68"/>
      <c r="CP234" s="68"/>
      <c r="CQ234" s="68"/>
      <c r="CR234" s="68"/>
      <c r="CS234" s="68"/>
      <c r="CT234" s="68"/>
      <c r="CU234" s="68"/>
      <c r="CV234" s="68"/>
      <c r="CW234" s="68"/>
      <c r="CX234" s="68"/>
      <c r="CY234" s="68"/>
      <c r="CZ234" s="68"/>
      <c r="DA234" s="68"/>
      <c r="DB234" s="68"/>
      <c r="DC234" s="68"/>
      <c r="DD234" s="68"/>
      <c r="DE234" s="68"/>
      <c r="DF234" s="68"/>
      <c r="DG234" s="68"/>
      <c r="DH234" s="68"/>
      <c r="DI234" s="68"/>
      <c r="DJ234" s="68"/>
      <c r="DK234" s="68"/>
      <c r="DL234" s="68"/>
      <c r="DM234" s="68"/>
      <c r="DN234" s="68"/>
      <c r="DO234" s="68"/>
      <c r="DP234" s="68"/>
      <c r="DQ234" s="68"/>
      <c r="DR234" s="68"/>
      <c r="DS234" s="68"/>
      <c r="DT234" s="68"/>
      <c r="DU234" s="68"/>
      <c r="DV234" s="68"/>
      <c r="DW234" s="68"/>
      <c r="DX234" s="68"/>
      <c r="DY234" s="68"/>
      <c r="DZ234" s="68"/>
      <c r="EA234" s="68"/>
      <c r="EB234" s="68"/>
      <c r="EC234" s="68"/>
      <c r="ED234" s="68"/>
      <c r="EE234" s="68"/>
      <c r="EF234" s="68"/>
      <c r="EG234" s="68"/>
      <c r="EH234" s="68"/>
      <c r="EI234" s="68"/>
      <c r="EJ234" s="68"/>
      <c r="EK234" s="68"/>
      <c r="EL234" s="68"/>
      <c r="EM234" s="68"/>
      <c r="EN234" s="68"/>
      <c r="EO234" s="68"/>
      <c r="EP234" s="68"/>
    </row>
    <row r="235" spans="1:146" s="78" customFormat="1" ht="11.25">
      <c r="A235" s="87" t="str">
        <f t="shared" si="34"/>
        <v>TDCRTOTAL RETAIL</v>
      </c>
      <c r="B235" s="83">
        <v>13</v>
      </c>
      <c r="C235" s="114" t="s">
        <v>22</v>
      </c>
      <c r="D235" s="212"/>
      <c r="E235" s="234">
        <f>+E217+E219+E223+E229+E231+E233</f>
        <v>47070323.109999999</v>
      </c>
      <c r="F235" s="234">
        <f t="shared" ref="F235:Q235" si="38">+F217+F219+F223+F229+F231+F233</f>
        <v>41607240.720000006</v>
      </c>
      <c r="G235" s="234">
        <f t="shared" si="38"/>
        <v>46164160.590000011</v>
      </c>
      <c r="H235" s="234">
        <f t="shared" si="38"/>
        <v>47901938.460000001</v>
      </c>
      <c r="I235" s="234">
        <f t="shared" si="38"/>
        <v>45110006.339999996</v>
      </c>
      <c r="J235" s="234">
        <f t="shared" si="38"/>
        <v>35034780.779999994</v>
      </c>
      <c r="K235" s="234">
        <f t="shared" si="38"/>
        <v>33470385.73</v>
      </c>
      <c r="L235" s="234">
        <f t="shared" si="38"/>
        <v>35021337.539999999</v>
      </c>
      <c r="M235" s="234">
        <f t="shared" si="38"/>
        <v>39865934.489999995</v>
      </c>
      <c r="N235" s="234">
        <f t="shared" si="38"/>
        <v>47002934.520000003</v>
      </c>
      <c r="O235" s="234">
        <f t="shared" si="38"/>
        <v>46501276.219999999</v>
      </c>
      <c r="P235" s="234">
        <f t="shared" si="38"/>
        <v>61934828.68999999</v>
      </c>
      <c r="Q235" s="234">
        <f t="shared" si="38"/>
        <v>526685147.19</v>
      </c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68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68"/>
      <c r="CL235" s="68"/>
      <c r="CM235" s="68"/>
      <c r="CN235" s="68"/>
      <c r="CO235" s="68"/>
      <c r="CP235" s="68"/>
      <c r="CQ235" s="68"/>
      <c r="CR235" s="68"/>
      <c r="CS235" s="68"/>
      <c r="CT235" s="68"/>
      <c r="CU235" s="68"/>
      <c r="CV235" s="68"/>
      <c r="CW235" s="68"/>
      <c r="CX235" s="68"/>
      <c r="CY235" s="68"/>
      <c r="CZ235" s="68"/>
      <c r="DA235" s="68"/>
      <c r="DB235" s="68"/>
      <c r="DC235" s="68"/>
      <c r="DD235" s="68"/>
      <c r="DE235" s="68"/>
      <c r="DF235" s="68"/>
      <c r="DG235" s="68"/>
      <c r="DH235" s="68"/>
      <c r="DI235" s="68"/>
      <c r="DJ235" s="68"/>
      <c r="DK235" s="68"/>
      <c r="DL235" s="68"/>
      <c r="DM235" s="68"/>
      <c r="DN235" s="68"/>
      <c r="DO235" s="68"/>
      <c r="DP235" s="68"/>
      <c r="DQ235" s="68"/>
      <c r="DR235" s="68"/>
      <c r="DS235" s="68"/>
      <c r="DT235" s="68"/>
      <c r="DU235" s="68"/>
      <c r="DV235" s="68"/>
      <c r="DW235" s="68"/>
      <c r="DX235" s="68"/>
      <c r="DY235" s="68"/>
      <c r="DZ235" s="68"/>
      <c r="EA235" s="68"/>
      <c r="EB235" s="68"/>
      <c r="EC235" s="68"/>
      <c r="ED235" s="68"/>
      <c r="EE235" s="68"/>
      <c r="EF235" s="68"/>
      <c r="EG235" s="68"/>
      <c r="EH235" s="68"/>
      <c r="EI235" s="68"/>
      <c r="EJ235" s="68"/>
      <c r="EK235" s="68"/>
      <c r="EL235" s="68"/>
      <c r="EM235" s="68"/>
      <c r="EN235" s="68"/>
      <c r="EO235" s="68"/>
      <c r="EP235" s="68"/>
    </row>
    <row r="236" spans="1:146" s="78" customFormat="1" ht="11.25">
      <c r="A236" s="87" t="str">
        <f t="shared" si="34"/>
        <v>TDCR</v>
      </c>
      <c r="C236" s="212"/>
      <c r="D236" s="212"/>
      <c r="E236" s="231"/>
      <c r="F236" s="231"/>
      <c r="G236" s="231"/>
      <c r="H236" s="231"/>
      <c r="I236" s="231"/>
      <c r="J236" s="231"/>
      <c r="K236" s="231"/>
      <c r="L236" s="231"/>
      <c r="M236" s="231"/>
      <c r="N236" s="231"/>
      <c r="O236" s="231"/>
      <c r="P236" s="90"/>
      <c r="Q236" s="93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  <c r="AO236" s="68"/>
      <c r="AP236" s="68"/>
      <c r="AQ236" s="68"/>
      <c r="AR236" s="68"/>
      <c r="AS236" s="68"/>
      <c r="AT236" s="68"/>
      <c r="AU236" s="68"/>
      <c r="AV236" s="68"/>
      <c r="AW236" s="68"/>
      <c r="AX236" s="68"/>
      <c r="AY236" s="68"/>
      <c r="AZ236" s="68"/>
      <c r="BA236" s="68"/>
      <c r="BB236" s="68"/>
      <c r="BC236" s="68"/>
      <c r="BD236" s="68"/>
      <c r="BE236" s="68"/>
      <c r="BF236" s="68"/>
      <c r="BG236" s="68"/>
      <c r="BH236" s="68"/>
      <c r="BI236" s="68"/>
      <c r="BJ236" s="68"/>
      <c r="BK236" s="68"/>
      <c r="BL236" s="68"/>
      <c r="BM236" s="68"/>
      <c r="BN236" s="68"/>
      <c r="BO236" s="68"/>
      <c r="BP236" s="68"/>
      <c r="BQ236" s="68"/>
      <c r="BR236" s="68"/>
      <c r="BS236" s="68"/>
      <c r="BT236" s="68"/>
      <c r="BU236" s="68"/>
      <c r="BV236" s="68"/>
      <c r="BW236" s="68"/>
      <c r="BX236" s="68"/>
      <c r="BY236" s="68"/>
      <c r="BZ236" s="68"/>
      <c r="CA236" s="68"/>
      <c r="CB236" s="68"/>
      <c r="CC236" s="68"/>
      <c r="CD236" s="68"/>
      <c r="CE236" s="68"/>
      <c r="CF236" s="68"/>
      <c r="CG236" s="68"/>
      <c r="CH236" s="68"/>
      <c r="CI236" s="68"/>
      <c r="CJ236" s="68"/>
      <c r="CK236" s="68"/>
      <c r="CL236" s="68"/>
      <c r="CM236" s="68"/>
      <c r="CN236" s="68"/>
      <c r="CO236" s="68"/>
      <c r="CP236" s="68"/>
      <c r="CQ236" s="68"/>
      <c r="CR236" s="68"/>
      <c r="CS236" s="68"/>
      <c r="CT236" s="68"/>
      <c r="CU236" s="68"/>
      <c r="CV236" s="68"/>
      <c r="CW236" s="68"/>
      <c r="CX236" s="68"/>
      <c r="CY236" s="68"/>
      <c r="CZ236" s="68"/>
      <c r="DA236" s="68"/>
      <c r="DB236" s="68"/>
      <c r="DC236" s="68"/>
      <c r="DD236" s="68"/>
      <c r="DE236" s="68"/>
      <c r="DF236" s="68"/>
      <c r="DG236" s="68"/>
      <c r="DH236" s="68"/>
      <c r="DI236" s="68"/>
      <c r="DJ236" s="68"/>
      <c r="DK236" s="68"/>
      <c r="DL236" s="68"/>
      <c r="DM236" s="68"/>
      <c r="DN236" s="68"/>
      <c r="DO236" s="68"/>
      <c r="DP236" s="68"/>
      <c r="DQ236" s="68"/>
      <c r="DR236" s="68"/>
      <c r="DS236" s="68"/>
      <c r="DT236" s="68"/>
      <c r="DU236" s="68"/>
      <c r="DV236" s="68"/>
      <c r="DW236" s="68"/>
      <c r="DX236" s="68"/>
      <c r="DY236" s="68"/>
      <c r="DZ236" s="68"/>
      <c r="EA236" s="68"/>
      <c r="EB236" s="68"/>
      <c r="EC236" s="68"/>
      <c r="ED236" s="68"/>
      <c r="EE236" s="68"/>
      <c r="EF236" s="68"/>
      <c r="EG236" s="68"/>
      <c r="EH236" s="68"/>
      <c r="EI236" s="68"/>
      <c r="EJ236" s="68"/>
      <c r="EK236" s="68"/>
      <c r="EL236" s="68"/>
      <c r="EM236" s="68"/>
      <c r="EN236" s="68"/>
      <c r="EO236" s="68"/>
      <c r="EP236" s="68"/>
    </row>
    <row r="237" spans="1:146" s="78" customFormat="1" ht="11.25">
      <c r="A237" s="87" t="str">
        <f t="shared" si="34"/>
        <v>TDCR</v>
      </c>
      <c r="B237" s="83">
        <v>12</v>
      </c>
      <c r="C237" s="89"/>
      <c r="D237" s="7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03"/>
      <c r="R237" s="89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  <c r="AO237" s="68"/>
      <c r="AP237" s="68"/>
      <c r="AQ237" s="68"/>
      <c r="AR237" s="68"/>
      <c r="AS237" s="68"/>
      <c r="AT237" s="68"/>
      <c r="AU237" s="68"/>
      <c r="AV237" s="68"/>
      <c r="AW237" s="68"/>
      <c r="AX237" s="68"/>
      <c r="AY237" s="68"/>
      <c r="AZ237" s="68"/>
      <c r="BA237" s="68"/>
      <c r="BB237" s="68"/>
      <c r="BC237" s="68"/>
      <c r="BD237" s="68"/>
      <c r="BE237" s="68"/>
      <c r="BF237" s="68"/>
      <c r="BG237" s="68"/>
      <c r="BH237" s="68"/>
      <c r="BI237" s="68"/>
      <c r="BJ237" s="68"/>
      <c r="BK237" s="68"/>
      <c r="BL237" s="68"/>
      <c r="BM237" s="68"/>
      <c r="BN237" s="68"/>
      <c r="BO237" s="68"/>
      <c r="BP237" s="68"/>
      <c r="BQ237" s="68"/>
      <c r="BR237" s="68"/>
      <c r="BS237" s="68"/>
      <c r="BT237" s="68"/>
      <c r="BU237" s="68"/>
      <c r="BV237" s="68"/>
      <c r="BW237" s="68"/>
      <c r="BX237" s="68"/>
      <c r="BY237" s="68"/>
      <c r="BZ237" s="68"/>
      <c r="CA237" s="68"/>
      <c r="CB237" s="68"/>
      <c r="CC237" s="68"/>
      <c r="CD237" s="68"/>
      <c r="CE237" s="68"/>
      <c r="CF237" s="68"/>
      <c r="CG237" s="68"/>
      <c r="CH237" s="68"/>
      <c r="CI237" s="68"/>
      <c r="CJ237" s="68"/>
      <c r="CK237" s="68"/>
      <c r="CL237" s="68"/>
      <c r="CM237" s="68"/>
      <c r="CN237" s="68"/>
      <c r="CO237" s="68"/>
      <c r="CP237" s="68"/>
      <c r="CQ237" s="68"/>
      <c r="CR237" s="68"/>
      <c r="CS237" s="68"/>
      <c r="CT237" s="68"/>
      <c r="CU237" s="68"/>
      <c r="CV237" s="68"/>
      <c r="CW237" s="68"/>
      <c r="CX237" s="68"/>
      <c r="CY237" s="68"/>
      <c r="CZ237" s="68"/>
      <c r="DA237" s="68"/>
      <c r="DB237" s="68"/>
      <c r="DC237" s="68"/>
      <c r="DD237" s="68"/>
      <c r="DE237" s="68"/>
      <c r="DF237" s="68"/>
      <c r="DG237" s="68"/>
      <c r="DH237" s="68"/>
      <c r="DI237" s="68"/>
      <c r="DJ237" s="68"/>
      <c r="DK237" s="68"/>
      <c r="DL237" s="68"/>
      <c r="DM237" s="68"/>
      <c r="DN237" s="68"/>
      <c r="DO237" s="68"/>
      <c r="DP237" s="68"/>
      <c r="DQ237" s="68"/>
      <c r="DR237" s="68"/>
      <c r="DS237" s="68"/>
      <c r="DT237" s="68"/>
      <c r="DU237" s="68"/>
      <c r="DV237" s="68"/>
      <c r="DW237" s="68"/>
      <c r="DX237" s="68"/>
      <c r="DY237" s="68"/>
      <c r="DZ237" s="68"/>
      <c r="EA237" s="68"/>
      <c r="EB237" s="68"/>
      <c r="EC237" s="68"/>
      <c r="ED237" s="68"/>
      <c r="EE237" s="68"/>
      <c r="EF237" s="68"/>
      <c r="EG237" s="68"/>
      <c r="EH237" s="68"/>
      <c r="EI237" s="68"/>
      <c r="EJ237" s="68"/>
      <c r="EK237" s="68"/>
      <c r="EL237" s="68"/>
      <c r="EM237" s="68"/>
      <c r="EN237" s="68"/>
      <c r="EO237" s="68"/>
      <c r="EP237" s="68"/>
    </row>
    <row r="238" spans="1:146" s="78" customFormat="1" ht="11.25">
      <c r="A238" s="87" t="str">
        <f t="shared" si="34"/>
        <v>TDCR</v>
      </c>
      <c r="B238" s="83">
        <v>13</v>
      </c>
      <c r="C238" s="89"/>
      <c r="D238" s="7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03"/>
      <c r="R238" s="133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  <c r="AO238" s="68"/>
      <c r="AP238" s="68"/>
      <c r="AQ238" s="68"/>
      <c r="AR238" s="68"/>
      <c r="AS238" s="68"/>
      <c r="AT238" s="68"/>
      <c r="AU238" s="68"/>
      <c r="AV238" s="68"/>
      <c r="AW238" s="68"/>
      <c r="AX238" s="68"/>
      <c r="AY238" s="68"/>
      <c r="AZ238" s="68"/>
      <c r="BA238" s="68"/>
      <c r="BB238" s="68"/>
      <c r="BC238" s="68"/>
      <c r="BD238" s="68"/>
      <c r="BE238" s="68"/>
      <c r="BF238" s="68"/>
      <c r="BG238" s="68"/>
      <c r="BH238" s="68"/>
      <c r="BI238" s="68"/>
      <c r="BJ238" s="68"/>
      <c r="BK238" s="68"/>
      <c r="BL238" s="68"/>
      <c r="BM238" s="68"/>
      <c r="BN238" s="68"/>
      <c r="BO238" s="68"/>
      <c r="BP238" s="68"/>
      <c r="BQ238" s="68"/>
      <c r="BR238" s="68"/>
      <c r="BS238" s="68"/>
      <c r="BT238" s="68"/>
      <c r="BU238" s="68"/>
      <c r="BV238" s="68"/>
      <c r="BW238" s="68"/>
      <c r="BX238" s="68"/>
      <c r="BY238" s="68"/>
      <c r="BZ238" s="68"/>
      <c r="CA238" s="68"/>
      <c r="CB238" s="68"/>
      <c r="CC238" s="68"/>
      <c r="CD238" s="68"/>
      <c r="CE238" s="68"/>
      <c r="CF238" s="68"/>
      <c r="CG238" s="68"/>
      <c r="CH238" s="68"/>
      <c r="CI238" s="68"/>
      <c r="CJ238" s="68"/>
      <c r="CK238" s="68"/>
      <c r="CL238" s="68"/>
      <c r="CM238" s="68"/>
      <c r="CN238" s="68"/>
      <c r="CO238" s="68"/>
      <c r="CP238" s="68"/>
      <c r="CQ238" s="68"/>
      <c r="CR238" s="68"/>
      <c r="CS238" s="68"/>
      <c r="CT238" s="68"/>
      <c r="CU238" s="68"/>
      <c r="CV238" s="68"/>
      <c r="CW238" s="68"/>
      <c r="CX238" s="68"/>
      <c r="CY238" s="68"/>
      <c r="CZ238" s="68"/>
      <c r="DA238" s="68"/>
      <c r="DB238" s="68"/>
      <c r="DC238" s="68"/>
      <c r="DD238" s="68"/>
      <c r="DE238" s="68"/>
      <c r="DF238" s="68"/>
      <c r="DG238" s="68"/>
      <c r="DH238" s="68"/>
      <c r="DI238" s="68"/>
      <c r="DJ238" s="68"/>
      <c r="DK238" s="68"/>
      <c r="DL238" s="68"/>
      <c r="DM238" s="68"/>
      <c r="DN238" s="68"/>
      <c r="DO238" s="68"/>
      <c r="DP238" s="68"/>
      <c r="DQ238" s="68"/>
      <c r="DR238" s="68"/>
      <c r="DS238" s="68"/>
      <c r="DT238" s="68"/>
      <c r="DU238" s="68"/>
      <c r="DV238" s="68"/>
      <c r="DW238" s="68"/>
      <c r="DX238" s="68"/>
      <c r="DY238" s="68"/>
      <c r="DZ238" s="68"/>
      <c r="EA238" s="68"/>
      <c r="EB238" s="68"/>
      <c r="EC238" s="68"/>
      <c r="ED238" s="68"/>
      <c r="EE238" s="68"/>
      <c r="EF238" s="68"/>
      <c r="EG238" s="68"/>
      <c r="EH238" s="68"/>
      <c r="EI238" s="68"/>
      <c r="EJ238" s="68"/>
      <c r="EK238" s="68"/>
      <c r="EL238" s="68"/>
      <c r="EM238" s="68"/>
      <c r="EN238" s="68"/>
      <c r="EO238" s="68"/>
      <c r="EP238" s="68"/>
    </row>
    <row r="239" spans="1:146" s="78" customFormat="1" ht="11.25">
      <c r="A239" s="87" t="str">
        <f t="shared" si="34"/>
        <v>TDCR</v>
      </c>
      <c r="B239" s="83">
        <v>14</v>
      </c>
      <c r="C239" s="114"/>
      <c r="D239" s="212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24"/>
      <c r="Q239" s="103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  <c r="AO239" s="68"/>
      <c r="AP239" s="68"/>
      <c r="AQ239" s="68"/>
      <c r="AR239" s="68"/>
      <c r="AS239" s="68"/>
      <c r="AT239" s="68"/>
      <c r="AU239" s="68"/>
      <c r="AV239" s="68"/>
      <c r="AW239" s="68"/>
      <c r="AX239" s="68"/>
      <c r="AY239" s="68"/>
      <c r="AZ239" s="68"/>
      <c r="BA239" s="68"/>
      <c r="BB239" s="68"/>
      <c r="BC239" s="68"/>
      <c r="BD239" s="68"/>
      <c r="BE239" s="68"/>
      <c r="BF239" s="68"/>
      <c r="BG239" s="68"/>
      <c r="BH239" s="68"/>
      <c r="BI239" s="68"/>
      <c r="BJ239" s="68"/>
      <c r="BK239" s="68"/>
      <c r="BL239" s="68"/>
      <c r="BM239" s="68"/>
      <c r="BN239" s="68"/>
      <c r="BO239" s="68"/>
      <c r="BP239" s="68"/>
      <c r="BQ239" s="68"/>
      <c r="BR239" s="68"/>
      <c r="BS239" s="68"/>
      <c r="BT239" s="68"/>
      <c r="BU239" s="68"/>
      <c r="BV239" s="68"/>
      <c r="BW239" s="68"/>
      <c r="BX239" s="68"/>
      <c r="BY239" s="68"/>
      <c r="BZ239" s="68"/>
      <c r="CA239" s="68"/>
      <c r="CB239" s="68"/>
      <c r="CC239" s="68"/>
      <c r="CD239" s="68"/>
      <c r="CE239" s="68"/>
      <c r="CF239" s="68"/>
      <c r="CG239" s="68"/>
      <c r="CH239" s="68"/>
      <c r="CI239" s="68"/>
      <c r="CJ239" s="68"/>
      <c r="CK239" s="68"/>
      <c r="CL239" s="68"/>
      <c r="CM239" s="68"/>
      <c r="CN239" s="68"/>
      <c r="CO239" s="68"/>
      <c r="CP239" s="68"/>
      <c r="CQ239" s="68"/>
      <c r="CR239" s="68"/>
      <c r="CS239" s="68"/>
      <c r="CT239" s="68"/>
      <c r="CU239" s="68"/>
      <c r="CV239" s="68"/>
      <c r="CW239" s="68"/>
      <c r="CX239" s="68"/>
      <c r="CY239" s="68"/>
      <c r="CZ239" s="68"/>
      <c r="DA239" s="68"/>
      <c r="DB239" s="68"/>
      <c r="DC239" s="68"/>
      <c r="DD239" s="68"/>
      <c r="DE239" s="68"/>
      <c r="DF239" s="68"/>
      <c r="DG239" s="68"/>
      <c r="DH239" s="68"/>
      <c r="DI239" s="68"/>
      <c r="DJ239" s="68"/>
      <c r="DK239" s="68"/>
      <c r="DL239" s="68"/>
      <c r="DM239" s="68"/>
      <c r="DN239" s="68"/>
      <c r="DO239" s="68"/>
      <c r="DP239" s="68"/>
      <c r="DQ239" s="68"/>
      <c r="DR239" s="68"/>
      <c r="DS239" s="68"/>
      <c r="DT239" s="68"/>
      <c r="DU239" s="68"/>
      <c r="DV239" s="68"/>
      <c r="DW239" s="68"/>
      <c r="DX239" s="68"/>
      <c r="DY239" s="68"/>
      <c r="DZ239" s="68"/>
      <c r="EA239" s="68"/>
      <c r="EB239" s="68"/>
      <c r="EC239" s="68"/>
      <c r="ED239" s="68"/>
      <c r="EE239" s="68"/>
      <c r="EF239" s="68"/>
      <c r="EG239" s="68"/>
      <c r="EH239" s="68"/>
      <c r="EI239" s="68"/>
      <c r="EJ239" s="68"/>
      <c r="EK239" s="68"/>
      <c r="EL239" s="68"/>
      <c r="EM239" s="68"/>
      <c r="EN239" s="68"/>
      <c r="EO239" s="68"/>
      <c r="EP239" s="68"/>
    </row>
    <row r="240" spans="1:146" s="78" customFormat="1" ht="11.25">
      <c r="A240" s="87" t="str">
        <f t="shared" si="34"/>
        <v>TDCR</v>
      </c>
      <c r="B240" s="83"/>
      <c r="D240" s="116"/>
      <c r="E240" s="231"/>
      <c r="F240" s="231"/>
      <c r="G240" s="231"/>
      <c r="H240" s="231"/>
      <c r="I240" s="231"/>
      <c r="J240" s="231"/>
      <c r="K240" s="231"/>
      <c r="L240" s="231"/>
      <c r="M240" s="231"/>
      <c r="N240" s="231"/>
      <c r="O240" s="231"/>
      <c r="P240" s="90"/>
      <c r="Q240" s="71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  <c r="AO240" s="68"/>
      <c r="AP240" s="68"/>
      <c r="AQ240" s="68"/>
      <c r="AR240" s="68"/>
      <c r="AS240" s="68"/>
      <c r="AT240" s="68"/>
      <c r="AU240" s="68"/>
      <c r="AV240" s="68"/>
      <c r="AW240" s="68"/>
      <c r="AX240" s="68"/>
      <c r="AY240" s="68"/>
      <c r="AZ240" s="68"/>
      <c r="BA240" s="68"/>
      <c r="BB240" s="68"/>
      <c r="BC240" s="68"/>
      <c r="BD240" s="68"/>
      <c r="BE240" s="68"/>
      <c r="BF240" s="68"/>
      <c r="BG240" s="68"/>
      <c r="BH240" s="68"/>
      <c r="BI240" s="68"/>
      <c r="BJ240" s="68"/>
      <c r="BK240" s="68"/>
      <c r="BL240" s="68"/>
      <c r="BM240" s="68"/>
      <c r="BN240" s="68"/>
      <c r="BO240" s="68"/>
      <c r="BP240" s="68"/>
      <c r="BQ240" s="68"/>
      <c r="BR240" s="68"/>
      <c r="BS240" s="68"/>
      <c r="BT240" s="68"/>
      <c r="BU240" s="68"/>
      <c r="BV240" s="68"/>
      <c r="BW240" s="68"/>
      <c r="BX240" s="68"/>
      <c r="BY240" s="68"/>
      <c r="BZ240" s="68"/>
      <c r="CA240" s="68"/>
      <c r="CB240" s="68"/>
      <c r="CC240" s="68"/>
      <c r="CD240" s="68"/>
      <c r="CE240" s="68"/>
      <c r="CF240" s="68"/>
      <c r="CG240" s="68"/>
      <c r="CH240" s="68"/>
      <c r="CI240" s="68"/>
      <c r="CJ240" s="68"/>
      <c r="CK240" s="68"/>
      <c r="CL240" s="68"/>
      <c r="CM240" s="68"/>
      <c r="CN240" s="68"/>
      <c r="CO240" s="68"/>
      <c r="CP240" s="68"/>
      <c r="CQ240" s="68"/>
      <c r="CR240" s="68"/>
      <c r="CS240" s="68"/>
      <c r="CT240" s="68"/>
      <c r="CU240" s="68"/>
      <c r="CV240" s="68"/>
      <c r="CW240" s="68"/>
      <c r="CX240" s="68"/>
      <c r="CY240" s="68"/>
      <c r="CZ240" s="68"/>
      <c r="DA240" s="68"/>
      <c r="DB240" s="68"/>
      <c r="DC240" s="68"/>
      <c r="DD240" s="68"/>
      <c r="DE240" s="68"/>
      <c r="DF240" s="68"/>
      <c r="DG240" s="68"/>
      <c r="DH240" s="68"/>
      <c r="DI240" s="68"/>
      <c r="DJ240" s="68"/>
      <c r="DK240" s="68"/>
      <c r="DL240" s="68"/>
      <c r="DM240" s="68"/>
      <c r="DN240" s="68"/>
      <c r="DO240" s="68"/>
      <c r="DP240" s="68"/>
      <c r="DQ240" s="68"/>
      <c r="DR240" s="68"/>
      <c r="DS240" s="68"/>
      <c r="DT240" s="68"/>
      <c r="DU240" s="68"/>
      <c r="DV240" s="68"/>
      <c r="DW240" s="68"/>
      <c r="DX240" s="68"/>
      <c r="DY240" s="68"/>
      <c r="DZ240" s="68"/>
      <c r="EA240" s="68"/>
      <c r="EB240" s="68"/>
      <c r="EC240" s="68"/>
      <c r="ED240" s="68"/>
      <c r="EE240" s="68"/>
      <c r="EF240" s="68"/>
      <c r="EG240" s="68"/>
      <c r="EH240" s="68"/>
      <c r="EI240" s="68"/>
      <c r="EJ240" s="68"/>
      <c r="EK240" s="68"/>
      <c r="EL240" s="68"/>
      <c r="EM240" s="68"/>
      <c r="EN240" s="68"/>
      <c r="EO240" s="68"/>
      <c r="EP240" s="68"/>
    </row>
    <row r="241" spans="1:146" s="78" customFormat="1" ht="12" thickBot="1">
      <c r="A241" s="87" t="str">
        <f t="shared" si="34"/>
        <v xml:space="preserve">TDCRTOTAL </v>
      </c>
      <c r="B241" s="83">
        <v>15</v>
      </c>
      <c r="C241" s="147" t="s">
        <v>95</v>
      </c>
      <c r="D241" s="211"/>
      <c r="E241" s="117">
        <v>47070323.109999999</v>
      </c>
      <c r="F241" s="117">
        <v>41607240.719999999</v>
      </c>
      <c r="G241" s="117">
        <v>46164160.590000004</v>
      </c>
      <c r="H241" s="117">
        <v>47901938.460000008</v>
      </c>
      <c r="I241" s="117">
        <v>45110006.339999996</v>
      </c>
      <c r="J241" s="117">
        <v>35034780.780000001</v>
      </c>
      <c r="K241" s="117">
        <v>33470385.73</v>
      </c>
      <c r="L241" s="117">
        <v>35021337.540000007</v>
      </c>
      <c r="M241" s="117">
        <v>39865934.489999995</v>
      </c>
      <c r="N241" s="117">
        <v>47002934.520000003</v>
      </c>
      <c r="O241" s="117">
        <v>46501276.219999999</v>
      </c>
      <c r="P241" s="117">
        <v>61934828.689999998</v>
      </c>
      <c r="Q241" s="117">
        <v>526685147.19000006</v>
      </c>
      <c r="R241" s="12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  <c r="AO241" s="68"/>
      <c r="AP241" s="68"/>
      <c r="AQ241" s="68"/>
      <c r="AR241" s="68"/>
      <c r="AS241" s="68"/>
      <c r="AT241" s="68"/>
      <c r="AU241" s="68"/>
      <c r="AV241" s="68"/>
      <c r="AW241" s="68"/>
      <c r="AX241" s="68"/>
      <c r="AY241" s="68"/>
      <c r="AZ241" s="68"/>
      <c r="BA241" s="68"/>
      <c r="BB241" s="68"/>
      <c r="BC241" s="68"/>
      <c r="BD241" s="68"/>
      <c r="BE241" s="68"/>
      <c r="BF241" s="68"/>
      <c r="BG241" s="68"/>
      <c r="BH241" s="68"/>
      <c r="BI241" s="68"/>
      <c r="BJ241" s="68"/>
      <c r="BK241" s="68"/>
      <c r="BL241" s="68"/>
      <c r="BM241" s="68"/>
      <c r="BN241" s="68"/>
      <c r="BO241" s="68"/>
      <c r="BP241" s="68"/>
      <c r="BQ241" s="68"/>
      <c r="BR241" s="68"/>
      <c r="BS241" s="68"/>
      <c r="BT241" s="68"/>
      <c r="BU241" s="68"/>
      <c r="BV241" s="68"/>
      <c r="BW241" s="68"/>
      <c r="BX241" s="68"/>
      <c r="BY241" s="68"/>
      <c r="BZ241" s="68"/>
      <c r="CA241" s="68"/>
      <c r="CB241" s="68"/>
      <c r="CC241" s="68"/>
      <c r="CD241" s="68"/>
      <c r="CE241" s="68"/>
      <c r="CF241" s="68"/>
      <c r="CG241" s="68"/>
      <c r="CH241" s="68"/>
      <c r="CI241" s="68"/>
      <c r="CJ241" s="68"/>
      <c r="CK241" s="68"/>
      <c r="CL241" s="68"/>
      <c r="CM241" s="68"/>
      <c r="CN241" s="68"/>
      <c r="CO241" s="68"/>
      <c r="CP241" s="68"/>
      <c r="CQ241" s="68"/>
      <c r="CR241" s="68"/>
      <c r="CS241" s="68"/>
      <c r="CT241" s="68"/>
      <c r="CU241" s="68"/>
      <c r="CV241" s="68"/>
      <c r="CW241" s="68"/>
      <c r="CX241" s="68"/>
      <c r="CY241" s="68"/>
      <c r="CZ241" s="68"/>
      <c r="DA241" s="68"/>
      <c r="DB241" s="68"/>
      <c r="DC241" s="68"/>
      <c r="DD241" s="68"/>
      <c r="DE241" s="68"/>
      <c r="DF241" s="68"/>
      <c r="DG241" s="68"/>
      <c r="DH241" s="68"/>
      <c r="DI241" s="68"/>
      <c r="DJ241" s="68"/>
      <c r="DK241" s="68"/>
      <c r="DL241" s="68"/>
      <c r="DM241" s="68"/>
      <c r="DN241" s="68"/>
      <c r="DO241" s="68"/>
      <c r="DP241" s="68"/>
      <c r="DQ241" s="68"/>
      <c r="DR241" s="68"/>
      <c r="DS241" s="68"/>
      <c r="DT241" s="68"/>
      <c r="DU241" s="68"/>
      <c r="DV241" s="68"/>
      <c r="DW241" s="68"/>
      <c r="DX241" s="68"/>
      <c r="DY241" s="68"/>
      <c r="DZ241" s="68"/>
      <c r="EA241" s="68"/>
      <c r="EB241" s="68"/>
      <c r="EC241" s="68"/>
      <c r="ED241" s="68"/>
      <c r="EE241" s="68"/>
      <c r="EF241" s="68"/>
      <c r="EG241" s="68"/>
      <c r="EH241" s="68"/>
      <c r="EI241" s="68"/>
      <c r="EJ241" s="68"/>
      <c r="EK241" s="68"/>
      <c r="EL241" s="68"/>
      <c r="EM241" s="68"/>
      <c r="EN241" s="68"/>
      <c r="EO241" s="68"/>
      <c r="EP241" s="68"/>
    </row>
    <row r="242" spans="1:146" customFormat="1" ht="13.5" thickTop="1">
      <c r="A242" s="87" t="str">
        <f t="shared" si="34"/>
        <v>TDCR</v>
      </c>
      <c r="E242" s="235"/>
      <c r="F242" s="235"/>
      <c r="G242" s="235"/>
      <c r="H242" s="235"/>
      <c r="I242" s="235"/>
      <c r="J242" s="235"/>
      <c r="K242" s="235"/>
      <c r="L242" s="235"/>
      <c r="M242" s="235"/>
      <c r="N242" s="235"/>
      <c r="O242" s="235"/>
      <c r="P242" s="235"/>
    </row>
    <row r="243" spans="1:146" s="87" customFormat="1" ht="11.25">
      <c r="A243" s="267" t="s">
        <v>304</v>
      </c>
      <c r="C243" s="345" t="s">
        <v>167</v>
      </c>
      <c r="D243" s="99"/>
      <c r="E243" s="228"/>
      <c r="F243" s="229"/>
      <c r="G243" s="229"/>
      <c r="H243" s="230"/>
      <c r="I243" s="231"/>
      <c r="J243" s="231"/>
      <c r="K243" s="231"/>
      <c r="L243" s="231"/>
      <c r="M243" s="231"/>
      <c r="N243" s="231"/>
      <c r="O243" s="231"/>
      <c r="P243" s="90"/>
      <c r="Q243" s="10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  <c r="AJ243" s="89"/>
      <c r="AK243" s="89"/>
      <c r="AL243" s="89"/>
      <c r="AM243" s="89"/>
      <c r="AN243" s="89"/>
      <c r="AO243" s="89"/>
      <c r="AP243" s="89"/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89"/>
      <c r="BN243" s="89"/>
      <c r="BO243" s="89"/>
      <c r="BP243" s="89"/>
      <c r="BQ243" s="89"/>
      <c r="BR243" s="89"/>
      <c r="BS243" s="89"/>
      <c r="BT243" s="89"/>
      <c r="BU243" s="89"/>
      <c r="BV243" s="89"/>
      <c r="BW243" s="89"/>
      <c r="BX243" s="89"/>
      <c r="BY243" s="89"/>
      <c r="BZ243" s="89"/>
      <c r="CA243" s="89"/>
      <c r="CB243" s="89"/>
      <c r="CC243" s="89"/>
      <c r="CD243" s="89"/>
      <c r="CE243" s="89"/>
      <c r="CF243" s="89"/>
      <c r="CG243" s="89"/>
      <c r="CH243" s="89"/>
      <c r="CI243" s="89"/>
      <c r="CJ243" s="89"/>
      <c r="CK243" s="89"/>
      <c r="CL243" s="89"/>
      <c r="CM243" s="89"/>
      <c r="CN243" s="89"/>
      <c r="CO243" s="89"/>
      <c r="CP243" s="89"/>
      <c r="CQ243" s="89"/>
      <c r="CR243" s="89"/>
      <c r="CS243" s="89"/>
      <c r="CT243" s="89"/>
      <c r="CU243" s="89"/>
      <c r="CV243" s="89"/>
      <c r="CW243" s="89"/>
      <c r="CX243" s="89"/>
      <c r="CY243" s="89"/>
      <c r="CZ243" s="89"/>
      <c r="DA243" s="89"/>
      <c r="DB243" s="89"/>
      <c r="DC243" s="89"/>
      <c r="DD243" s="89"/>
      <c r="DE243" s="89"/>
      <c r="DF243" s="89"/>
      <c r="DG243" s="89"/>
      <c r="DH243" s="89"/>
      <c r="DI243" s="89"/>
      <c r="DJ243" s="89"/>
      <c r="DK243" s="89"/>
      <c r="DL243" s="89"/>
      <c r="DM243" s="89"/>
      <c r="DN243" s="89"/>
      <c r="DO243" s="89"/>
      <c r="DP243" s="89"/>
      <c r="DQ243" s="89"/>
      <c r="DR243" s="89"/>
      <c r="DS243" s="89"/>
      <c r="DT243" s="89"/>
      <c r="DU243" s="89"/>
      <c r="DV243" s="89"/>
      <c r="DW243" s="89"/>
      <c r="DX243" s="89"/>
      <c r="DY243" s="89"/>
      <c r="DZ243" s="89"/>
      <c r="EA243" s="89"/>
      <c r="EB243" s="89"/>
      <c r="EC243" s="89"/>
      <c r="ED243" s="89"/>
      <c r="EE243" s="89"/>
      <c r="EF243" s="89"/>
      <c r="EG243" s="89"/>
      <c r="EH243" s="89"/>
      <c r="EI243" s="89"/>
      <c r="EJ243" s="89"/>
      <c r="EK243" s="89"/>
      <c r="EL243" s="89"/>
      <c r="EM243" s="89"/>
      <c r="EN243" s="89"/>
      <c r="EO243" s="89"/>
      <c r="EP243" s="89"/>
    </row>
    <row r="244" spans="1:146" s="87" customFormat="1" ht="11.25">
      <c r="B244" s="211" t="s">
        <v>8</v>
      </c>
      <c r="C244" s="213" t="s">
        <v>0</v>
      </c>
      <c r="D244" s="213" t="s">
        <v>7</v>
      </c>
      <c r="E244" s="232" t="s">
        <v>151</v>
      </c>
      <c r="F244" s="232" t="s">
        <v>152</v>
      </c>
      <c r="G244" s="232" t="s">
        <v>153</v>
      </c>
      <c r="H244" s="232" t="s">
        <v>154</v>
      </c>
      <c r="I244" s="232" t="s">
        <v>155</v>
      </c>
      <c r="J244" s="232" t="s">
        <v>156</v>
      </c>
      <c r="K244" s="232" t="s">
        <v>157</v>
      </c>
      <c r="L244" s="232" t="s">
        <v>158</v>
      </c>
      <c r="M244" s="232" t="s">
        <v>159</v>
      </c>
      <c r="N244" s="232" t="s">
        <v>160</v>
      </c>
      <c r="O244" s="232" t="s">
        <v>161</v>
      </c>
      <c r="P244" s="232" t="s">
        <v>162</v>
      </c>
      <c r="Q244" s="110" t="s">
        <v>2</v>
      </c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89"/>
      <c r="AJ244" s="89"/>
      <c r="AK244" s="89"/>
      <c r="AL244" s="89"/>
      <c r="AM244" s="89"/>
      <c r="AN244" s="89"/>
      <c r="AO244" s="89"/>
      <c r="AP244" s="89"/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89"/>
      <c r="BN244" s="89"/>
      <c r="BO244" s="89"/>
      <c r="BP244" s="89"/>
      <c r="BQ244" s="89"/>
      <c r="BR244" s="89"/>
      <c r="BS244" s="89"/>
      <c r="BT244" s="89"/>
      <c r="BU244" s="89"/>
      <c r="BV244" s="89"/>
      <c r="BW244" s="89"/>
      <c r="BX244" s="89"/>
      <c r="BY244" s="89"/>
      <c r="BZ244" s="89"/>
      <c r="CA244" s="89"/>
      <c r="CB244" s="89"/>
      <c r="CC244" s="89"/>
      <c r="CD244" s="89"/>
      <c r="CE244" s="89"/>
      <c r="CF244" s="89"/>
      <c r="CG244" s="89"/>
      <c r="CH244" s="89"/>
      <c r="CI244" s="89"/>
      <c r="CJ244" s="89"/>
      <c r="CK244" s="89"/>
      <c r="CL244" s="89"/>
      <c r="CM244" s="89"/>
      <c r="CN244" s="89"/>
      <c r="CO244" s="89"/>
      <c r="CP244" s="89"/>
      <c r="CQ244" s="89"/>
      <c r="CR244" s="89"/>
      <c r="CS244" s="89"/>
      <c r="CT244" s="89"/>
      <c r="CU244" s="89"/>
      <c r="CV244" s="89"/>
      <c r="CW244" s="89"/>
      <c r="CX244" s="89"/>
      <c r="CY244" s="89"/>
      <c r="CZ244" s="89"/>
      <c r="DA244" s="89"/>
      <c r="DB244" s="89"/>
      <c r="DC244" s="89"/>
      <c r="DD244" s="89"/>
      <c r="DE244" s="89"/>
      <c r="DF244" s="89"/>
      <c r="DG244" s="89"/>
      <c r="DH244" s="89"/>
      <c r="DI244" s="89"/>
      <c r="DJ244" s="89"/>
      <c r="DK244" s="89"/>
      <c r="DL244" s="89"/>
      <c r="DM244" s="89"/>
      <c r="DN244" s="89"/>
      <c r="DO244" s="89"/>
      <c r="DP244" s="89"/>
      <c r="DQ244" s="89"/>
      <c r="DR244" s="89"/>
      <c r="DS244" s="89"/>
      <c r="DT244" s="89"/>
      <c r="DU244" s="89"/>
      <c r="DV244" s="89"/>
      <c r="DW244" s="89"/>
      <c r="DX244" s="89"/>
      <c r="DY244" s="89"/>
      <c r="DZ244" s="89"/>
      <c r="EA244" s="89"/>
      <c r="EB244" s="89"/>
      <c r="EC244" s="89"/>
      <c r="ED244" s="89"/>
      <c r="EE244" s="89"/>
      <c r="EF244" s="89"/>
      <c r="EG244" s="89"/>
      <c r="EH244" s="89"/>
      <c r="EI244" s="89"/>
      <c r="EJ244" s="89"/>
      <c r="EK244" s="89"/>
      <c r="EL244" s="89"/>
      <c r="EM244" s="89"/>
      <c r="EN244" s="89"/>
      <c r="EO244" s="89"/>
      <c r="EP244" s="89"/>
    </row>
    <row r="245" spans="1:146" s="87" customFormat="1" ht="11.25">
      <c r="C245" s="213"/>
      <c r="D245" s="213"/>
      <c r="E245" s="232"/>
      <c r="F245" s="232"/>
      <c r="G245" s="232"/>
      <c r="H245" s="232"/>
      <c r="I245" s="232"/>
      <c r="J245" s="232"/>
      <c r="K245" s="232"/>
      <c r="L245" s="232"/>
      <c r="M245" s="232"/>
      <c r="N245" s="232"/>
      <c r="O245" s="232"/>
      <c r="P245" s="227"/>
      <c r="Q245" s="110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89"/>
      <c r="AL245" s="89"/>
      <c r="AM245" s="89"/>
      <c r="AN245" s="89"/>
      <c r="AO245" s="89"/>
      <c r="AP245" s="89"/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89"/>
      <c r="BN245" s="89"/>
      <c r="BO245" s="89"/>
      <c r="BP245" s="89"/>
      <c r="BQ245" s="89"/>
      <c r="BR245" s="89"/>
      <c r="BS245" s="89"/>
      <c r="BT245" s="89"/>
      <c r="BU245" s="89"/>
      <c r="BV245" s="89"/>
      <c r="BW245" s="89"/>
      <c r="BX245" s="89"/>
      <c r="BY245" s="89"/>
      <c r="BZ245" s="89"/>
      <c r="CA245" s="89"/>
      <c r="CB245" s="89"/>
      <c r="CC245" s="89"/>
      <c r="CD245" s="89"/>
      <c r="CE245" s="89"/>
      <c r="CF245" s="89"/>
      <c r="CG245" s="89"/>
      <c r="CH245" s="89"/>
      <c r="CI245" s="89"/>
      <c r="CJ245" s="89"/>
      <c r="CK245" s="89"/>
      <c r="CL245" s="89"/>
      <c r="CM245" s="89"/>
      <c r="CN245" s="89"/>
      <c r="CO245" s="89"/>
      <c r="CP245" s="89"/>
      <c r="CQ245" s="89"/>
      <c r="CR245" s="89"/>
      <c r="CS245" s="89"/>
      <c r="CT245" s="89"/>
      <c r="CU245" s="89"/>
      <c r="CV245" s="89"/>
      <c r="CW245" s="89"/>
      <c r="CX245" s="89"/>
      <c r="CY245" s="89"/>
      <c r="CZ245" s="89"/>
      <c r="DA245" s="89"/>
      <c r="DB245" s="89"/>
      <c r="DC245" s="89"/>
      <c r="DD245" s="89"/>
      <c r="DE245" s="89"/>
      <c r="DF245" s="89"/>
      <c r="DG245" s="89"/>
      <c r="DH245" s="89"/>
      <c r="DI245" s="89"/>
      <c r="DJ245" s="89"/>
      <c r="DK245" s="89"/>
      <c r="DL245" s="89"/>
      <c r="DM245" s="89"/>
      <c r="DN245" s="89"/>
      <c r="DO245" s="89"/>
      <c r="DP245" s="89"/>
      <c r="DQ245" s="89"/>
      <c r="DR245" s="89"/>
      <c r="DS245" s="89"/>
      <c r="DT245" s="89"/>
      <c r="DU245" s="89"/>
      <c r="DV245" s="89"/>
      <c r="DW245" s="89"/>
      <c r="DX245" s="89"/>
      <c r="DY245" s="89"/>
      <c r="DZ245" s="89"/>
      <c r="EA245" s="89"/>
      <c r="EB245" s="89"/>
      <c r="EC245" s="89"/>
      <c r="ED245" s="89"/>
      <c r="EE245" s="89"/>
      <c r="EF245" s="89"/>
      <c r="EG245" s="89"/>
      <c r="EH245" s="89"/>
      <c r="EI245" s="89"/>
      <c r="EJ245" s="89"/>
      <c r="EK245" s="89"/>
      <c r="EL245" s="89"/>
      <c r="EM245" s="89"/>
      <c r="EN245" s="89"/>
      <c r="EO245" s="89"/>
      <c r="EP245" s="89"/>
    </row>
    <row r="246" spans="1:146" s="78" customFormat="1" ht="11.25">
      <c r="A246" s="87" t="str">
        <f>CONCATENATE($A$40,C246)</f>
        <v>Miscellaneous RidersRESIDENTIAL SERVICE</v>
      </c>
      <c r="B246" s="83" t="s">
        <v>9</v>
      </c>
      <c r="C246" s="78" t="s">
        <v>17</v>
      </c>
      <c r="D246" s="85" t="s">
        <v>4</v>
      </c>
      <c r="E246" s="124">
        <v>6</v>
      </c>
      <c r="F246" s="124">
        <v>3.63</v>
      </c>
      <c r="G246" s="124">
        <v>0</v>
      </c>
      <c r="H246" s="124">
        <v>0</v>
      </c>
      <c r="I246" s="124">
        <v>0</v>
      </c>
      <c r="J246" s="124">
        <v>0</v>
      </c>
      <c r="K246" s="124">
        <v>1.29</v>
      </c>
      <c r="L246" s="124">
        <v>0</v>
      </c>
      <c r="M246" s="124">
        <v>0</v>
      </c>
      <c r="N246" s="124">
        <v>0</v>
      </c>
      <c r="O246" s="124">
        <v>0</v>
      </c>
      <c r="P246" s="124">
        <v>0</v>
      </c>
      <c r="Q246" s="90">
        <f>SUM(E246:P246)</f>
        <v>10.919999999999998</v>
      </c>
      <c r="R246" s="125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  <c r="AS246" s="68"/>
      <c r="AT246" s="68"/>
      <c r="AU246" s="68"/>
      <c r="AV246" s="68"/>
      <c r="AW246" s="68"/>
      <c r="AX246" s="68"/>
      <c r="AY246" s="68"/>
      <c r="AZ246" s="68"/>
      <c r="BA246" s="68"/>
      <c r="BB246" s="68"/>
      <c r="BC246" s="68"/>
      <c r="BD246" s="68"/>
      <c r="BE246" s="68"/>
      <c r="BF246" s="68"/>
      <c r="BG246" s="68"/>
      <c r="BH246" s="68"/>
      <c r="BI246" s="68"/>
      <c r="BJ246" s="68"/>
      <c r="BK246" s="68"/>
      <c r="BL246" s="68"/>
      <c r="BM246" s="68"/>
      <c r="BN246" s="68"/>
      <c r="BO246" s="68"/>
      <c r="BP246" s="68"/>
      <c r="BQ246" s="68"/>
      <c r="BR246" s="68"/>
      <c r="BS246" s="68"/>
      <c r="BT246" s="68"/>
      <c r="BU246" s="68"/>
      <c r="BV246" s="68"/>
      <c r="BW246" s="68"/>
      <c r="BX246" s="68"/>
      <c r="BY246" s="68"/>
      <c r="BZ246" s="68"/>
      <c r="CA246" s="68"/>
      <c r="CB246" s="68"/>
      <c r="CC246" s="68"/>
      <c r="CD246" s="68"/>
      <c r="CE246" s="68"/>
      <c r="CF246" s="68"/>
      <c r="CG246" s="68"/>
      <c r="CH246" s="68"/>
      <c r="CI246" s="68"/>
      <c r="CJ246" s="68"/>
      <c r="CK246" s="68"/>
      <c r="CL246" s="68"/>
      <c r="CM246" s="68"/>
      <c r="CN246" s="68"/>
      <c r="CO246" s="68"/>
      <c r="CP246" s="68"/>
      <c r="CQ246" s="68"/>
      <c r="CR246" s="68"/>
      <c r="CS246" s="68"/>
      <c r="CT246" s="68"/>
      <c r="CU246" s="68"/>
      <c r="CV246" s="68"/>
      <c r="CW246" s="68"/>
      <c r="CX246" s="68"/>
      <c r="CY246" s="68"/>
      <c r="CZ246" s="68"/>
      <c r="DA246" s="68"/>
      <c r="DB246" s="68"/>
      <c r="DC246" s="68"/>
      <c r="DD246" s="68"/>
      <c r="DE246" s="68"/>
      <c r="DF246" s="68"/>
      <c r="DG246" s="68"/>
      <c r="DH246" s="68"/>
      <c r="DI246" s="68"/>
      <c r="DJ246" s="68"/>
      <c r="DK246" s="68"/>
      <c r="DL246" s="68"/>
      <c r="DM246" s="68"/>
      <c r="DN246" s="68"/>
      <c r="DO246" s="68"/>
      <c r="DP246" s="68"/>
      <c r="DQ246" s="68"/>
      <c r="DR246" s="68"/>
      <c r="DS246" s="68"/>
      <c r="DT246" s="68"/>
      <c r="DU246" s="68"/>
      <c r="DV246" s="68"/>
      <c r="DW246" s="68"/>
      <c r="DX246" s="68"/>
      <c r="DY246" s="68"/>
      <c r="DZ246" s="68"/>
      <c r="EA246" s="68"/>
      <c r="EB246" s="68"/>
      <c r="EC246" s="68"/>
      <c r="ED246" s="68"/>
      <c r="EE246" s="68"/>
      <c r="EF246" s="68"/>
      <c r="EG246" s="68"/>
      <c r="EH246" s="68"/>
      <c r="EI246" s="68"/>
      <c r="EJ246" s="68"/>
      <c r="EK246" s="68"/>
      <c r="EL246" s="68"/>
      <c r="EM246" s="68"/>
      <c r="EN246" s="68"/>
      <c r="EO246" s="68"/>
      <c r="EP246" s="68"/>
    </row>
    <row r="247" spans="1:146" s="78" customFormat="1" ht="11.25">
      <c r="A247" s="87" t="str">
        <f t="shared" ref="A247:A270" si="39">CONCATENATE($A$40,C247)</f>
        <v>Miscellaneous Riders</v>
      </c>
      <c r="D247" s="85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93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/>
      <c r="AX247" s="68"/>
      <c r="AY247" s="68"/>
      <c r="AZ247" s="68"/>
      <c r="BA247" s="68"/>
      <c r="BB247" s="68"/>
      <c r="BC247" s="68"/>
      <c r="BD247" s="68"/>
      <c r="BE247" s="68"/>
      <c r="BF247" s="68"/>
      <c r="BG247" s="68"/>
      <c r="BH247" s="68"/>
      <c r="BI247" s="68"/>
      <c r="BJ247" s="68"/>
      <c r="BK247" s="68"/>
      <c r="BL247" s="68"/>
      <c r="BM247" s="68"/>
      <c r="BN247" s="68"/>
      <c r="BO247" s="68"/>
      <c r="BP247" s="68"/>
      <c r="BQ247" s="68"/>
      <c r="BR247" s="68"/>
      <c r="BS247" s="68"/>
      <c r="BT247" s="68"/>
      <c r="BU247" s="68"/>
      <c r="BV247" s="68"/>
      <c r="BW247" s="68"/>
      <c r="BX247" s="68"/>
      <c r="BY247" s="68"/>
      <c r="BZ247" s="68"/>
      <c r="CA247" s="68"/>
      <c r="CB247" s="68"/>
      <c r="CC247" s="68"/>
      <c r="CD247" s="68"/>
      <c r="CE247" s="68"/>
      <c r="CF247" s="68"/>
      <c r="CG247" s="68"/>
      <c r="CH247" s="68"/>
      <c r="CI247" s="68"/>
      <c r="CJ247" s="68"/>
      <c r="CK247" s="68"/>
      <c r="CL247" s="68"/>
      <c r="CM247" s="68"/>
      <c r="CN247" s="68"/>
      <c r="CO247" s="68"/>
      <c r="CP247" s="68"/>
      <c r="CQ247" s="68"/>
      <c r="CR247" s="68"/>
      <c r="CS247" s="68"/>
      <c r="CT247" s="68"/>
      <c r="CU247" s="68"/>
      <c r="CV247" s="68"/>
      <c r="CW247" s="68"/>
      <c r="CX247" s="68"/>
      <c r="CY247" s="68"/>
      <c r="CZ247" s="68"/>
      <c r="DA247" s="68"/>
      <c r="DB247" s="68"/>
      <c r="DC247" s="68"/>
      <c r="DD247" s="68"/>
      <c r="DE247" s="68"/>
      <c r="DF247" s="68"/>
      <c r="DG247" s="68"/>
      <c r="DH247" s="68"/>
      <c r="DI247" s="68"/>
      <c r="DJ247" s="68"/>
      <c r="DK247" s="68"/>
      <c r="DL247" s="68"/>
      <c r="DM247" s="68"/>
      <c r="DN247" s="68"/>
      <c r="DO247" s="68"/>
      <c r="DP247" s="68"/>
      <c r="DQ247" s="68"/>
      <c r="DR247" s="68"/>
      <c r="DS247" s="68"/>
      <c r="DT247" s="68"/>
      <c r="DU247" s="68"/>
      <c r="DV247" s="68"/>
      <c r="DW247" s="68"/>
      <c r="DX247" s="68"/>
      <c r="DY247" s="68"/>
      <c r="DZ247" s="68"/>
      <c r="EA247" s="68"/>
      <c r="EB247" s="68"/>
      <c r="EC247" s="68"/>
      <c r="ED247" s="68"/>
      <c r="EE247" s="68"/>
      <c r="EF247" s="68"/>
      <c r="EG247" s="68"/>
      <c r="EH247" s="68"/>
      <c r="EI247" s="68"/>
      <c r="EJ247" s="68"/>
      <c r="EK247" s="68"/>
      <c r="EL247" s="68"/>
      <c r="EM247" s="68"/>
      <c r="EN247" s="68"/>
      <c r="EO247" s="68"/>
      <c r="EP247" s="68"/>
    </row>
    <row r="248" spans="1:146" s="78" customFormat="1" ht="11.25">
      <c r="A248" s="87" t="str">
        <f t="shared" si="39"/>
        <v>Miscellaneous RidersSECONDARY &lt; 10 kW</v>
      </c>
      <c r="B248" s="83">
        <v>2</v>
      </c>
      <c r="C248" s="78" t="s">
        <v>150</v>
      </c>
      <c r="D248" s="85" t="s">
        <v>4</v>
      </c>
      <c r="E248" s="124">
        <v>0</v>
      </c>
      <c r="F248" s="124">
        <v>0</v>
      </c>
      <c r="G248" s="124">
        <v>0</v>
      </c>
      <c r="H248" s="124">
        <v>0</v>
      </c>
      <c r="I248" s="124">
        <v>0</v>
      </c>
      <c r="J248" s="124">
        <v>0</v>
      </c>
      <c r="K248" s="124">
        <v>0</v>
      </c>
      <c r="L248" s="124">
        <v>0</v>
      </c>
      <c r="M248" s="124">
        <v>0</v>
      </c>
      <c r="N248" s="124">
        <v>0</v>
      </c>
      <c r="O248" s="124">
        <v>0</v>
      </c>
      <c r="P248" s="124">
        <v>0</v>
      </c>
      <c r="Q248" s="90">
        <f>SUM(E248:P248)</f>
        <v>0</v>
      </c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  <c r="AO248" s="68"/>
      <c r="AP248" s="68"/>
      <c r="AQ248" s="68"/>
      <c r="AR248" s="68"/>
      <c r="AS248" s="68"/>
      <c r="AT248" s="68"/>
      <c r="AU248" s="68"/>
      <c r="AV248" s="68"/>
      <c r="AW248" s="68"/>
      <c r="AX248" s="68"/>
      <c r="AY248" s="68"/>
      <c r="AZ248" s="68"/>
      <c r="BA248" s="68"/>
      <c r="BB248" s="68"/>
      <c r="BC248" s="68"/>
      <c r="BD248" s="68"/>
      <c r="BE248" s="68"/>
      <c r="BF248" s="68"/>
      <c r="BG248" s="68"/>
      <c r="BH248" s="68"/>
      <c r="BI248" s="68"/>
      <c r="BJ248" s="68"/>
      <c r="BK248" s="68"/>
      <c r="BL248" s="68"/>
      <c r="BM248" s="68"/>
      <c r="BN248" s="68"/>
      <c r="BO248" s="68"/>
      <c r="BP248" s="68"/>
      <c r="BQ248" s="68"/>
      <c r="BR248" s="68"/>
      <c r="BS248" s="68"/>
      <c r="BT248" s="68"/>
      <c r="BU248" s="68"/>
      <c r="BV248" s="68"/>
      <c r="BW248" s="68"/>
      <c r="BX248" s="68"/>
      <c r="BY248" s="68"/>
      <c r="BZ248" s="68"/>
      <c r="CA248" s="68"/>
      <c r="CB248" s="68"/>
      <c r="CC248" s="68"/>
      <c r="CD248" s="68"/>
      <c r="CE248" s="68"/>
      <c r="CF248" s="68"/>
      <c r="CG248" s="68"/>
      <c r="CH248" s="68"/>
      <c r="CI248" s="68"/>
      <c r="CJ248" s="68"/>
      <c r="CK248" s="68"/>
      <c r="CL248" s="68"/>
      <c r="CM248" s="68"/>
      <c r="CN248" s="68"/>
      <c r="CO248" s="68"/>
      <c r="CP248" s="68"/>
      <c r="CQ248" s="68"/>
      <c r="CR248" s="68"/>
      <c r="CS248" s="68"/>
      <c r="CT248" s="68"/>
      <c r="CU248" s="68"/>
      <c r="CV248" s="68"/>
      <c r="CW248" s="68"/>
      <c r="CX248" s="68"/>
      <c r="CY248" s="68"/>
      <c r="CZ248" s="68"/>
      <c r="DA248" s="68"/>
      <c r="DB248" s="68"/>
      <c r="DC248" s="68"/>
      <c r="DD248" s="68"/>
      <c r="DE248" s="68"/>
      <c r="DF248" s="68"/>
      <c r="DG248" s="68"/>
      <c r="DH248" s="68"/>
      <c r="DI248" s="68"/>
      <c r="DJ248" s="68"/>
      <c r="DK248" s="68"/>
      <c r="DL248" s="68"/>
      <c r="DM248" s="68"/>
      <c r="DN248" s="68"/>
      <c r="DO248" s="68"/>
      <c r="DP248" s="68"/>
      <c r="DQ248" s="68"/>
      <c r="DR248" s="68"/>
      <c r="DS248" s="68"/>
      <c r="DT248" s="68"/>
      <c r="DU248" s="68"/>
      <c r="DV248" s="68"/>
      <c r="DW248" s="68"/>
      <c r="DX248" s="68"/>
      <c r="DY248" s="68"/>
      <c r="DZ248" s="68"/>
      <c r="EA248" s="68"/>
      <c r="EB248" s="68"/>
      <c r="EC248" s="68"/>
      <c r="ED248" s="68"/>
      <c r="EE248" s="68"/>
      <c r="EF248" s="68"/>
      <c r="EG248" s="68"/>
      <c r="EH248" s="68"/>
      <c r="EI248" s="68"/>
      <c r="EJ248" s="68"/>
      <c r="EK248" s="68"/>
      <c r="EL248" s="68"/>
      <c r="EM248" s="68"/>
      <c r="EN248" s="68"/>
      <c r="EO248" s="68"/>
      <c r="EP248" s="68"/>
    </row>
    <row r="249" spans="1:146" s="78" customFormat="1" ht="11.25">
      <c r="A249" s="87" t="str">
        <f t="shared" si="39"/>
        <v>Miscellaneous Riders</v>
      </c>
      <c r="B249" s="83"/>
      <c r="D249" s="85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  <c r="AO249" s="68"/>
      <c r="AP249" s="68"/>
      <c r="AQ249" s="68"/>
      <c r="AR249" s="68"/>
      <c r="AS249" s="68"/>
      <c r="AT249" s="68"/>
      <c r="AU249" s="68"/>
      <c r="AV249" s="68"/>
      <c r="AW249" s="68"/>
      <c r="AX249" s="68"/>
      <c r="AY249" s="68"/>
      <c r="AZ249" s="68"/>
      <c r="BA249" s="68"/>
      <c r="BB249" s="68"/>
      <c r="BC249" s="68"/>
      <c r="BD249" s="68"/>
      <c r="BE249" s="68"/>
      <c r="BF249" s="68"/>
      <c r="BG249" s="68"/>
      <c r="BH249" s="68"/>
      <c r="BI249" s="68"/>
      <c r="BJ249" s="68"/>
      <c r="BK249" s="68"/>
      <c r="BL249" s="68"/>
      <c r="BM249" s="68"/>
      <c r="BN249" s="68"/>
      <c r="BO249" s="68"/>
      <c r="BP249" s="68"/>
      <c r="BQ249" s="68"/>
      <c r="BR249" s="68"/>
      <c r="BS249" s="68"/>
      <c r="BT249" s="68"/>
      <c r="BU249" s="68"/>
      <c r="BV249" s="68"/>
      <c r="BW249" s="68"/>
      <c r="BX249" s="68"/>
      <c r="BY249" s="68"/>
      <c r="BZ249" s="68"/>
      <c r="CA249" s="68"/>
      <c r="CB249" s="68"/>
      <c r="CC249" s="68"/>
      <c r="CD249" s="68"/>
      <c r="CE249" s="68"/>
      <c r="CF249" s="68"/>
      <c r="CG249" s="68"/>
      <c r="CH249" s="68"/>
      <c r="CI249" s="68"/>
      <c r="CJ249" s="68"/>
      <c r="CK249" s="68"/>
      <c r="CL249" s="68"/>
      <c r="CM249" s="68"/>
      <c r="CN249" s="68"/>
      <c r="CO249" s="68"/>
      <c r="CP249" s="68"/>
      <c r="CQ249" s="68"/>
      <c r="CR249" s="68"/>
      <c r="CS249" s="68"/>
      <c r="CT249" s="68"/>
      <c r="CU249" s="68"/>
      <c r="CV249" s="68"/>
      <c r="CW249" s="68"/>
      <c r="CX249" s="68"/>
      <c r="CY249" s="68"/>
      <c r="CZ249" s="68"/>
      <c r="DA249" s="68"/>
      <c r="DB249" s="68"/>
      <c r="DC249" s="68"/>
      <c r="DD249" s="68"/>
      <c r="DE249" s="68"/>
      <c r="DF249" s="68"/>
      <c r="DG249" s="68"/>
      <c r="DH249" s="68"/>
      <c r="DI249" s="68"/>
      <c r="DJ249" s="68"/>
      <c r="DK249" s="68"/>
      <c r="DL249" s="68"/>
      <c r="DM249" s="68"/>
      <c r="DN249" s="68"/>
      <c r="DO249" s="68"/>
      <c r="DP249" s="68"/>
      <c r="DQ249" s="68"/>
      <c r="DR249" s="68"/>
      <c r="DS249" s="68"/>
      <c r="DT249" s="68"/>
      <c r="DU249" s="68"/>
      <c r="DV249" s="68"/>
      <c r="DW249" s="68"/>
      <c r="DX249" s="68"/>
      <c r="DY249" s="68"/>
      <c r="DZ249" s="68"/>
      <c r="EA249" s="68"/>
      <c r="EB249" s="68"/>
      <c r="EC249" s="68"/>
      <c r="ED249" s="68"/>
      <c r="EE249" s="68"/>
      <c r="EF249" s="68"/>
      <c r="EG249" s="68"/>
      <c r="EH249" s="68"/>
      <c r="EI249" s="68"/>
      <c r="EJ249" s="68"/>
      <c r="EK249" s="68"/>
      <c r="EL249" s="68"/>
      <c r="EM249" s="68"/>
      <c r="EN249" s="68"/>
      <c r="EO249" s="68"/>
      <c r="EP249" s="68"/>
    </row>
    <row r="250" spans="1:146" s="78" customFormat="1" ht="11.25">
      <c r="A250" s="87" t="str">
        <f t="shared" si="39"/>
        <v>Miscellaneous RidersSECONDARY &gt; 10 kW NCP</v>
      </c>
      <c r="B250" s="83">
        <v>3</v>
      </c>
      <c r="C250" s="87" t="s">
        <v>81</v>
      </c>
      <c r="D250" s="74" t="s">
        <v>4</v>
      </c>
      <c r="E250" s="124">
        <v>0</v>
      </c>
      <c r="F250" s="124">
        <v>0</v>
      </c>
      <c r="G250" s="124">
        <v>0</v>
      </c>
      <c r="H250" s="124">
        <v>0</v>
      </c>
      <c r="I250" s="124">
        <v>0</v>
      </c>
      <c r="J250" s="124">
        <v>0</v>
      </c>
      <c r="K250" s="124">
        <v>0</v>
      </c>
      <c r="L250" s="124">
        <v>0</v>
      </c>
      <c r="M250" s="124">
        <v>0</v>
      </c>
      <c r="N250" s="124">
        <v>0</v>
      </c>
      <c r="O250" s="124">
        <v>0</v>
      </c>
      <c r="P250" s="124">
        <v>0</v>
      </c>
      <c r="Q250" s="124">
        <f>SUM(E250:P250)</f>
        <v>0</v>
      </c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  <c r="AO250" s="68"/>
      <c r="AP250" s="68"/>
      <c r="AQ250" s="68"/>
      <c r="AR250" s="68"/>
      <c r="AS250" s="68"/>
      <c r="AT250" s="68"/>
      <c r="AU250" s="68"/>
      <c r="AV250" s="68"/>
      <c r="AW250" s="68"/>
      <c r="AX250" s="68"/>
      <c r="AY250" s="68"/>
      <c r="AZ250" s="68"/>
      <c r="BA250" s="68"/>
      <c r="BB250" s="68"/>
      <c r="BC250" s="68"/>
      <c r="BD250" s="68"/>
      <c r="BE250" s="68"/>
      <c r="BF250" s="68"/>
      <c r="BG250" s="68"/>
      <c r="BH250" s="68"/>
      <c r="BI250" s="68"/>
      <c r="BJ250" s="68"/>
      <c r="BK250" s="68"/>
      <c r="BL250" s="68"/>
      <c r="BM250" s="68"/>
      <c r="BN250" s="68"/>
      <c r="BO250" s="68"/>
      <c r="BP250" s="68"/>
      <c r="BQ250" s="68"/>
      <c r="BR250" s="68"/>
      <c r="BS250" s="68"/>
      <c r="BT250" s="68"/>
      <c r="BU250" s="68"/>
      <c r="BV250" s="68"/>
      <c r="BW250" s="68"/>
      <c r="BX250" s="68"/>
      <c r="BY250" s="68"/>
      <c r="BZ250" s="68"/>
      <c r="CA250" s="68"/>
      <c r="CB250" s="68"/>
      <c r="CC250" s="68"/>
      <c r="CD250" s="68"/>
      <c r="CE250" s="68"/>
      <c r="CF250" s="68"/>
      <c r="CG250" s="68"/>
      <c r="CH250" s="68"/>
      <c r="CI250" s="68"/>
      <c r="CJ250" s="68"/>
      <c r="CK250" s="68"/>
      <c r="CL250" s="68"/>
      <c r="CM250" s="68"/>
      <c r="CN250" s="68"/>
      <c r="CO250" s="68"/>
      <c r="CP250" s="68"/>
      <c r="CQ250" s="68"/>
      <c r="CR250" s="68"/>
      <c r="CS250" s="68"/>
      <c r="CT250" s="68"/>
      <c r="CU250" s="68"/>
      <c r="CV250" s="68"/>
      <c r="CW250" s="68"/>
      <c r="CX250" s="68"/>
      <c r="CY250" s="68"/>
      <c r="CZ250" s="68"/>
      <c r="DA250" s="68"/>
      <c r="DB250" s="68"/>
      <c r="DC250" s="68"/>
      <c r="DD250" s="68"/>
      <c r="DE250" s="68"/>
      <c r="DF250" s="68"/>
      <c r="DG250" s="68"/>
      <c r="DH250" s="68"/>
      <c r="DI250" s="68"/>
      <c r="DJ250" s="68"/>
      <c r="DK250" s="68"/>
      <c r="DL250" s="68"/>
      <c r="DM250" s="68"/>
      <c r="DN250" s="68"/>
      <c r="DO250" s="68"/>
      <c r="DP250" s="68"/>
      <c r="DQ250" s="68"/>
      <c r="DR250" s="68"/>
      <c r="DS250" s="68"/>
      <c r="DT250" s="68"/>
      <c r="DU250" s="68"/>
      <c r="DV250" s="68"/>
      <c r="DW250" s="68"/>
      <c r="DX250" s="68"/>
      <c r="DY250" s="68"/>
      <c r="DZ250" s="68"/>
      <c r="EA250" s="68"/>
      <c r="EB250" s="68"/>
      <c r="EC250" s="68"/>
      <c r="ED250" s="68"/>
      <c r="EE250" s="68"/>
      <c r="EF250" s="68"/>
      <c r="EG250" s="68"/>
      <c r="EH250" s="68"/>
      <c r="EI250" s="68"/>
      <c r="EJ250" s="68"/>
      <c r="EK250" s="68"/>
      <c r="EL250" s="68"/>
      <c r="EM250" s="68"/>
      <c r="EN250" s="68"/>
      <c r="EO250" s="68"/>
      <c r="EP250" s="68"/>
    </row>
    <row r="251" spans="1:146" s="78" customFormat="1" ht="11.25">
      <c r="A251" s="87" t="str">
        <f t="shared" si="39"/>
        <v>Miscellaneous RidersSECONDARY &gt; 10 kW 4CP</v>
      </c>
      <c r="B251" s="83">
        <v>4</v>
      </c>
      <c r="C251" s="87" t="s">
        <v>85</v>
      </c>
      <c r="D251" s="74" t="s">
        <v>4</v>
      </c>
      <c r="E251" s="149">
        <v>0</v>
      </c>
      <c r="F251" s="149">
        <v>0</v>
      </c>
      <c r="G251" s="149">
        <v>0</v>
      </c>
      <c r="H251" s="149">
        <v>0</v>
      </c>
      <c r="I251" s="149">
        <v>0</v>
      </c>
      <c r="J251" s="149">
        <v>0</v>
      </c>
      <c r="K251" s="149">
        <v>0</v>
      </c>
      <c r="L251" s="149">
        <v>0</v>
      </c>
      <c r="M251" s="149">
        <v>0</v>
      </c>
      <c r="N251" s="149">
        <v>0</v>
      </c>
      <c r="O251" s="149">
        <v>0</v>
      </c>
      <c r="P251" s="149">
        <v>0</v>
      </c>
      <c r="Q251" s="149">
        <f>SUM(E251:P251)</f>
        <v>0</v>
      </c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  <c r="AO251" s="68"/>
      <c r="AP251" s="68"/>
      <c r="AQ251" s="68"/>
      <c r="AR251" s="68"/>
      <c r="AS251" s="68"/>
      <c r="AT251" s="68"/>
      <c r="AU251" s="68"/>
      <c r="AV251" s="68"/>
      <c r="AW251" s="68"/>
      <c r="AX251" s="68"/>
      <c r="AY251" s="68"/>
      <c r="AZ251" s="68"/>
      <c r="BA251" s="68"/>
      <c r="BB251" s="68"/>
      <c r="BC251" s="68"/>
      <c r="BD251" s="68"/>
      <c r="BE251" s="68"/>
      <c r="BF251" s="68"/>
      <c r="BG251" s="68"/>
      <c r="BH251" s="68"/>
      <c r="BI251" s="68"/>
      <c r="BJ251" s="68"/>
      <c r="BK251" s="68"/>
      <c r="BL251" s="68"/>
      <c r="BM251" s="68"/>
      <c r="BN251" s="68"/>
      <c r="BO251" s="68"/>
      <c r="BP251" s="68"/>
      <c r="BQ251" s="68"/>
      <c r="BR251" s="68"/>
      <c r="BS251" s="68"/>
      <c r="BT251" s="68"/>
      <c r="BU251" s="68"/>
      <c r="BV251" s="68"/>
      <c r="BW251" s="68"/>
      <c r="BX251" s="68"/>
      <c r="BY251" s="68"/>
      <c r="BZ251" s="68"/>
      <c r="CA251" s="68"/>
      <c r="CB251" s="68"/>
      <c r="CC251" s="68"/>
      <c r="CD251" s="68"/>
      <c r="CE251" s="68"/>
      <c r="CF251" s="68"/>
      <c r="CG251" s="68"/>
      <c r="CH251" s="68"/>
      <c r="CI251" s="68"/>
      <c r="CJ251" s="68"/>
      <c r="CK251" s="68"/>
      <c r="CL251" s="68"/>
      <c r="CM251" s="68"/>
      <c r="CN251" s="68"/>
      <c r="CO251" s="68"/>
      <c r="CP251" s="68"/>
      <c r="CQ251" s="68"/>
      <c r="CR251" s="68"/>
      <c r="CS251" s="68"/>
      <c r="CT251" s="68"/>
      <c r="CU251" s="68"/>
      <c r="CV251" s="68"/>
      <c r="CW251" s="68"/>
      <c r="CX251" s="68"/>
      <c r="CY251" s="68"/>
      <c r="CZ251" s="68"/>
      <c r="DA251" s="68"/>
      <c r="DB251" s="68"/>
      <c r="DC251" s="68"/>
      <c r="DD251" s="68"/>
      <c r="DE251" s="68"/>
      <c r="DF251" s="68"/>
      <c r="DG251" s="68"/>
      <c r="DH251" s="68"/>
      <c r="DI251" s="68"/>
      <c r="DJ251" s="68"/>
      <c r="DK251" s="68"/>
      <c r="DL251" s="68"/>
      <c r="DM251" s="68"/>
      <c r="DN251" s="68"/>
      <c r="DO251" s="68"/>
      <c r="DP251" s="68"/>
      <c r="DQ251" s="68"/>
      <c r="DR251" s="68"/>
      <c r="DS251" s="68"/>
      <c r="DT251" s="68"/>
      <c r="DU251" s="68"/>
      <c r="DV251" s="68"/>
      <c r="DW251" s="68"/>
      <c r="DX251" s="68"/>
      <c r="DY251" s="68"/>
      <c r="DZ251" s="68"/>
      <c r="EA251" s="68"/>
      <c r="EB251" s="68"/>
      <c r="EC251" s="68"/>
      <c r="ED251" s="68"/>
      <c r="EE251" s="68"/>
      <c r="EF251" s="68"/>
      <c r="EG251" s="68"/>
      <c r="EH251" s="68"/>
      <c r="EI251" s="68"/>
      <c r="EJ251" s="68"/>
      <c r="EK251" s="68"/>
      <c r="EL251" s="68"/>
      <c r="EM251" s="68"/>
      <c r="EN251" s="68"/>
      <c r="EO251" s="68"/>
      <c r="EP251" s="68"/>
    </row>
    <row r="252" spans="1:146" s="78" customFormat="1" ht="11.25">
      <c r="A252" s="87" t="str">
        <f t="shared" si="39"/>
        <v>Miscellaneous RidersTOTAL SECONDARY &gt; 10 kW</v>
      </c>
      <c r="B252" s="83">
        <v>5</v>
      </c>
      <c r="C252" s="96" t="s">
        <v>18</v>
      </c>
      <c r="D252" s="85"/>
      <c r="E252" s="231">
        <f>SUM(E250:E251)</f>
        <v>0</v>
      </c>
      <c r="F252" s="231">
        <f t="shared" ref="F252:Q252" si="40">SUM(F250:F251)</f>
        <v>0</v>
      </c>
      <c r="G252" s="231">
        <f t="shared" si="40"/>
        <v>0</v>
      </c>
      <c r="H252" s="231">
        <f t="shared" si="40"/>
        <v>0</v>
      </c>
      <c r="I252" s="231">
        <f t="shared" si="40"/>
        <v>0</v>
      </c>
      <c r="J252" s="231">
        <f t="shared" si="40"/>
        <v>0</v>
      </c>
      <c r="K252" s="231">
        <f t="shared" si="40"/>
        <v>0</v>
      </c>
      <c r="L252" s="231">
        <f t="shared" si="40"/>
        <v>0</v>
      </c>
      <c r="M252" s="231">
        <f t="shared" si="40"/>
        <v>0</v>
      </c>
      <c r="N252" s="231">
        <f t="shared" si="40"/>
        <v>0</v>
      </c>
      <c r="O252" s="231">
        <f t="shared" si="40"/>
        <v>0</v>
      </c>
      <c r="P252" s="231">
        <f t="shared" si="40"/>
        <v>0</v>
      </c>
      <c r="Q252" s="231">
        <f t="shared" si="40"/>
        <v>0</v>
      </c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  <c r="AO252" s="68"/>
      <c r="AP252" s="68"/>
      <c r="AQ252" s="68"/>
      <c r="AR252" s="68"/>
      <c r="AS252" s="68"/>
      <c r="AT252" s="68"/>
      <c r="AU252" s="68"/>
      <c r="AV252" s="68"/>
      <c r="AW252" s="68"/>
      <c r="AX252" s="68"/>
      <c r="AY252" s="68"/>
      <c r="AZ252" s="68"/>
      <c r="BA252" s="68"/>
      <c r="BB252" s="68"/>
      <c r="BC252" s="68"/>
      <c r="BD252" s="68"/>
      <c r="BE252" s="68"/>
      <c r="BF252" s="68"/>
      <c r="BG252" s="68"/>
      <c r="BH252" s="68"/>
      <c r="BI252" s="68"/>
      <c r="BJ252" s="68"/>
      <c r="BK252" s="68"/>
      <c r="BL252" s="68"/>
      <c r="BM252" s="68"/>
      <c r="BN252" s="68"/>
      <c r="BO252" s="68"/>
      <c r="BP252" s="68"/>
      <c r="BQ252" s="68"/>
      <c r="BR252" s="68"/>
      <c r="BS252" s="68"/>
      <c r="BT252" s="68"/>
      <c r="BU252" s="68"/>
      <c r="BV252" s="68"/>
      <c r="BW252" s="68"/>
      <c r="BX252" s="68"/>
      <c r="BY252" s="68"/>
      <c r="BZ252" s="68"/>
      <c r="CA252" s="68"/>
      <c r="CB252" s="68"/>
      <c r="CC252" s="68"/>
      <c r="CD252" s="68"/>
      <c r="CE252" s="68"/>
      <c r="CF252" s="68"/>
      <c r="CG252" s="68"/>
      <c r="CH252" s="68"/>
      <c r="CI252" s="68"/>
      <c r="CJ252" s="68"/>
      <c r="CK252" s="68"/>
      <c r="CL252" s="68"/>
      <c r="CM252" s="68"/>
      <c r="CN252" s="68"/>
      <c r="CO252" s="68"/>
      <c r="CP252" s="68"/>
      <c r="CQ252" s="68"/>
      <c r="CR252" s="68"/>
      <c r="CS252" s="68"/>
      <c r="CT252" s="68"/>
      <c r="CU252" s="68"/>
      <c r="CV252" s="68"/>
      <c r="CW252" s="68"/>
      <c r="CX252" s="68"/>
      <c r="CY252" s="68"/>
      <c r="CZ252" s="68"/>
      <c r="DA252" s="68"/>
      <c r="DB252" s="68"/>
      <c r="DC252" s="68"/>
      <c r="DD252" s="68"/>
      <c r="DE252" s="68"/>
      <c r="DF252" s="68"/>
      <c r="DG252" s="68"/>
      <c r="DH252" s="68"/>
      <c r="DI252" s="68"/>
      <c r="DJ252" s="68"/>
      <c r="DK252" s="68"/>
      <c r="DL252" s="68"/>
      <c r="DM252" s="68"/>
      <c r="DN252" s="68"/>
      <c r="DO252" s="68"/>
      <c r="DP252" s="68"/>
      <c r="DQ252" s="68"/>
      <c r="DR252" s="68"/>
      <c r="DS252" s="68"/>
      <c r="DT252" s="68"/>
      <c r="DU252" s="68"/>
      <c r="DV252" s="68"/>
      <c r="DW252" s="68"/>
      <c r="DX252" s="68"/>
      <c r="DY252" s="68"/>
      <c r="DZ252" s="68"/>
      <c r="EA252" s="68"/>
      <c r="EB252" s="68"/>
      <c r="EC252" s="68"/>
      <c r="ED252" s="68"/>
      <c r="EE252" s="68"/>
      <c r="EF252" s="68"/>
      <c r="EG252" s="68"/>
      <c r="EH252" s="68"/>
      <c r="EI252" s="68"/>
      <c r="EJ252" s="68"/>
      <c r="EK252" s="68"/>
      <c r="EL252" s="68"/>
      <c r="EM252" s="68"/>
      <c r="EN252" s="68"/>
      <c r="EO252" s="68"/>
      <c r="EP252" s="68"/>
    </row>
    <row r="253" spans="1:146" s="78" customFormat="1" ht="11.25">
      <c r="A253" s="87" t="str">
        <f t="shared" si="39"/>
        <v>Miscellaneous Riders</v>
      </c>
      <c r="C253" s="146"/>
      <c r="D253" s="85"/>
      <c r="E253" s="231"/>
      <c r="F253" s="231"/>
      <c r="G253" s="231"/>
      <c r="H253" s="231"/>
      <c r="I253" s="231"/>
      <c r="J253" s="231"/>
      <c r="K253" s="231"/>
      <c r="L253" s="231"/>
      <c r="M253" s="231"/>
      <c r="N253" s="231"/>
      <c r="O253" s="231"/>
      <c r="P253" s="90"/>
      <c r="Q253" s="71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  <c r="AO253" s="68"/>
      <c r="AP253" s="68"/>
      <c r="AQ253" s="68"/>
      <c r="AR253" s="68"/>
      <c r="AS253" s="68"/>
      <c r="AT253" s="68"/>
      <c r="AU253" s="68"/>
      <c r="AV253" s="68"/>
      <c r="AW253" s="68"/>
      <c r="AX253" s="68"/>
      <c r="AY253" s="68"/>
      <c r="AZ253" s="68"/>
      <c r="BA253" s="68"/>
      <c r="BB253" s="68"/>
      <c r="BC253" s="68"/>
      <c r="BD253" s="68"/>
      <c r="BE253" s="68"/>
      <c r="BF253" s="68"/>
      <c r="BG253" s="68"/>
      <c r="BH253" s="68"/>
      <c r="BI253" s="68"/>
      <c r="BJ253" s="68"/>
      <c r="BK253" s="68"/>
      <c r="BL253" s="68"/>
      <c r="BM253" s="68"/>
      <c r="BN253" s="68"/>
      <c r="BO253" s="68"/>
      <c r="BP253" s="68"/>
      <c r="BQ253" s="68"/>
      <c r="BR253" s="68"/>
      <c r="BS253" s="68"/>
      <c r="BT253" s="68"/>
      <c r="BU253" s="68"/>
      <c r="BV253" s="68"/>
      <c r="BW253" s="68"/>
      <c r="BX253" s="68"/>
      <c r="BY253" s="68"/>
      <c r="BZ253" s="68"/>
      <c r="CA253" s="68"/>
      <c r="CB253" s="68"/>
      <c r="CC253" s="68"/>
      <c r="CD253" s="68"/>
      <c r="CE253" s="68"/>
      <c r="CF253" s="68"/>
      <c r="CG253" s="68"/>
      <c r="CH253" s="68"/>
      <c r="CI253" s="68"/>
      <c r="CJ253" s="68"/>
      <c r="CK253" s="68"/>
      <c r="CL253" s="68"/>
      <c r="CM253" s="68"/>
      <c r="CN253" s="68"/>
      <c r="CO253" s="68"/>
      <c r="CP253" s="68"/>
      <c r="CQ253" s="68"/>
      <c r="CR253" s="68"/>
      <c r="CS253" s="68"/>
      <c r="CT253" s="68"/>
      <c r="CU253" s="68"/>
      <c r="CV253" s="68"/>
      <c r="CW253" s="68"/>
      <c r="CX253" s="68"/>
      <c r="CY253" s="68"/>
      <c r="CZ253" s="68"/>
      <c r="DA253" s="68"/>
      <c r="DB253" s="68"/>
      <c r="DC253" s="68"/>
      <c r="DD253" s="68"/>
      <c r="DE253" s="68"/>
      <c r="DF253" s="68"/>
      <c r="DG253" s="68"/>
      <c r="DH253" s="68"/>
      <c r="DI253" s="68"/>
      <c r="DJ253" s="68"/>
      <c r="DK253" s="68"/>
      <c r="DL253" s="68"/>
      <c r="DM253" s="68"/>
      <c r="DN253" s="68"/>
      <c r="DO253" s="68"/>
      <c r="DP253" s="68"/>
      <c r="DQ253" s="68"/>
      <c r="DR253" s="68"/>
      <c r="DS253" s="68"/>
      <c r="DT253" s="68"/>
      <c r="DU253" s="68"/>
      <c r="DV253" s="68"/>
      <c r="DW253" s="68"/>
      <c r="DX253" s="68"/>
      <c r="DY253" s="68"/>
      <c r="DZ253" s="68"/>
      <c r="EA253" s="68"/>
      <c r="EB253" s="68"/>
      <c r="EC253" s="68"/>
      <c r="ED253" s="68"/>
      <c r="EE253" s="68"/>
      <c r="EF253" s="68"/>
      <c r="EG253" s="68"/>
      <c r="EH253" s="68"/>
      <c r="EI253" s="68"/>
      <c r="EJ253" s="68"/>
      <c r="EK253" s="68"/>
      <c r="EL253" s="68"/>
      <c r="EM253" s="68"/>
      <c r="EN253" s="68"/>
      <c r="EO253" s="68"/>
      <c r="EP253" s="68"/>
    </row>
    <row r="254" spans="1:146" s="78" customFormat="1" ht="11.25">
      <c r="A254" s="87" t="str">
        <f t="shared" si="39"/>
        <v>Miscellaneous RidersPRIMARY NCP</v>
      </c>
      <c r="B254" s="83">
        <v>6</v>
      </c>
      <c r="C254" s="87" t="s">
        <v>82</v>
      </c>
      <c r="D254" s="74" t="s">
        <v>5</v>
      </c>
      <c r="E254" s="124">
        <v>0</v>
      </c>
      <c r="F254" s="124">
        <v>0</v>
      </c>
      <c r="G254" s="124">
        <v>0</v>
      </c>
      <c r="H254" s="124">
        <v>0</v>
      </c>
      <c r="I254" s="124">
        <v>0</v>
      </c>
      <c r="J254" s="124">
        <v>0</v>
      </c>
      <c r="K254" s="124">
        <v>0</v>
      </c>
      <c r="L254" s="124">
        <v>0</v>
      </c>
      <c r="M254" s="124">
        <v>0</v>
      </c>
      <c r="N254" s="124">
        <v>0</v>
      </c>
      <c r="O254" s="124">
        <v>0</v>
      </c>
      <c r="P254" s="124">
        <v>0</v>
      </c>
      <c r="Q254" s="124">
        <f>SUM(E254:P254)</f>
        <v>0</v>
      </c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  <c r="AS254" s="68"/>
      <c r="AT254" s="68"/>
      <c r="AU254" s="68"/>
      <c r="AV254" s="68"/>
      <c r="AW254" s="68"/>
      <c r="AX254" s="68"/>
      <c r="AY254" s="68"/>
      <c r="AZ254" s="68"/>
      <c r="BA254" s="68"/>
      <c r="BB254" s="68"/>
      <c r="BC254" s="68"/>
      <c r="BD254" s="68"/>
      <c r="BE254" s="68"/>
      <c r="BF254" s="68"/>
      <c r="BG254" s="68"/>
      <c r="BH254" s="68"/>
      <c r="BI254" s="68"/>
      <c r="BJ254" s="68"/>
      <c r="BK254" s="68"/>
      <c r="BL254" s="68"/>
      <c r="BM254" s="68"/>
      <c r="BN254" s="68"/>
      <c r="BO254" s="68"/>
      <c r="BP254" s="68"/>
      <c r="BQ254" s="68"/>
      <c r="BR254" s="68"/>
      <c r="BS254" s="68"/>
      <c r="BT254" s="68"/>
      <c r="BU254" s="68"/>
      <c r="BV254" s="68"/>
      <c r="BW254" s="68"/>
      <c r="BX254" s="68"/>
      <c r="BY254" s="68"/>
      <c r="BZ254" s="68"/>
      <c r="CA254" s="68"/>
      <c r="CB254" s="68"/>
      <c r="CC254" s="68"/>
      <c r="CD254" s="68"/>
      <c r="CE254" s="68"/>
      <c r="CF254" s="68"/>
      <c r="CG254" s="68"/>
      <c r="CH254" s="68"/>
      <c r="CI254" s="68"/>
      <c r="CJ254" s="68"/>
      <c r="CK254" s="68"/>
      <c r="CL254" s="68"/>
      <c r="CM254" s="68"/>
      <c r="CN254" s="68"/>
      <c r="CO254" s="68"/>
      <c r="CP254" s="68"/>
      <c r="CQ254" s="68"/>
      <c r="CR254" s="68"/>
      <c r="CS254" s="68"/>
      <c r="CT254" s="68"/>
      <c r="CU254" s="68"/>
      <c r="CV254" s="68"/>
      <c r="CW254" s="68"/>
      <c r="CX254" s="68"/>
      <c r="CY254" s="68"/>
      <c r="CZ254" s="68"/>
      <c r="DA254" s="68"/>
      <c r="DB254" s="68"/>
      <c r="DC254" s="68"/>
      <c r="DD254" s="68"/>
      <c r="DE254" s="68"/>
      <c r="DF254" s="68"/>
      <c r="DG254" s="68"/>
      <c r="DH254" s="68"/>
      <c r="DI254" s="68"/>
      <c r="DJ254" s="68"/>
      <c r="DK254" s="68"/>
      <c r="DL254" s="68"/>
      <c r="DM254" s="68"/>
      <c r="DN254" s="68"/>
      <c r="DO254" s="68"/>
      <c r="DP254" s="68"/>
      <c r="DQ254" s="68"/>
      <c r="DR254" s="68"/>
      <c r="DS254" s="68"/>
      <c r="DT254" s="68"/>
      <c r="DU254" s="68"/>
      <c r="DV254" s="68"/>
      <c r="DW254" s="68"/>
      <c r="DX254" s="68"/>
      <c r="DY254" s="68"/>
      <c r="DZ254" s="68"/>
      <c r="EA254" s="68"/>
      <c r="EB254" s="68"/>
      <c r="EC254" s="68"/>
      <c r="ED254" s="68"/>
      <c r="EE254" s="68"/>
      <c r="EF254" s="68"/>
      <c r="EG254" s="68"/>
      <c r="EH254" s="68"/>
      <c r="EI254" s="68"/>
      <c r="EJ254" s="68"/>
      <c r="EK254" s="68"/>
      <c r="EL254" s="68"/>
      <c r="EM254" s="68"/>
      <c r="EN254" s="68"/>
      <c r="EO254" s="68"/>
      <c r="EP254" s="68"/>
    </row>
    <row r="255" spans="1:146" s="78" customFormat="1" ht="11.25">
      <c r="A255" s="87" t="str">
        <f t="shared" si="39"/>
        <v>Miscellaneous RidersPRIMARY 4CP</v>
      </c>
      <c r="B255" s="83">
        <v>7</v>
      </c>
      <c r="C255" s="87" t="s">
        <v>83</v>
      </c>
      <c r="D255" s="74" t="s">
        <v>5</v>
      </c>
      <c r="E255" s="124">
        <v>0</v>
      </c>
      <c r="F255" s="124">
        <v>0</v>
      </c>
      <c r="G255" s="124">
        <v>0</v>
      </c>
      <c r="H255" s="124">
        <v>0</v>
      </c>
      <c r="I255" s="124">
        <v>0</v>
      </c>
      <c r="J255" s="124">
        <v>0</v>
      </c>
      <c r="K255" s="124">
        <v>0</v>
      </c>
      <c r="L255" s="124">
        <v>0</v>
      </c>
      <c r="M255" s="124">
        <v>0</v>
      </c>
      <c r="N255" s="124">
        <v>0</v>
      </c>
      <c r="O255" s="124">
        <v>0</v>
      </c>
      <c r="P255" s="124">
        <v>0</v>
      </c>
      <c r="Q255" s="124">
        <f>SUM(E255:P255)</f>
        <v>0</v>
      </c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  <c r="AO255" s="68"/>
      <c r="AP255" s="68"/>
      <c r="AQ255" s="68"/>
      <c r="AR255" s="68"/>
      <c r="AS255" s="68"/>
      <c r="AT255" s="68"/>
      <c r="AU255" s="68"/>
      <c r="AV255" s="68"/>
      <c r="AW255" s="68"/>
      <c r="AX255" s="68"/>
      <c r="AY255" s="68"/>
      <c r="AZ255" s="68"/>
      <c r="BA255" s="68"/>
      <c r="BB255" s="68"/>
      <c r="BC255" s="68"/>
      <c r="BD255" s="68"/>
      <c r="BE255" s="68"/>
      <c r="BF255" s="68"/>
      <c r="BG255" s="68"/>
      <c r="BH255" s="68"/>
      <c r="BI255" s="68"/>
      <c r="BJ255" s="68"/>
      <c r="BK255" s="68"/>
      <c r="BL255" s="68"/>
      <c r="BM255" s="68"/>
      <c r="BN255" s="68"/>
      <c r="BO255" s="68"/>
      <c r="BP255" s="68"/>
      <c r="BQ255" s="68"/>
      <c r="BR255" s="68"/>
      <c r="BS255" s="68"/>
      <c r="BT255" s="68"/>
      <c r="BU255" s="68"/>
      <c r="BV255" s="68"/>
      <c r="BW255" s="68"/>
      <c r="BX255" s="68"/>
      <c r="BY255" s="68"/>
      <c r="BZ255" s="68"/>
      <c r="CA255" s="68"/>
      <c r="CB255" s="68"/>
      <c r="CC255" s="68"/>
      <c r="CD255" s="68"/>
      <c r="CE255" s="68"/>
      <c r="CF255" s="68"/>
      <c r="CG255" s="68"/>
      <c r="CH255" s="68"/>
      <c r="CI255" s="68"/>
      <c r="CJ255" s="68"/>
      <c r="CK255" s="68"/>
      <c r="CL255" s="68"/>
      <c r="CM255" s="68"/>
      <c r="CN255" s="68"/>
      <c r="CO255" s="68"/>
      <c r="CP255" s="68"/>
      <c r="CQ255" s="68"/>
      <c r="CR255" s="68"/>
      <c r="CS255" s="68"/>
      <c r="CT255" s="68"/>
      <c r="CU255" s="68"/>
      <c r="CV255" s="68"/>
      <c r="CW255" s="68"/>
      <c r="CX255" s="68"/>
      <c r="CY255" s="68"/>
      <c r="CZ255" s="68"/>
      <c r="DA255" s="68"/>
      <c r="DB255" s="68"/>
      <c r="DC255" s="68"/>
      <c r="DD255" s="68"/>
      <c r="DE255" s="68"/>
      <c r="DF255" s="68"/>
      <c r="DG255" s="68"/>
      <c r="DH255" s="68"/>
      <c r="DI255" s="68"/>
      <c r="DJ255" s="68"/>
      <c r="DK255" s="68"/>
      <c r="DL255" s="68"/>
      <c r="DM255" s="68"/>
      <c r="DN255" s="68"/>
      <c r="DO255" s="68"/>
      <c r="DP255" s="68"/>
      <c r="DQ255" s="68"/>
      <c r="DR255" s="68"/>
      <c r="DS255" s="68"/>
      <c r="DT255" s="68"/>
      <c r="DU255" s="68"/>
      <c r="DV255" s="68"/>
      <c r="DW255" s="68"/>
      <c r="DX255" s="68"/>
      <c r="DY255" s="68"/>
      <c r="DZ255" s="68"/>
      <c r="EA255" s="68"/>
      <c r="EB255" s="68"/>
      <c r="EC255" s="68"/>
      <c r="ED255" s="68"/>
      <c r="EE255" s="68"/>
      <c r="EF255" s="68"/>
      <c r="EG255" s="68"/>
      <c r="EH255" s="68"/>
      <c r="EI255" s="68"/>
      <c r="EJ255" s="68"/>
      <c r="EK255" s="68"/>
      <c r="EL255" s="68"/>
      <c r="EM255" s="68"/>
      <c r="EN255" s="68"/>
      <c r="EO255" s="68"/>
      <c r="EP255" s="68"/>
    </row>
    <row r="256" spans="1:146" s="78" customFormat="1" ht="11.25">
      <c r="A256" s="87" t="str">
        <f t="shared" si="39"/>
        <v>Miscellaneous RidersPRIMARY SUB NCP</v>
      </c>
      <c r="B256" s="83">
        <v>8</v>
      </c>
      <c r="C256" s="87" t="s">
        <v>148</v>
      </c>
      <c r="D256" s="74" t="s">
        <v>5</v>
      </c>
      <c r="E256" s="124">
        <v>0</v>
      </c>
      <c r="F256" s="124">
        <v>0</v>
      </c>
      <c r="G256" s="124">
        <v>0</v>
      </c>
      <c r="H256" s="124">
        <v>0</v>
      </c>
      <c r="I256" s="124">
        <v>0</v>
      </c>
      <c r="J256" s="124">
        <v>0</v>
      </c>
      <c r="K256" s="124">
        <v>0</v>
      </c>
      <c r="L256" s="124">
        <v>0</v>
      </c>
      <c r="M256" s="124">
        <v>0</v>
      </c>
      <c r="N256" s="124">
        <v>0</v>
      </c>
      <c r="O256" s="124">
        <v>0</v>
      </c>
      <c r="P256" s="124">
        <v>0</v>
      </c>
      <c r="Q256" s="124">
        <f t="shared" ref="Q256:Q257" si="41">SUM(E256:P256)</f>
        <v>0</v>
      </c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  <c r="AO256" s="68"/>
      <c r="AP256" s="68"/>
      <c r="AQ256" s="68"/>
      <c r="AR256" s="68"/>
      <c r="AS256" s="68"/>
      <c r="AT256" s="68"/>
      <c r="AU256" s="68"/>
      <c r="AV256" s="68"/>
      <c r="AW256" s="68"/>
      <c r="AX256" s="68"/>
      <c r="AY256" s="68"/>
      <c r="AZ256" s="68"/>
      <c r="BA256" s="68"/>
      <c r="BB256" s="68"/>
      <c r="BC256" s="68"/>
      <c r="BD256" s="68"/>
      <c r="BE256" s="68"/>
      <c r="BF256" s="68"/>
      <c r="BG256" s="68"/>
      <c r="BH256" s="68"/>
      <c r="BI256" s="68"/>
      <c r="BJ256" s="68"/>
      <c r="BK256" s="68"/>
      <c r="BL256" s="68"/>
      <c r="BM256" s="68"/>
      <c r="BN256" s="68"/>
      <c r="BO256" s="68"/>
      <c r="BP256" s="68"/>
      <c r="BQ256" s="68"/>
      <c r="BR256" s="68"/>
      <c r="BS256" s="68"/>
      <c r="BT256" s="68"/>
      <c r="BU256" s="68"/>
      <c r="BV256" s="68"/>
      <c r="BW256" s="68"/>
      <c r="BX256" s="68"/>
      <c r="BY256" s="68"/>
      <c r="BZ256" s="68"/>
      <c r="CA256" s="68"/>
      <c r="CB256" s="68"/>
      <c r="CC256" s="68"/>
      <c r="CD256" s="68"/>
      <c r="CE256" s="68"/>
      <c r="CF256" s="68"/>
      <c r="CG256" s="68"/>
      <c r="CH256" s="68"/>
      <c r="CI256" s="68"/>
      <c r="CJ256" s="68"/>
      <c r="CK256" s="68"/>
      <c r="CL256" s="68"/>
      <c r="CM256" s="68"/>
      <c r="CN256" s="68"/>
      <c r="CO256" s="68"/>
      <c r="CP256" s="68"/>
      <c r="CQ256" s="68"/>
      <c r="CR256" s="68"/>
      <c r="CS256" s="68"/>
      <c r="CT256" s="68"/>
      <c r="CU256" s="68"/>
      <c r="CV256" s="68"/>
      <c r="CW256" s="68"/>
      <c r="CX256" s="68"/>
      <c r="CY256" s="68"/>
      <c r="CZ256" s="68"/>
      <c r="DA256" s="68"/>
      <c r="DB256" s="68"/>
      <c r="DC256" s="68"/>
      <c r="DD256" s="68"/>
      <c r="DE256" s="68"/>
      <c r="DF256" s="68"/>
      <c r="DG256" s="68"/>
      <c r="DH256" s="68"/>
      <c r="DI256" s="68"/>
      <c r="DJ256" s="68"/>
      <c r="DK256" s="68"/>
      <c r="DL256" s="68"/>
      <c r="DM256" s="68"/>
      <c r="DN256" s="68"/>
      <c r="DO256" s="68"/>
      <c r="DP256" s="68"/>
      <c r="DQ256" s="68"/>
      <c r="DR256" s="68"/>
      <c r="DS256" s="68"/>
      <c r="DT256" s="68"/>
      <c r="DU256" s="68"/>
      <c r="DV256" s="68"/>
      <c r="DW256" s="68"/>
      <c r="DX256" s="68"/>
      <c r="DY256" s="68"/>
      <c r="DZ256" s="68"/>
      <c r="EA256" s="68"/>
      <c r="EB256" s="68"/>
      <c r="EC256" s="68"/>
      <c r="ED256" s="68"/>
      <c r="EE256" s="68"/>
      <c r="EF256" s="68"/>
      <c r="EG256" s="68"/>
      <c r="EH256" s="68"/>
      <c r="EI256" s="68"/>
      <c r="EJ256" s="68"/>
      <c r="EK256" s="68"/>
      <c r="EL256" s="68"/>
      <c r="EM256" s="68"/>
      <c r="EN256" s="68"/>
      <c r="EO256" s="68"/>
      <c r="EP256" s="68"/>
    </row>
    <row r="257" spans="1:146" s="78" customFormat="1" ht="11.25">
      <c r="A257" s="87" t="str">
        <f t="shared" si="39"/>
        <v>Miscellaneous RidersPRIMARY SUB 4CP</v>
      </c>
      <c r="B257" s="83">
        <v>9</v>
      </c>
      <c r="C257" s="87" t="s">
        <v>149</v>
      </c>
      <c r="D257" s="74" t="s">
        <v>5</v>
      </c>
      <c r="E257" s="124">
        <v>0</v>
      </c>
      <c r="F257" s="124">
        <v>0</v>
      </c>
      <c r="G257" s="124">
        <v>0</v>
      </c>
      <c r="H257" s="124">
        <v>0</v>
      </c>
      <c r="I257" s="124">
        <v>0</v>
      </c>
      <c r="J257" s="124">
        <v>0</v>
      </c>
      <c r="K257" s="124">
        <v>0</v>
      </c>
      <c r="L257" s="124">
        <v>0</v>
      </c>
      <c r="M257" s="124">
        <v>0</v>
      </c>
      <c r="N257" s="124">
        <v>0</v>
      </c>
      <c r="O257" s="124">
        <v>0</v>
      </c>
      <c r="P257" s="124">
        <v>0</v>
      </c>
      <c r="Q257" s="124">
        <f t="shared" si="41"/>
        <v>0</v>
      </c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  <c r="AO257" s="68"/>
      <c r="AP257" s="68"/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68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68"/>
      <c r="CY257" s="68"/>
      <c r="CZ257" s="68"/>
      <c r="DA257" s="68"/>
      <c r="DB257" s="68"/>
      <c r="DC257" s="68"/>
      <c r="DD257" s="68"/>
      <c r="DE257" s="68"/>
      <c r="DF257" s="68"/>
      <c r="DG257" s="68"/>
      <c r="DH257" s="68"/>
      <c r="DI257" s="68"/>
      <c r="DJ257" s="68"/>
      <c r="DK257" s="68"/>
      <c r="DL257" s="68"/>
      <c r="DM257" s="68"/>
      <c r="DN257" s="68"/>
      <c r="DO257" s="68"/>
      <c r="DP257" s="68"/>
      <c r="DQ257" s="68"/>
      <c r="DR257" s="68"/>
      <c r="DS257" s="68"/>
      <c r="DT257" s="68"/>
      <c r="DU257" s="68"/>
      <c r="DV257" s="68"/>
      <c r="DW257" s="68"/>
      <c r="DX257" s="68"/>
      <c r="DY257" s="68"/>
      <c r="DZ257" s="68"/>
      <c r="EA257" s="68"/>
      <c r="EB257" s="68"/>
      <c r="EC257" s="68"/>
      <c r="ED257" s="68"/>
      <c r="EE257" s="68"/>
      <c r="EF257" s="68"/>
      <c r="EG257" s="68"/>
      <c r="EH257" s="68"/>
      <c r="EI257" s="68"/>
      <c r="EJ257" s="68"/>
      <c r="EK257" s="68"/>
      <c r="EL257" s="68"/>
      <c r="EM257" s="68"/>
      <c r="EN257" s="68"/>
      <c r="EO257" s="68"/>
      <c r="EP257" s="68"/>
    </row>
    <row r="258" spans="1:146" s="78" customFormat="1" ht="11.25">
      <c r="A258" s="87" t="str">
        <f t="shared" si="39"/>
        <v>Miscellaneous RidersTOTAL PRIMARY</v>
      </c>
      <c r="B258" s="83">
        <v>10</v>
      </c>
      <c r="C258" s="78" t="s">
        <v>19</v>
      </c>
      <c r="D258" s="74"/>
      <c r="E258" s="233">
        <f>SUM(E254:E257)</f>
        <v>0</v>
      </c>
      <c r="F258" s="233">
        <f t="shared" ref="F258:Q258" si="42">SUM(F254:F257)</f>
        <v>0</v>
      </c>
      <c r="G258" s="233">
        <f t="shared" si="42"/>
        <v>0</v>
      </c>
      <c r="H258" s="233">
        <f t="shared" si="42"/>
        <v>0</v>
      </c>
      <c r="I258" s="233">
        <f t="shared" si="42"/>
        <v>0</v>
      </c>
      <c r="J258" s="233">
        <f t="shared" si="42"/>
        <v>0</v>
      </c>
      <c r="K258" s="233">
        <f t="shared" si="42"/>
        <v>0</v>
      </c>
      <c r="L258" s="233">
        <f t="shared" si="42"/>
        <v>0</v>
      </c>
      <c r="M258" s="233">
        <f t="shared" si="42"/>
        <v>0</v>
      </c>
      <c r="N258" s="233">
        <f t="shared" si="42"/>
        <v>0</v>
      </c>
      <c r="O258" s="233">
        <f t="shared" si="42"/>
        <v>0</v>
      </c>
      <c r="P258" s="233">
        <f t="shared" si="42"/>
        <v>0</v>
      </c>
      <c r="Q258" s="233">
        <f t="shared" si="42"/>
        <v>0</v>
      </c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  <c r="AO258" s="68"/>
      <c r="AP258" s="68"/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68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68"/>
      <c r="CY258" s="68"/>
      <c r="CZ258" s="68"/>
      <c r="DA258" s="68"/>
      <c r="DB258" s="68"/>
      <c r="DC258" s="68"/>
      <c r="DD258" s="68"/>
      <c r="DE258" s="68"/>
      <c r="DF258" s="68"/>
      <c r="DG258" s="68"/>
      <c r="DH258" s="68"/>
      <c r="DI258" s="68"/>
      <c r="DJ258" s="68"/>
      <c r="DK258" s="68"/>
      <c r="DL258" s="68"/>
      <c r="DM258" s="68"/>
      <c r="DN258" s="68"/>
      <c r="DO258" s="68"/>
      <c r="DP258" s="68"/>
      <c r="DQ258" s="68"/>
      <c r="DR258" s="68"/>
      <c r="DS258" s="68"/>
      <c r="DT258" s="68"/>
      <c r="DU258" s="68"/>
      <c r="DV258" s="68"/>
      <c r="DW258" s="68"/>
      <c r="DX258" s="68"/>
      <c r="DY258" s="68"/>
      <c r="DZ258" s="68"/>
      <c r="EA258" s="68"/>
      <c r="EB258" s="68"/>
      <c r="EC258" s="68"/>
      <c r="ED258" s="68"/>
      <c r="EE258" s="68"/>
      <c r="EF258" s="68"/>
      <c r="EG258" s="68"/>
      <c r="EH258" s="68"/>
      <c r="EI258" s="68"/>
      <c r="EJ258" s="68"/>
      <c r="EK258" s="68"/>
      <c r="EL258" s="68"/>
      <c r="EM258" s="68"/>
      <c r="EN258" s="68"/>
      <c r="EO258" s="68"/>
      <c r="EP258" s="68"/>
    </row>
    <row r="259" spans="1:146" s="78" customFormat="1" ht="11.25">
      <c r="A259" s="87" t="str">
        <f t="shared" si="39"/>
        <v>Miscellaneous Riders</v>
      </c>
      <c r="B259" s="83"/>
      <c r="D259" s="74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3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  <c r="AV259" s="68"/>
      <c r="AW259" s="68"/>
      <c r="AX259" s="68"/>
      <c r="AY259" s="68"/>
      <c r="AZ259" s="68"/>
      <c r="BA259" s="68"/>
      <c r="BB259" s="68"/>
      <c r="BC259" s="68"/>
      <c r="BD259" s="68"/>
      <c r="BE259" s="68"/>
      <c r="BF259" s="68"/>
      <c r="BG259" s="68"/>
      <c r="BH259" s="68"/>
      <c r="BI259" s="68"/>
      <c r="BJ259" s="68"/>
      <c r="BK259" s="68"/>
      <c r="BL259" s="68"/>
      <c r="BM259" s="68"/>
      <c r="BN259" s="68"/>
      <c r="BO259" s="68"/>
      <c r="BP259" s="68"/>
      <c r="BQ259" s="68"/>
      <c r="BR259" s="68"/>
      <c r="BS259" s="68"/>
      <c r="BT259" s="68"/>
      <c r="BU259" s="68"/>
      <c r="BV259" s="68"/>
      <c r="BW259" s="68"/>
      <c r="BX259" s="68"/>
      <c r="BY259" s="68"/>
      <c r="BZ259" s="68"/>
      <c r="CA259" s="68"/>
      <c r="CB259" s="68"/>
      <c r="CC259" s="68"/>
      <c r="CD259" s="68"/>
      <c r="CE259" s="68"/>
      <c r="CF259" s="68"/>
      <c r="CG259" s="68"/>
      <c r="CH259" s="68"/>
      <c r="CI259" s="68"/>
      <c r="CJ259" s="68"/>
      <c r="CK259" s="68"/>
      <c r="CL259" s="68"/>
      <c r="CM259" s="68"/>
      <c r="CN259" s="68"/>
      <c r="CO259" s="68"/>
      <c r="CP259" s="68"/>
      <c r="CQ259" s="68"/>
      <c r="CR259" s="68"/>
      <c r="CS259" s="68"/>
      <c r="CT259" s="68"/>
      <c r="CU259" s="68"/>
      <c r="CV259" s="68"/>
      <c r="CW259" s="68"/>
      <c r="CX259" s="68"/>
      <c r="CY259" s="68"/>
      <c r="CZ259" s="68"/>
      <c r="DA259" s="68"/>
      <c r="DB259" s="68"/>
      <c r="DC259" s="68"/>
      <c r="DD259" s="68"/>
      <c r="DE259" s="68"/>
      <c r="DF259" s="68"/>
      <c r="DG259" s="68"/>
      <c r="DH259" s="68"/>
      <c r="DI259" s="68"/>
      <c r="DJ259" s="68"/>
      <c r="DK259" s="68"/>
      <c r="DL259" s="68"/>
      <c r="DM259" s="68"/>
      <c r="DN259" s="68"/>
      <c r="DO259" s="68"/>
      <c r="DP259" s="68"/>
      <c r="DQ259" s="68"/>
      <c r="DR259" s="68"/>
      <c r="DS259" s="68"/>
      <c r="DT259" s="68"/>
      <c r="DU259" s="68"/>
      <c r="DV259" s="68"/>
      <c r="DW259" s="68"/>
      <c r="DX259" s="68"/>
      <c r="DY259" s="68"/>
      <c r="DZ259" s="68"/>
      <c r="EA259" s="68"/>
      <c r="EB259" s="68"/>
      <c r="EC259" s="68"/>
      <c r="ED259" s="68"/>
      <c r="EE259" s="68"/>
      <c r="EF259" s="68"/>
      <c r="EG259" s="68"/>
      <c r="EH259" s="68"/>
      <c r="EI259" s="68"/>
      <c r="EJ259" s="68"/>
      <c r="EK259" s="68"/>
      <c r="EL259" s="68"/>
      <c r="EM259" s="68"/>
      <c r="EN259" s="68"/>
      <c r="EO259" s="68"/>
      <c r="EP259" s="68"/>
    </row>
    <row r="260" spans="1:146" s="78" customFormat="1" ht="11.25">
      <c r="A260" s="87" t="str">
        <f t="shared" si="39"/>
        <v xml:space="preserve">Miscellaneous RidersTRANSMISSION </v>
      </c>
      <c r="B260" s="83">
        <v>11</v>
      </c>
      <c r="C260" s="96" t="s">
        <v>86</v>
      </c>
      <c r="D260" s="74" t="s">
        <v>6</v>
      </c>
      <c r="E260" s="233">
        <v>0</v>
      </c>
      <c r="F260" s="233">
        <v>0</v>
      </c>
      <c r="G260" s="233">
        <v>0</v>
      </c>
      <c r="H260" s="233">
        <v>0</v>
      </c>
      <c r="I260" s="233">
        <v>0</v>
      </c>
      <c r="J260" s="233">
        <v>0</v>
      </c>
      <c r="K260" s="233">
        <v>0</v>
      </c>
      <c r="L260" s="233">
        <v>0</v>
      </c>
      <c r="M260" s="233">
        <v>0</v>
      </c>
      <c r="N260" s="233">
        <v>0</v>
      </c>
      <c r="O260" s="233">
        <v>0</v>
      </c>
      <c r="P260" s="233">
        <v>0</v>
      </c>
      <c r="Q260" s="233">
        <v>0</v>
      </c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  <c r="AO260" s="68"/>
      <c r="AP260" s="68"/>
      <c r="AQ260" s="68"/>
      <c r="AR260" s="68"/>
      <c r="AS260" s="68"/>
      <c r="AT260" s="68"/>
      <c r="AU260" s="68"/>
      <c r="AV260" s="68"/>
      <c r="AW260" s="68"/>
      <c r="AX260" s="68"/>
      <c r="AY260" s="68"/>
      <c r="AZ260" s="68"/>
      <c r="BA260" s="68"/>
      <c r="BB260" s="68"/>
      <c r="BC260" s="68"/>
      <c r="BD260" s="68"/>
      <c r="BE260" s="68"/>
      <c r="BF260" s="68"/>
      <c r="BG260" s="68"/>
      <c r="BH260" s="68"/>
      <c r="BI260" s="68"/>
      <c r="BJ260" s="68"/>
      <c r="BK260" s="68"/>
      <c r="BL260" s="68"/>
      <c r="BM260" s="68"/>
      <c r="BN260" s="68"/>
      <c r="BO260" s="68"/>
      <c r="BP260" s="68"/>
      <c r="BQ260" s="68"/>
      <c r="BR260" s="68"/>
      <c r="BS260" s="68"/>
      <c r="BT260" s="68"/>
      <c r="BU260" s="68"/>
      <c r="BV260" s="68"/>
      <c r="BW260" s="68"/>
      <c r="BX260" s="68"/>
      <c r="BY260" s="68"/>
      <c r="BZ260" s="68"/>
      <c r="CA260" s="68"/>
      <c r="CB260" s="68"/>
      <c r="CC260" s="68"/>
      <c r="CD260" s="68"/>
      <c r="CE260" s="68"/>
      <c r="CF260" s="68"/>
      <c r="CG260" s="68"/>
      <c r="CH260" s="68"/>
      <c r="CI260" s="68"/>
      <c r="CJ260" s="68"/>
      <c r="CK260" s="68"/>
      <c r="CL260" s="68"/>
      <c r="CM260" s="68"/>
      <c r="CN260" s="68"/>
      <c r="CO260" s="68"/>
      <c r="CP260" s="68"/>
      <c r="CQ260" s="68"/>
      <c r="CR260" s="68"/>
      <c r="CS260" s="68"/>
      <c r="CT260" s="68"/>
      <c r="CU260" s="68"/>
      <c r="CV260" s="68"/>
      <c r="CW260" s="68"/>
      <c r="CX260" s="68"/>
      <c r="CY260" s="68"/>
      <c r="CZ260" s="68"/>
      <c r="DA260" s="68"/>
      <c r="DB260" s="68"/>
      <c r="DC260" s="68"/>
      <c r="DD260" s="68"/>
      <c r="DE260" s="68"/>
      <c r="DF260" s="68"/>
      <c r="DG260" s="68"/>
      <c r="DH260" s="68"/>
      <c r="DI260" s="68"/>
      <c r="DJ260" s="68"/>
      <c r="DK260" s="68"/>
      <c r="DL260" s="68"/>
      <c r="DM260" s="68"/>
      <c r="DN260" s="68"/>
      <c r="DO260" s="68"/>
      <c r="DP260" s="68"/>
      <c r="DQ260" s="68"/>
      <c r="DR260" s="68"/>
      <c r="DS260" s="68"/>
      <c r="DT260" s="68"/>
      <c r="DU260" s="68"/>
      <c r="DV260" s="68"/>
      <c r="DW260" s="68"/>
      <c r="DX260" s="68"/>
      <c r="DY260" s="68"/>
      <c r="DZ260" s="68"/>
      <c r="EA260" s="68"/>
      <c r="EB260" s="68"/>
      <c r="EC260" s="68"/>
      <c r="ED260" s="68"/>
      <c r="EE260" s="68"/>
      <c r="EF260" s="68"/>
      <c r="EG260" s="68"/>
      <c r="EH260" s="68"/>
      <c r="EI260" s="68"/>
      <c r="EJ260" s="68"/>
      <c r="EK260" s="68"/>
      <c r="EL260" s="68"/>
      <c r="EM260" s="68"/>
      <c r="EN260" s="68"/>
      <c r="EO260" s="68"/>
      <c r="EP260" s="68"/>
    </row>
    <row r="261" spans="1:146" s="78" customFormat="1" ht="11.25">
      <c r="A261" s="87" t="str">
        <f t="shared" si="39"/>
        <v>Miscellaneous Riders</v>
      </c>
      <c r="D261" s="85"/>
      <c r="E261" s="231"/>
      <c r="F261" s="231"/>
      <c r="G261" s="231"/>
      <c r="H261" s="231"/>
      <c r="I261" s="231"/>
      <c r="J261" s="231"/>
      <c r="K261" s="231"/>
      <c r="L261" s="231"/>
      <c r="M261" s="231"/>
      <c r="N261" s="231"/>
      <c r="O261" s="231"/>
      <c r="P261" s="231"/>
      <c r="Q261" s="71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  <c r="AO261" s="68"/>
      <c r="AP261" s="68"/>
      <c r="AQ261" s="68"/>
      <c r="AR261" s="68"/>
      <c r="AS261" s="68"/>
      <c r="AT261" s="68"/>
      <c r="AU261" s="68"/>
      <c r="AV261" s="68"/>
      <c r="AW261" s="68"/>
      <c r="AX261" s="68"/>
      <c r="AY261" s="68"/>
      <c r="AZ261" s="68"/>
      <c r="BA261" s="68"/>
      <c r="BB261" s="68"/>
      <c r="BC261" s="68"/>
      <c r="BD261" s="68"/>
      <c r="BE261" s="68"/>
      <c r="BF261" s="68"/>
      <c r="BG261" s="68"/>
      <c r="BH261" s="68"/>
      <c r="BI261" s="68"/>
      <c r="BJ261" s="68"/>
      <c r="BK261" s="68"/>
      <c r="BL261" s="68"/>
      <c r="BM261" s="68"/>
      <c r="BN261" s="68"/>
      <c r="BO261" s="68"/>
      <c r="BP261" s="68"/>
      <c r="BQ261" s="68"/>
      <c r="BR261" s="68"/>
      <c r="BS261" s="68"/>
      <c r="BT261" s="68"/>
      <c r="BU261" s="68"/>
      <c r="BV261" s="68"/>
      <c r="BW261" s="68"/>
      <c r="BX261" s="68"/>
      <c r="BY261" s="68"/>
      <c r="BZ261" s="68"/>
      <c r="CA261" s="68"/>
      <c r="CB261" s="68"/>
      <c r="CC261" s="68"/>
      <c r="CD261" s="68"/>
      <c r="CE261" s="68"/>
      <c r="CF261" s="68"/>
      <c r="CG261" s="68"/>
      <c r="CH261" s="68"/>
      <c r="CI261" s="68"/>
      <c r="CJ261" s="68"/>
      <c r="CK261" s="68"/>
      <c r="CL261" s="68"/>
      <c r="CM261" s="68"/>
      <c r="CN261" s="68"/>
      <c r="CO261" s="68"/>
      <c r="CP261" s="68"/>
      <c r="CQ261" s="68"/>
      <c r="CR261" s="68"/>
      <c r="CS261" s="68"/>
      <c r="CT261" s="68"/>
      <c r="CU261" s="68"/>
      <c r="CV261" s="68"/>
      <c r="CW261" s="68"/>
      <c r="CX261" s="68"/>
      <c r="CY261" s="68"/>
      <c r="CZ261" s="68"/>
      <c r="DA261" s="68"/>
      <c r="DB261" s="68"/>
      <c r="DC261" s="68"/>
      <c r="DD261" s="68"/>
      <c r="DE261" s="68"/>
      <c r="DF261" s="68"/>
      <c r="DG261" s="68"/>
      <c r="DH261" s="68"/>
      <c r="DI261" s="68"/>
      <c r="DJ261" s="68"/>
      <c r="DK261" s="68"/>
      <c r="DL261" s="68"/>
      <c r="DM261" s="68"/>
      <c r="DN261" s="68"/>
      <c r="DO261" s="68"/>
      <c r="DP261" s="68"/>
      <c r="DQ261" s="68"/>
      <c r="DR261" s="68"/>
      <c r="DS261" s="68"/>
      <c r="DT261" s="68"/>
      <c r="DU261" s="68"/>
      <c r="DV261" s="68"/>
      <c r="DW261" s="68"/>
      <c r="DX261" s="68"/>
      <c r="DY261" s="68"/>
      <c r="DZ261" s="68"/>
      <c r="EA261" s="68"/>
      <c r="EB261" s="68"/>
      <c r="EC261" s="68"/>
      <c r="ED261" s="68"/>
      <c r="EE261" s="68"/>
      <c r="EF261" s="68"/>
      <c r="EG261" s="68"/>
      <c r="EH261" s="68"/>
      <c r="EI261" s="68"/>
      <c r="EJ261" s="68"/>
      <c r="EK261" s="68"/>
      <c r="EL261" s="68"/>
      <c r="EM261" s="68"/>
      <c r="EN261" s="68"/>
      <c r="EO261" s="68"/>
      <c r="EP261" s="68"/>
    </row>
    <row r="262" spans="1:146" s="78" customFormat="1" ht="11.25">
      <c r="A262" s="87" t="str">
        <f t="shared" si="39"/>
        <v>Miscellaneous RidersLIGHTING</v>
      </c>
      <c r="B262" s="83">
        <v>12</v>
      </c>
      <c r="C262" s="68" t="s">
        <v>21</v>
      </c>
      <c r="D262" s="74" t="s">
        <v>4</v>
      </c>
      <c r="E262" s="90">
        <v>0</v>
      </c>
      <c r="F262" s="90">
        <v>4.01</v>
      </c>
      <c r="G262" s="90">
        <v>0.82000000000000006</v>
      </c>
      <c r="H262" s="90">
        <v>0</v>
      </c>
      <c r="I262" s="90">
        <v>30.979999999999997</v>
      </c>
      <c r="J262" s="90">
        <v>1.32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f>SUM(E262:P262)</f>
        <v>37.129999999999995</v>
      </c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  <c r="AO262" s="68"/>
      <c r="AP262" s="68"/>
      <c r="AQ262" s="68"/>
      <c r="AR262" s="68"/>
      <c r="AS262" s="68"/>
      <c r="AT262" s="68"/>
      <c r="AU262" s="68"/>
      <c r="AV262" s="68"/>
      <c r="AW262" s="68"/>
      <c r="AX262" s="68"/>
      <c r="AY262" s="68"/>
      <c r="AZ262" s="68"/>
      <c r="BA262" s="68"/>
      <c r="BB262" s="68"/>
      <c r="BC262" s="68"/>
      <c r="BD262" s="68"/>
      <c r="BE262" s="68"/>
      <c r="BF262" s="68"/>
      <c r="BG262" s="68"/>
      <c r="BH262" s="68"/>
      <c r="BI262" s="68"/>
      <c r="BJ262" s="68"/>
      <c r="BK262" s="68"/>
      <c r="BL262" s="68"/>
      <c r="BM262" s="68"/>
      <c r="BN262" s="68"/>
      <c r="BO262" s="68"/>
      <c r="BP262" s="68"/>
      <c r="BQ262" s="68"/>
      <c r="BR262" s="68"/>
      <c r="BS262" s="68"/>
      <c r="BT262" s="68"/>
      <c r="BU262" s="68"/>
      <c r="BV262" s="68"/>
      <c r="BW262" s="68"/>
      <c r="BX262" s="68"/>
      <c r="BY262" s="68"/>
      <c r="BZ262" s="68"/>
      <c r="CA262" s="68"/>
      <c r="CB262" s="68"/>
      <c r="CC262" s="68"/>
      <c r="CD262" s="68"/>
      <c r="CE262" s="68"/>
      <c r="CF262" s="68"/>
      <c r="CG262" s="68"/>
      <c r="CH262" s="68"/>
      <c r="CI262" s="68"/>
      <c r="CJ262" s="68"/>
      <c r="CK262" s="68"/>
      <c r="CL262" s="68"/>
      <c r="CM262" s="68"/>
      <c r="CN262" s="68"/>
      <c r="CO262" s="68"/>
      <c r="CP262" s="68"/>
      <c r="CQ262" s="68"/>
      <c r="CR262" s="68"/>
      <c r="CS262" s="68"/>
      <c r="CT262" s="68"/>
      <c r="CU262" s="68"/>
      <c r="CV262" s="68"/>
      <c r="CW262" s="68"/>
      <c r="CX262" s="68"/>
      <c r="CY262" s="68"/>
      <c r="CZ262" s="68"/>
      <c r="DA262" s="68"/>
      <c r="DB262" s="68"/>
      <c r="DC262" s="68"/>
      <c r="DD262" s="68"/>
      <c r="DE262" s="68"/>
      <c r="DF262" s="68"/>
      <c r="DG262" s="68"/>
      <c r="DH262" s="68"/>
      <c r="DI262" s="68"/>
      <c r="DJ262" s="68"/>
      <c r="DK262" s="68"/>
      <c r="DL262" s="68"/>
      <c r="DM262" s="68"/>
      <c r="DN262" s="68"/>
      <c r="DO262" s="68"/>
      <c r="DP262" s="68"/>
      <c r="DQ262" s="68"/>
      <c r="DR262" s="68"/>
      <c r="DS262" s="68"/>
      <c r="DT262" s="68"/>
      <c r="DU262" s="68"/>
      <c r="DV262" s="68"/>
      <c r="DW262" s="68"/>
      <c r="DX262" s="68"/>
      <c r="DY262" s="68"/>
      <c r="DZ262" s="68"/>
      <c r="EA262" s="68"/>
      <c r="EB262" s="68"/>
      <c r="EC262" s="68"/>
      <c r="ED262" s="68"/>
      <c r="EE262" s="68"/>
      <c r="EF262" s="68"/>
      <c r="EG262" s="68"/>
      <c r="EH262" s="68"/>
      <c r="EI262" s="68"/>
      <c r="EJ262" s="68"/>
      <c r="EK262" s="68"/>
      <c r="EL262" s="68"/>
      <c r="EM262" s="68"/>
      <c r="EN262" s="68"/>
      <c r="EO262" s="68"/>
      <c r="EP262" s="68"/>
    </row>
    <row r="263" spans="1:146" s="78" customFormat="1" ht="11.25">
      <c r="A263" s="87" t="str">
        <f t="shared" si="39"/>
        <v>Miscellaneous Riders</v>
      </c>
      <c r="B263" s="83"/>
      <c r="D263" s="85"/>
      <c r="E263" s="231"/>
      <c r="F263" s="231"/>
      <c r="G263" s="231"/>
      <c r="H263" s="231"/>
      <c r="I263" s="231"/>
      <c r="J263" s="231"/>
      <c r="K263" s="231"/>
      <c r="L263" s="231"/>
      <c r="M263" s="231"/>
      <c r="N263" s="231"/>
      <c r="O263" s="231"/>
      <c r="P263" s="90"/>
      <c r="Q263" s="71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  <c r="AO263" s="68"/>
      <c r="AP263" s="68"/>
      <c r="AQ263" s="68"/>
      <c r="AR263" s="68"/>
      <c r="AS263" s="68"/>
      <c r="AT263" s="68"/>
      <c r="AU263" s="68"/>
      <c r="AV263" s="68"/>
      <c r="AW263" s="68"/>
      <c r="AX263" s="68"/>
      <c r="AY263" s="68"/>
      <c r="AZ263" s="68"/>
      <c r="BA263" s="68"/>
      <c r="BB263" s="68"/>
      <c r="BC263" s="68"/>
      <c r="BD263" s="68"/>
      <c r="BE263" s="68"/>
      <c r="BF263" s="68"/>
      <c r="BG263" s="68"/>
      <c r="BH263" s="68"/>
      <c r="BI263" s="68"/>
      <c r="BJ263" s="68"/>
      <c r="BK263" s="68"/>
      <c r="BL263" s="68"/>
      <c r="BM263" s="68"/>
      <c r="BN263" s="68"/>
      <c r="BO263" s="68"/>
      <c r="BP263" s="68"/>
      <c r="BQ263" s="68"/>
      <c r="BR263" s="68"/>
      <c r="BS263" s="68"/>
      <c r="BT263" s="68"/>
      <c r="BU263" s="68"/>
      <c r="BV263" s="68"/>
      <c r="BW263" s="68"/>
      <c r="BX263" s="68"/>
      <c r="BY263" s="68"/>
      <c r="BZ263" s="68"/>
      <c r="CA263" s="68"/>
      <c r="CB263" s="68"/>
      <c r="CC263" s="68"/>
      <c r="CD263" s="68"/>
      <c r="CE263" s="68"/>
      <c r="CF263" s="68"/>
      <c r="CG263" s="68"/>
      <c r="CH263" s="68"/>
      <c r="CI263" s="68"/>
      <c r="CJ263" s="68"/>
      <c r="CK263" s="68"/>
      <c r="CL263" s="68"/>
      <c r="CM263" s="68"/>
      <c r="CN263" s="68"/>
      <c r="CO263" s="68"/>
      <c r="CP263" s="68"/>
      <c r="CQ263" s="68"/>
      <c r="CR263" s="68"/>
      <c r="CS263" s="68"/>
      <c r="CT263" s="68"/>
      <c r="CU263" s="68"/>
      <c r="CV263" s="68"/>
      <c r="CW263" s="68"/>
      <c r="CX263" s="68"/>
      <c r="CY263" s="68"/>
      <c r="CZ263" s="68"/>
      <c r="DA263" s="68"/>
      <c r="DB263" s="68"/>
      <c r="DC263" s="68"/>
      <c r="DD263" s="68"/>
      <c r="DE263" s="68"/>
      <c r="DF263" s="68"/>
      <c r="DG263" s="68"/>
      <c r="DH263" s="68"/>
      <c r="DI263" s="68"/>
      <c r="DJ263" s="68"/>
      <c r="DK263" s="68"/>
      <c r="DL263" s="68"/>
      <c r="DM263" s="68"/>
      <c r="DN263" s="68"/>
      <c r="DO263" s="68"/>
      <c r="DP263" s="68"/>
      <c r="DQ263" s="68"/>
      <c r="DR263" s="68"/>
      <c r="DS263" s="68"/>
      <c r="DT263" s="68"/>
      <c r="DU263" s="68"/>
      <c r="DV263" s="68"/>
      <c r="DW263" s="68"/>
      <c r="DX263" s="68"/>
      <c r="DY263" s="68"/>
      <c r="DZ263" s="68"/>
      <c r="EA263" s="68"/>
      <c r="EB263" s="68"/>
      <c r="EC263" s="68"/>
      <c r="ED263" s="68"/>
      <c r="EE263" s="68"/>
      <c r="EF263" s="68"/>
      <c r="EG263" s="68"/>
      <c r="EH263" s="68"/>
      <c r="EI263" s="68"/>
      <c r="EJ263" s="68"/>
      <c r="EK263" s="68"/>
      <c r="EL263" s="68"/>
      <c r="EM263" s="68"/>
      <c r="EN263" s="68"/>
      <c r="EO263" s="68"/>
      <c r="EP263" s="68"/>
    </row>
    <row r="264" spans="1:146" s="78" customFormat="1" ht="11.25">
      <c r="A264" s="87" t="str">
        <f t="shared" si="39"/>
        <v>Miscellaneous RidersTOTAL RETAIL</v>
      </c>
      <c r="B264" s="83">
        <v>13</v>
      </c>
      <c r="C264" s="114" t="s">
        <v>22</v>
      </c>
      <c r="D264" s="212"/>
      <c r="E264" s="234">
        <f>+E246+E248+E252+E258+E260+E262</f>
        <v>6</v>
      </c>
      <c r="F264" s="234">
        <f t="shared" ref="F264:Q264" si="43">+F246+F248+F252+F258+F260+F262</f>
        <v>7.64</v>
      </c>
      <c r="G264" s="234">
        <f t="shared" si="43"/>
        <v>0.82000000000000006</v>
      </c>
      <c r="H264" s="234">
        <f t="shared" si="43"/>
        <v>0</v>
      </c>
      <c r="I264" s="234">
        <f t="shared" si="43"/>
        <v>30.979999999999997</v>
      </c>
      <c r="J264" s="234">
        <f t="shared" si="43"/>
        <v>1.32</v>
      </c>
      <c r="K264" s="234">
        <f t="shared" si="43"/>
        <v>1.29</v>
      </c>
      <c r="L264" s="234">
        <f t="shared" si="43"/>
        <v>0</v>
      </c>
      <c r="M264" s="234">
        <f t="shared" si="43"/>
        <v>0</v>
      </c>
      <c r="N264" s="234">
        <f t="shared" si="43"/>
        <v>0</v>
      </c>
      <c r="O264" s="234">
        <f t="shared" si="43"/>
        <v>0</v>
      </c>
      <c r="P264" s="234">
        <f t="shared" si="43"/>
        <v>0</v>
      </c>
      <c r="Q264" s="234">
        <f t="shared" si="43"/>
        <v>48.05</v>
      </c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  <c r="AV264" s="68"/>
      <c r="AW264" s="68"/>
      <c r="AX264" s="68"/>
      <c r="AY264" s="68"/>
      <c r="AZ264" s="68"/>
      <c r="BA264" s="68"/>
      <c r="BB264" s="68"/>
      <c r="BC264" s="68"/>
      <c r="BD264" s="68"/>
      <c r="BE264" s="68"/>
      <c r="BF264" s="68"/>
      <c r="BG264" s="68"/>
      <c r="BH264" s="68"/>
      <c r="BI264" s="68"/>
      <c r="BJ264" s="68"/>
      <c r="BK264" s="68"/>
      <c r="BL264" s="68"/>
      <c r="BM264" s="68"/>
      <c r="BN264" s="68"/>
      <c r="BO264" s="68"/>
      <c r="BP264" s="68"/>
      <c r="BQ264" s="68"/>
      <c r="BR264" s="68"/>
      <c r="BS264" s="68"/>
      <c r="BT264" s="68"/>
      <c r="BU264" s="68"/>
      <c r="BV264" s="68"/>
      <c r="BW264" s="68"/>
      <c r="BX264" s="68"/>
      <c r="BY264" s="68"/>
      <c r="BZ264" s="68"/>
      <c r="CA264" s="68"/>
      <c r="CB264" s="68"/>
      <c r="CC264" s="68"/>
      <c r="CD264" s="68"/>
      <c r="CE264" s="68"/>
      <c r="CF264" s="68"/>
      <c r="CG264" s="68"/>
      <c r="CH264" s="68"/>
      <c r="CI264" s="68"/>
      <c r="CJ264" s="68"/>
      <c r="CK264" s="68"/>
      <c r="CL264" s="68"/>
      <c r="CM264" s="68"/>
      <c r="CN264" s="68"/>
      <c r="CO264" s="68"/>
      <c r="CP264" s="68"/>
      <c r="CQ264" s="68"/>
      <c r="CR264" s="68"/>
      <c r="CS264" s="68"/>
      <c r="CT264" s="68"/>
      <c r="CU264" s="68"/>
      <c r="CV264" s="68"/>
      <c r="CW264" s="68"/>
      <c r="CX264" s="68"/>
      <c r="CY264" s="68"/>
      <c r="CZ264" s="68"/>
      <c r="DA264" s="68"/>
      <c r="DB264" s="68"/>
      <c r="DC264" s="68"/>
      <c r="DD264" s="68"/>
      <c r="DE264" s="68"/>
      <c r="DF264" s="68"/>
      <c r="DG264" s="68"/>
      <c r="DH264" s="68"/>
      <c r="DI264" s="68"/>
      <c r="DJ264" s="68"/>
      <c r="DK264" s="68"/>
      <c r="DL264" s="68"/>
      <c r="DM264" s="68"/>
      <c r="DN264" s="68"/>
      <c r="DO264" s="68"/>
      <c r="DP264" s="68"/>
      <c r="DQ264" s="68"/>
      <c r="DR264" s="68"/>
      <c r="DS264" s="68"/>
      <c r="DT264" s="68"/>
      <c r="DU264" s="68"/>
      <c r="DV264" s="68"/>
      <c r="DW264" s="68"/>
      <c r="DX264" s="68"/>
      <c r="DY264" s="68"/>
      <c r="DZ264" s="68"/>
      <c r="EA264" s="68"/>
      <c r="EB264" s="68"/>
      <c r="EC264" s="68"/>
      <c r="ED264" s="68"/>
      <c r="EE264" s="68"/>
      <c r="EF264" s="68"/>
      <c r="EG264" s="68"/>
      <c r="EH264" s="68"/>
      <c r="EI264" s="68"/>
      <c r="EJ264" s="68"/>
      <c r="EK264" s="68"/>
      <c r="EL264" s="68"/>
      <c r="EM264" s="68"/>
      <c r="EN264" s="68"/>
      <c r="EO264" s="68"/>
      <c r="EP264" s="68"/>
    </row>
    <row r="265" spans="1:146" s="78" customFormat="1" ht="11.25">
      <c r="A265" s="87" t="str">
        <f t="shared" si="39"/>
        <v>Miscellaneous Riders</v>
      </c>
      <c r="C265" s="212"/>
      <c r="D265" s="212"/>
      <c r="E265" s="231"/>
      <c r="F265" s="231"/>
      <c r="G265" s="231"/>
      <c r="H265" s="231"/>
      <c r="I265" s="231"/>
      <c r="J265" s="231"/>
      <c r="K265" s="231"/>
      <c r="L265" s="231"/>
      <c r="M265" s="231"/>
      <c r="N265" s="231"/>
      <c r="O265" s="231"/>
      <c r="P265" s="90"/>
      <c r="Q265" s="93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  <c r="AO265" s="68"/>
      <c r="AP265" s="68"/>
      <c r="AQ265" s="68"/>
      <c r="AR265" s="68"/>
      <c r="AS265" s="68"/>
      <c r="AT265" s="68"/>
      <c r="AU265" s="68"/>
      <c r="AV265" s="68"/>
      <c r="AW265" s="68"/>
      <c r="AX265" s="68"/>
      <c r="AY265" s="68"/>
      <c r="AZ265" s="68"/>
      <c r="BA265" s="68"/>
      <c r="BB265" s="68"/>
      <c r="BC265" s="68"/>
      <c r="BD265" s="68"/>
      <c r="BE265" s="68"/>
      <c r="BF265" s="68"/>
      <c r="BG265" s="68"/>
      <c r="BH265" s="68"/>
      <c r="BI265" s="68"/>
      <c r="BJ265" s="68"/>
      <c r="BK265" s="68"/>
      <c r="BL265" s="68"/>
      <c r="BM265" s="68"/>
      <c r="BN265" s="68"/>
      <c r="BO265" s="68"/>
      <c r="BP265" s="68"/>
      <c r="BQ265" s="68"/>
      <c r="BR265" s="68"/>
      <c r="BS265" s="68"/>
      <c r="BT265" s="68"/>
      <c r="BU265" s="68"/>
      <c r="BV265" s="68"/>
      <c r="BW265" s="68"/>
      <c r="BX265" s="68"/>
      <c r="BY265" s="68"/>
      <c r="BZ265" s="68"/>
      <c r="CA265" s="68"/>
      <c r="CB265" s="68"/>
      <c r="CC265" s="68"/>
      <c r="CD265" s="68"/>
      <c r="CE265" s="68"/>
      <c r="CF265" s="68"/>
      <c r="CG265" s="68"/>
      <c r="CH265" s="68"/>
      <c r="CI265" s="68"/>
      <c r="CJ265" s="68"/>
      <c r="CK265" s="68"/>
      <c r="CL265" s="68"/>
      <c r="CM265" s="68"/>
      <c r="CN265" s="68"/>
      <c r="CO265" s="68"/>
      <c r="CP265" s="68"/>
      <c r="CQ265" s="68"/>
      <c r="CR265" s="68"/>
      <c r="CS265" s="68"/>
      <c r="CT265" s="68"/>
      <c r="CU265" s="68"/>
      <c r="CV265" s="68"/>
      <c r="CW265" s="68"/>
      <c r="CX265" s="68"/>
      <c r="CY265" s="68"/>
      <c r="CZ265" s="68"/>
      <c r="DA265" s="68"/>
      <c r="DB265" s="68"/>
      <c r="DC265" s="68"/>
      <c r="DD265" s="68"/>
      <c r="DE265" s="68"/>
      <c r="DF265" s="68"/>
      <c r="DG265" s="68"/>
      <c r="DH265" s="68"/>
      <c r="DI265" s="68"/>
      <c r="DJ265" s="68"/>
      <c r="DK265" s="68"/>
      <c r="DL265" s="68"/>
      <c r="DM265" s="68"/>
      <c r="DN265" s="68"/>
      <c r="DO265" s="68"/>
      <c r="DP265" s="68"/>
      <c r="DQ265" s="68"/>
      <c r="DR265" s="68"/>
      <c r="DS265" s="68"/>
      <c r="DT265" s="68"/>
      <c r="DU265" s="68"/>
      <c r="DV265" s="68"/>
      <c r="DW265" s="68"/>
      <c r="DX265" s="68"/>
      <c r="DY265" s="68"/>
      <c r="DZ265" s="68"/>
      <c r="EA265" s="68"/>
      <c r="EB265" s="68"/>
      <c r="EC265" s="68"/>
      <c r="ED265" s="68"/>
      <c r="EE265" s="68"/>
      <c r="EF265" s="68"/>
      <c r="EG265" s="68"/>
      <c r="EH265" s="68"/>
      <c r="EI265" s="68"/>
      <c r="EJ265" s="68"/>
      <c r="EK265" s="68"/>
      <c r="EL265" s="68"/>
      <c r="EM265" s="68"/>
      <c r="EN265" s="68"/>
      <c r="EO265" s="68"/>
      <c r="EP265" s="68"/>
    </row>
    <row r="266" spans="1:146" s="78" customFormat="1" ht="11.25">
      <c r="A266" s="87" t="str">
        <f t="shared" si="39"/>
        <v>Miscellaneous Riders</v>
      </c>
      <c r="B266" s="83">
        <v>12</v>
      </c>
      <c r="C266" s="89"/>
      <c r="D266" s="74"/>
      <c r="E266" s="124"/>
      <c r="F266" s="124"/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  <c r="Q266" s="103"/>
      <c r="R266" s="89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  <c r="AO266" s="68"/>
      <c r="AP266" s="68"/>
      <c r="AQ266" s="68"/>
      <c r="AR266" s="68"/>
      <c r="AS266" s="68"/>
      <c r="AT266" s="68"/>
      <c r="AU266" s="68"/>
      <c r="AV266" s="68"/>
      <c r="AW266" s="68"/>
      <c r="AX266" s="68"/>
      <c r="AY266" s="68"/>
      <c r="AZ266" s="68"/>
      <c r="BA266" s="68"/>
      <c r="BB266" s="68"/>
      <c r="BC266" s="68"/>
      <c r="BD266" s="68"/>
      <c r="BE266" s="68"/>
      <c r="BF266" s="68"/>
      <c r="BG266" s="68"/>
      <c r="BH266" s="68"/>
      <c r="BI266" s="68"/>
      <c r="BJ266" s="68"/>
      <c r="BK266" s="68"/>
      <c r="BL266" s="68"/>
      <c r="BM266" s="68"/>
      <c r="BN266" s="68"/>
      <c r="BO266" s="68"/>
      <c r="BP266" s="68"/>
      <c r="BQ266" s="68"/>
      <c r="BR266" s="68"/>
      <c r="BS266" s="68"/>
      <c r="BT266" s="68"/>
      <c r="BU266" s="68"/>
      <c r="BV266" s="68"/>
      <c r="BW266" s="68"/>
      <c r="BX266" s="68"/>
      <c r="BY266" s="68"/>
      <c r="BZ266" s="68"/>
      <c r="CA266" s="68"/>
      <c r="CB266" s="68"/>
      <c r="CC266" s="68"/>
      <c r="CD266" s="68"/>
      <c r="CE266" s="68"/>
      <c r="CF266" s="68"/>
      <c r="CG266" s="68"/>
      <c r="CH266" s="68"/>
      <c r="CI266" s="68"/>
      <c r="CJ266" s="68"/>
      <c r="CK266" s="68"/>
      <c r="CL266" s="68"/>
      <c r="CM266" s="68"/>
      <c r="CN266" s="68"/>
      <c r="CO266" s="68"/>
      <c r="CP266" s="68"/>
      <c r="CQ266" s="68"/>
      <c r="CR266" s="68"/>
      <c r="CS266" s="68"/>
      <c r="CT266" s="68"/>
      <c r="CU266" s="68"/>
      <c r="CV266" s="68"/>
      <c r="CW266" s="68"/>
      <c r="CX266" s="68"/>
      <c r="CY266" s="68"/>
      <c r="CZ266" s="68"/>
      <c r="DA266" s="68"/>
      <c r="DB266" s="68"/>
      <c r="DC266" s="68"/>
      <c r="DD266" s="68"/>
      <c r="DE266" s="68"/>
      <c r="DF266" s="68"/>
      <c r="DG266" s="68"/>
      <c r="DH266" s="68"/>
      <c r="DI266" s="68"/>
      <c r="DJ266" s="68"/>
      <c r="DK266" s="68"/>
      <c r="DL266" s="68"/>
      <c r="DM266" s="68"/>
      <c r="DN266" s="68"/>
      <c r="DO266" s="68"/>
      <c r="DP266" s="68"/>
      <c r="DQ266" s="68"/>
      <c r="DR266" s="68"/>
      <c r="DS266" s="68"/>
      <c r="DT266" s="68"/>
      <c r="DU266" s="68"/>
      <c r="DV266" s="68"/>
      <c r="DW266" s="68"/>
      <c r="DX266" s="68"/>
      <c r="DY266" s="68"/>
      <c r="DZ266" s="68"/>
      <c r="EA266" s="68"/>
      <c r="EB266" s="68"/>
      <c r="EC266" s="68"/>
      <c r="ED266" s="68"/>
      <c r="EE266" s="68"/>
      <c r="EF266" s="68"/>
      <c r="EG266" s="68"/>
      <c r="EH266" s="68"/>
      <c r="EI266" s="68"/>
      <c r="EJ266" s="68"/>
      <c r="EK266" s="68"/>
      <c r="EL266" s="68"/>
      <c r="EM266" s="68"/>
      <c r="EN266" s="68"/>
      <c r="EO266" s="68"/>
      <c r="EP266" s="68"/>
    </row>
    <row r="267" spans="1:146" s="78" customFormat="1" ht="11.25">
      <c r="A267" s="87" t="str">
        <f t="shared" si="39"/>
        <v>Miscellaneous Riders</v>
      </c>
      <c r="B267" s="83">
        <v>13</v>
      </c>
      <c r="C267" s="89"/>
      <c r="D267" s="74"/>
      <c r="E267" s="124"/>
      <c r="F267" s="124"/>
      <c r="G267" s="124"/>
      <c r="H267" s="124"/>
      <c r="I267" s="124"/>
      <c r="J267" s="124"/>
      <c r="K267" s="124"/>
      <c r="L267" s="124"/>
      <c r="M267" s="124"/>
      <c r="N267" s="124"/>
      <c r="O267" s="124"/>
      <c r="P267" s="124"/>
      <c r="Q267" s="103"/>
      <c r="R267" s="133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  <c r="AO267" s="68"/>
      <c r="AP267" s="68"/>
      <c r="AQ267" s="68"/>
      <c r="AR267" s="68"/>
      <c r="AS267" s="68"/>
      <c r="AT267" s="68"/>
      <c r="AU267" s="68"/>
      <c r="AV267" s="68"/>
      <c r="AW267" s="68"/>
      <c r="AX267" s="68"/>
      <c r="AY267" s="68"/>
      <c r="AZ267" s="68"/>
      <c r="BA267" s="68"/>
      <c r="BB267" s="68"/>
      <c r="BC267" s="68"/>
      <c r="BD267" s="68"/>
      <c r="BE267" s="68"/>
      <c r="BF267" s="68"/>
      <c r="BG267" s="68"/>
      <c r="BH267" s="68"/>
      <c r="BI267" s="68"/>
      <c r="BJ267" s="68"/>
      <c r="BK267" s="68"/>
      <c r="BL267" s="68"/>
      <c r="BM267" s="68"/>
      <c r="BN267" s="68"/>
      <c r="BO267" s="68"/>
      <c r="BP267" s="68"/>
      <c r="BQ267" s="68"/>
      <c r="BR267" s="68"/>
      <c r="BS267" s="68"/>
      <c r="BT267" s="68"/>
      <c r="BU267" s="68"/>
      <c r="BV267" s="68"/>
      <c r="BW267" s="68"/>
      <c r="BX267" s="68"/>
      <c r="BY267" s="68"/>
      <c r="BZ267" s="68"/>
      <c r="CA267" s="68"/>
      <c r="CB267" s="68"/>
      <c r="CC267" s="68"/>
      <c r="CD267" s="68"/>
      <c r="CE267" s="68"/>
      <c r="CF267" s="68"/>
      <c r="CG267" s="68"/>
      <c r="CH267" s="68"/>
      <c r="CI267" s="68"/>
      <c r="CJ267" s="68"/>
      <c r="CK267" s="68"/>
      <c r="CL267" s="68"/>
      <c r="CM267" s="68"/>
      <c r="CN267" s="68"/>
      <c r="CO267" s="68"/>
      <c r="CP267" s="68"/>
      <c r="CQ267" s="68"/>
      <c r="CR267" s="68"/>
      <c r="CS267" s="68"/>
      <c r="CT267" s="68"/>
      <c r="CU267" s="68"/>
      <c r="CV267" s="68"/>
      <c r="CW267" s="68"/>
      <c r="CX267" s="68"/>
      <c r="CY267" s="68"/>
      <c r="CZ267" s="68"/>
      <c r="DA267" s="68"/>
      <c r="DB267" s="68"/>
      <c r="DC267" s="68"/>
      <c r="DD267" s="68"/>
      <c r="DE267" s="68"/>
      <c r="DF267" s="68"/>
      <c r="DG267" s="68"/>
      <c r="DH267" s="68"/>
      <c r="DI267" s="68"/>
      <c r="DJ267" s="68"/>
      <c r="DK267" s="68"/>
      <c r="DL267" s="68"/>
      <c r="DM267" s="68"/>
      <c r="DN267" s="68"/>
      <c r="DO267" s="68"/>
      <c r="DP267" s="68"/>
      <c r="DQ267" s="68"/>
      <c r="DR267" s="68"/>
      <c r="DS267" s="68"/>
      <c r="DT267" s="68"/>
      <c r="DU267" s="68"/>
      <c r="DV267" s="68"/>
      <c r="DW267" s="68"/>
      <c r="DX267" s="68"/>
      <c r="DY267" s="68"/>
      <c r="DZ267" s="68"/>
      <c r="EA267" s="68"/>
      <c r="EB267" s="68"/>
      <c r="EC267" s="68"/>
      <c r="ED267" s="68"/>
      <c r="EE267" s="68"/>
      <c r="EF267" s="68"/>
      <c r="EG267" s="68"/>
      <c r="EH267" s="68"/>
      <c r="EI267" s="68"/>
      <c r="EJ267" s="68"/>
      <c r="EK267" s="68"/>
      <c r="EL267" s="68"/>
      <c r="EM267" s="68"/>
      <c r="EN267" s="68"/>
      <c r="EO267" s="68"/>
      <c r="EP267" s="68"/>
    </row>
    <row r="268" spans="1:146" s="78" customFormat="1" ht="11.25">
      <c r="A268" s="87" t="str">
        <f t="shared" si="39"/>
        <v>Miscellaneous Riders</v>
      </c>
      <c r="B268" s="83">
        <v>14</v>
      </c>
      <c r="C268" s="114"/>
      <c r="D268" s="212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24"/>
      <c r="Q268" s="103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  <c r="AO268" s="68"/>
      <c r="AP268" s="68"/>
      <c r="AQ268" s="68"/>
      <c r="AR268" s="68"/>
      <c r="AS268" s="68"/>
      <c r="AT268" s="68"/>
      <c r="AU268" s="68"/>
      <c r="AV268" s="68"/>
      <c r="AW268" s="68"/>
      <c r="AX268" s="68"/>
      <c r="AY268" s="68"/>
      <c r="AZ268" s="68"/>
      <c r="BA268" s="68"/>
      <c r="BB268" s="68"/>
      <c r="BC268" s="68"/>
      <c r="BD268" s="68"/>
      <c r="BE268" s="68"/>
      <c r="BF268" s="68"/>
      <c r="BG268" s="68"/>
      <c r="BH268" s="68"/>
      <c r="BI268" s="68"/>
      <c r="BJ268" s="68"/>
      <c r="BK268" s="68"/>
      <c r="BL268" s="68"/>
      <c r="BM268" s="68"/>
      <c r="BN268" s="68"/>
      <c r="BO268" s="68"/>
      <c r="BP268" s="68"/>
      <c r="BQ268" s="68"/>
      <c r="BR268" s="68"/>
      <c r="BS268" s="68"/>
      <c r="BT268" s="68"/>
      <c r="BU268" s="68"/>
      <c r="BV268" s="68"/>
      <c r="BW268" s="68"/>
      <c r="BX268" s="68"/>
      <c r="BY268" s="68"/>
      <c r="BZ268" s="68"/>
      <c r="CA268" s="68"/>
      <c r="CB268" s="68"/>
      <c r="CC268" s="68"/>
      <c r="CD268" s="68"/>
      <c r="CE268" s="68"/>
      <c r="CF268" s="68"/>
      <c r="CG268" s="68"/>
      <c r="CH268" s="68"/>
      <c r="CI268" s="68"/>
      <c r="CJ268" s="68"/>
      <c r="CK268" s="68"/>
      <c r="CL268" s="68"/>
      <c r="CM268" s="68"/>
      <c r="CN268" s="68"/>
      <c r="CO268" s="68"/>
      <c r="CP268" s="68"/>
      <c r="CQ268" s="68"/>
      <c r="CR268" s="68"/>
      <c r="CS268" s="68"/>
      <c r="CT268" s="68"/>
      <c r="CU268" s="68"/>
      <c r="CV268" s="68"/>
      <c r="CW268" s="68"/>
      <c r="CX268" s="68"/>
      <c r="CY268" s="68"/>
      <c r="CZ268" s="68"/>
      <c r="DA268" s="68"/>
      <c r="DB268" s="68"/>
      <c r="DC268" s="68"/>
      <c r="DD268" s="68"/>
      <c r="DE268" s="68"/>
      <c r="DF268" s="68"/>
      <c r="DG268" s="68"/>
      <c r="DH268" s="68"/>
      <c r="DI268" s="68"/>
      <c r="DJ268" s="68"/>
      <c r="DK268" s="68"/>
      <c r="DL268" s="68"/>
      <c r="DM268" s="68"/>
      <c r="DN268" s="68"/>
      <c r="DO268" s="68"/>
      <c r="DP268" s="68"/>
      <c r="DQ268" s="68"/>
      <c r="DR268" s="68"/>
      <c r="DS268" s="68"/>
      <c r="DT268" s="68"/>
      <c r="DU268" s="68"/>
      <c r="DV268" s="68"/>
      <c r="DW268" s="68"/>
      <c r="DX268" s="68"/>
      <c r="DY268" s="68"/>
      <c r="DZ268" s="68"/>
      <c r="EA268" s="68"/>
      <c r="EB268" s="68"/>
      <c r="EC268" s="68"/>
      <c r="ED268" s="68"/>
      <c r="EE268" s="68"/>
      <c r="EF268" s="68"/>
      <c r="EG268" s="68"/>
      <c r="EH268" s="68"/>
      <c r="EI268" s="68"/>
      <c r="EJ268" s="68"/>
      <c r="EK268" s="68"/>
      <c r="EL268" s="68"/>
      <c r="EM268" s="68"/>
      <c r="EN268" s="68"/>
      <c r="EO268" s="68"/>
      <c r="EP268" s="68"/>
    </row>
    <row r="269" spans="1:146" s="78" customFormat="1" ht="11.25">
      <c r="A269" s="87" t="str">
        <f t="shared" si="39"/>
        <v>Miscellaneous Riders</v>
      </c>
      <c r="B269" s="83"/>
      <c r="D269" s="116"/>
      <c r="E269" s="231"/>
      <c r="F269" s="231"/>
      <c r="G269" s="231"/>
      <c r="H269" s="231"/>
      <c r="I269" s="231"/>
      <c r="J269" s="231"/>
      <c r="K269" s="231"/>
      <c r="L269" s="231"/>
      <c r="M269" s="231"/>
      <c r="N269" s="231"/>
      <c r="O269" s="231"/>
      <c r="P269" s="90"/>
      <c r="Q269" s="71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 s="68"/>
      <c r="BH269" s="68"/>
      <c r="BI269" s="68"/>
      <c r="BJ269" s="68"/>
      <c r="BK269" s="68"/>
      <c r="BL269" s="68"/>
      <c r="BM269" s="68"/>
      <c r="BN269" s="68"/>
      <c r="BO269" s="68"/>
      <c r="BP269" s="68"/>
      <c r="BQ269" s="68"/>
      <c r="BR269" s="68"/>
      <c r="BS269" s="68"/>
      <c r="BT269" s="68"/>
      <c r="BU269" s="68"/>
      <c r="BV269" s="68"/>
      <c r="BW269" s="68"/>
      <c r="BX269" s="68"/>
      <c r="BY269" s="68"/>
      <c r="BZ269" s="68"/>
      <c r="CA269" s="68"/>
      <c r="CB269" s="68"/>
      <c r="CC269" s="68"/>
      <c r="CD269" s="68"/>
      <c r="CE269" s="68"/>
      <c r="CF269" s="68"/>
      <c r="CG269" s="68"/>
      <c r="CH269" s="68"/>
      <c r="CI269" s="68"/>
      <c r="CJ269" s="68"/>
      <c r="CK269" s="68"/>
      <c r="CL269" s="68"/>
      <c r="CM269" s="68"/>
      <c r="CN269" s="68"/>
      <c r="CO269" s="68"/>
      <c r="CP269" s="68"/>
      <c r="CQ269" s="68"/>
      <c r="CR269" s="68"/>
      <c r="CS269" s="68"/>
      <c r="CT269" s="68"/>
      <c r="CU269" s="68"/>
      <c r="CV269" s="68"/>
      <c r="CW269" s="68"/>
      <c r="CX269" s="68"/>
      <c r="CY269" s="68"/>
      <c r="CZ269" s="68"/>
      <c r="DA269" s="68"/>
      <c r="DB269" s="68"/>
      <c r="DC269" s="68"/>
      <c r="DD269" s="68"/>
      <c r="DE269" s="68"/>
      <c r="DF269" s="68"/>
      <c r="DG269" s="68"/>
      <c r="DH269" s="68"/>
      <c r="DI269" s="68"/>
      <c r="DJ269" s="68"/>
      <c r="DK269" s="68"/>
      <c r="DL269" s="68"/>
      <c r="DM269" s="68"/>
      <c r="DN269" s="68"/>
      <c r="DO269" s="68"/>
      <c r="DP269" s="68"/>
      <c r="DQ269" s="68"/>
      <c r="DR269" s="68"/>
      <c r="DS269" s="68"/>
      <c r="DT269" s="68"/>
      <c r="DU269" s="68"/>
      <c r="DV269" s="68"/>
      <c r="DW269" s="68"/>
      <c r="DX269" s="68"/>
      <c r="DY269" s="68"/>
      <c r="DZ269" s="68"/>
      <c r="EA269" s="68"/>
      <c r="EB269" s="68"/>
      <c r="EC269" s="68"/>
      <c r="ED269" s="68"/>
      <c r="EE269" s="68"/>
      <c r="EF269" s="68"/>
      <c r="EG269" s="68"/>
      <c r="EH269" s="68"/>
      <c r="EI269" s="68"/>
      <c r="EJ269" s="68"/>
      <c r="EK269" s="68"/>
      <c r="EL269" s="68"/>
      <c r="EM269" s="68"/>
      <c r="EN269" s="68"/>
      <c r="EO269" s="68"/>
      <c r="EP269" s="68"/>
    </row>
    <row r="270" spans="1:146" s="78" customFormat="1" ht="12" thickBot="1">
      <c r="A270" s="87" t="str">
        <f t="shared" si="39"/>
        <v xml:space="preserve">Miscellaneous RidersTOTAL </v>
      </c>
      <c r="B270" s="83">
        <v>15</v>
      </c>
      <c r="C270" s="147" t="s">
        <v>95</v>
      </c>
      <c r="D270" s="211"/>
      <c r="E270" s="117">
        <v>6</v>
      </c>
      <c r="F270" s="117">
        <v>7.64</v>
      </c>
      <c r="G270" s="117">
        <v>0.82000000000000006</v>
      </c>
      <c r="H270" s="117">
        <v>0</v>
      </c>
      <c r="I270" s="117">
        <v>30.979999999999997</v>
      </c>
      <c r="J270" s="117">
        <v>1.32</v>
      </c>
      <c r="K270" s="117">
        <v>1.29</v>
      </c>
      <c r="L270" s="117">
        <v>0</v>
      </c>
      <c r="M270" s="117">
        <v>0</v>
      </c>
      <c r="N270" s="117">
        <v>0</v>
      </c>
      <c r="O270" s="117">
        <v>0</v>
      </c>
      <c r="P270" s="117">
        <v>0</v>
      </c>
      <c r="Q270" s="117">
        <v>48.05</v>
      </c>
      <c r="R270" s="12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  <c r="AO270" s="68"/>
      <c r="AP270" s="68"/>
      <c r="AQ270" s="68"/>
      <c r="AR270" s="68"/>
      <c r="AS270" s="68"/>
      <c r="AT270" s="68"/>
      <c r="AU270" s="68"/>
      <c r="AV270" s="68"/>
      <c r="AW270" s="68"/>
      <c r="AX270" s="68"/>
      <c r="AY270" s="68"/>
      <c r="AZ270" s="68"/>
      <c r="BA270" s="68"/>
      <c r="BB270" s="68"/>
      <c r="BC270" s="68"/>
      <c r="BD270" s="68"/>
      <c r="BE270" s="68"/>
      <c r="BF270" s="68"/>
      <c r="BG270" s="68"/>
      <c r="BH270" s="68"/>
      <c r="BI270" s="68"/>
      <c r="BJ270" s="68"/>
      <c r="BK270" s="68"/>
      <c r="BL270" s="68"/>
      <c r="BM270" s="68"/>
      <c r="BN270" s="68"/>
      <c r="BO270" s="68"/>
      <c r="BP270" s="68"/>
      <c r="BQ270" s="68"/>
      <c r="BR270" s="68"/>
      <c r="BS270" s="68"/>
      <c r="BT270" s="68"/>
      <c r="BU270" s="68"/>
      <c r="BV270" s="68"/>
      <c r="BW270" s="68"/>
      <c r="BX270" s="68"/>
      <c r="BY270" s="68"/>
      <c r="BZ270" s="68"/>
      <c r="CA270" s="68"/>
      <c r="CB270" s="68"/>
      <c r="CC270" s="68"/>
      <c r="CD270" s="68"/>
      <c r="CE270" s="68"/>
      <c r="CF270" s="68"/>
      <c r="CG270" s="68"/>
      <c r="CH270" s="68"/>
      <c r="CI270" s="68"/>
      <c r="CJ270" s="68"/>
      <c r="CK270" s="68"/>
      <c r="CL270" s="68"/>
      <c r="CM270" s="68"/>
      <c r="CN270" s="68"/>
      <c r="CO270" s="68"/>
      <c r="CP270" s="68"/>
      <c r="CQ270" s="68"/>
      <c r="CR270" s="68"/>
      <c r="CS270" s="68"/>
      <c r="CT270" s="68"/>
      <c r="CU270" s="68"/>
      <c r="CV270" s="68"/>
      <c r="CW270" s="68"/>
      <c r="CX270" s="68"/>
      <c r="CY270" s="68"/>
      <c r="CZ270" s="68"/>
      <c r="DA270" s="68"/>
      <c r="DB270" s="68"/>
      <c r="DC270" s="68"/>
      <c r="DD270" s="68"/>
      <c r="DE270" s="68"/>
      <c r="DF270" s="68"/>
      <c r="DG270" s="68"/>
      <c r="DH270" s="68"/>
      <c r="DI270" s="68"/>
      <c r="DJ270" s="68"/>
      <c r="DK270" s="68"/>
      <c r="DL270" s="68"/>
      <c r="DM270" s="68"/>
      <c r="DN270" s="68"/>
      <c r="DO270" s="68"/>
      <c r="DP270" s="68"/>
      <c r="DQ270" s="68"/>
      <c r="DR270" s="68"/>
      <c r="DS270" s="68"/>
      <c r="DT270" s="68"/>
      <c r="DU270" s="68"/>
      <c r="DV270" s="68"/>
      <c r="DW270" s="68"/>
      <c r="DX270" s="68"/>
      <c r="DY270" s="68"/>
      <c r="DZ270" s="68"/>
      <c r="EA270" s="68"/>
      <c r="EB270" s="68"/>
      <c r="EC270" s="68"/>
      <c r="ED270" s="68"/>
      <c r="EE270" s="68"/>
      <c r="EF270" s="68"/>
      <c r="EG270" s="68"/>
      <c r="EH270" s="68"/>
      <c r="EI270" s="68"/>
      <c r="EJ270" s="68"/>
      <c r="EK270" s="68"/>
      <c r="EL270" s="68"/>
      <c r="EM270" s="68"/>
      <c r="EN270" s="68"/>
      <c r="EO270" s="68"/>
      <c r="EP270" s="68"/>
    </row>
    <row r="271" spans="1:146" customFormat="1" ht="13.5" thickTop="1">
      <c r="E271" s="235"/>
      <c r="F271" s="235"/>
      <c r="G271" s="235"/>
      <c r="H271" s="235"/>
      <c r="I271" s="235"/>
      <c r="J271" s="235"/>
      <c r="K271" s="235"/>
      <c r="L271" s="235"/>
      <c r="M271" s="235"/>
      <c r="N271" s="235"/>
      <c r="O271" s="235"/>
      <c r="P271" s="235"/>
    </row>
    <row r="272" spans="1:146" s="87" customFormat="1" ht="11.25">
      <c r="C272" s="345" t="s">
        <v>168</v>
      </c>
      <c r="D272" s="99"/>
      <c r="E272" s="228"/>
      <c r="F272" s="229"/>
      <c r="G272" s="229"/>
      <c r="H272" s="230"/>
      <c r="I272" s="231"/>
      <c r="J272" s="231"/>
      <c r="K272" s="231"/>
      <c r="L272" s="231"/>
      <c r="M272" s="231"/>
      <c r="N272" s="231"/>
      <c r="O272" s="231"/>
      <c r="P272" s="90"/>
      <c r="Q272" s="10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89"/>
      <c r="AJ272" s="89"/>
      <c r="AK272" s="89"/>
      <c r="AL272" s="89"/>
      <c r="AM272" s="89"/>
      <c r="AN272" s="89"/>
      <c r="AO272" s="89"/>
      <c r="AP272" s="89"/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89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89"/>
      <c r="DB272" s="89"/>
      <c r="DC272" s="89"/>
      <c r="DD272" s="89"/>
      <c r="DE272" s="89"/>
      <c r="DF272" s="89"/>
      <c r="DG272" s="89"/>
      <c r="DH272" s="89"/>
      <c r="DI272" s="89"/>
      <c r="DJ272" s="89"/>
      <c r="DK272" s="89"/>
      <c r="DL272" s="89"/>
      <c r="DM272" s="89"/>
      <c r="DN272" s="89"/>
      <c r="DO272" s="89"/>
      <c r="DP272" s="89"/>
      <c r="DQ272" s="89"/>
      <c r="DR272" s="89"/>
      <c r="DS272" s="89"/>
      <c r="DT272" s="89"/>
      <c r="DU272" s="89"/>
      <c r="DV272" s="89"/>
      <c r="DW272" s="89"/>
      <c r="DX272" s="89"/>
      <c r="DY272" s="89"/>
      <c r="DZ272" s="89"/>
      <c r="EA272" s="89"/>
      <c r="EB272" s="89"/>
      <c r="EC272" s="89"/>
      <c r="ED272" s="89"/>
      <c r="EE272" s="89"/>
      <c r="EF272" s="89"/>
      <c r="EG272" s="89"/>
      <c r="EH272" s="89"/>
      <c r="EI272" s="89"/>
      <c r="EJ272" s="89"/>
      <c r="EK272" s="89"/>
      <c r="EL272" s="89"/>
      <c r="EM272" s="89"/>
      <c r="EN272" s="89"/>
      <c r="EO272" s="89"/>
      <c r="EP272" s="89"/>
    </row>
    <row r="273" spans="1:146" s="87" customFormat="1" ht="11.25">
      <c r="B273" s="211" t="s">
        <v>8</v>
      </c>
      <c r="C273" s="213" t="s">
        <v>0</v>
      </c>
      <c r="D273" s="213" t="s">
        <v>7</v>
      </c>
      <c r="E273" s="232" t="s">
        <v>151</v>
      </c>
      <c r="F273" s="232" t="s">
        <v>152</v>
      </c>
      <c r="G273" s="232" t="s">
        <v>153</v>
      </c>
      <c r="H273" s="232" t="s">
        <v>154</v>
      </c>
      <c r="I273" s="232" t="s">
        <v>155</v>
      </c>
      <c r="J273" s="232" t="s">
        <v>156</v>
      </c>
      <c r="K273" s="232" t="s">
        <v>157</v>
      </c>
      <c r="L273" s="232" t="s">
        <v>158</v>
      </c>
      <c r="M273" s="232" t="s">
        <v>159</v>
      </c>
      <c r="N273" s="232" t="s">
        <v>160</v>
      </c>
      <c r="O273" s="232" t="s">
        <v>161</v>
      </c>
      <c r="P273" s="232" t="s">
        <v>162</v>
      </c>
      <c r="Q273" s="110" t="s">
        <v>2</v>
      </c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89"/>
      <c r="AJ273" s="89"/>
      <c r="AK273" s="89"/>
      <c r="AL273" s="89"/>
      <c r="AM273" s="89"/>
      <c r="AN273" s="89"/>
      <c r="AO273" s="89"/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89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89"/>
      <c r="DB273" s="89"/>
      <c r="DC273" s="89"/>
      <c r="DD273" s="89"/>
      <c r="DE273" s="89"/>
      <c r="DF273" s="89"/>
      <c r="DG273" s="89"/>
      <c r="DH273" s="89"/>
      <c r="DI273" s="89"/>
      <c r="DJ273" s="89"/>
      <c r="DK273" s="89"/>
      <c r="DL273" s="89"/>
      <c r="DM273" s="89"/>
      <c r="DN273" s="89"/>
      <c r="DO273" s="89"/>
      <c r="DP273" s="89"/>
      <c r="DQ273" s="89"/>
      <c r="DR273" s="89"/>
      <c r="DS273" s="89"/>
      <c r="DT273" s="89"/>
      <c r="DU273" s="89"/>
      <c r="DV273" s="89"/>
      <c r="DW273" s="89"/>
      <c r="DX273" s="89"/>
      <c r="DY273" s="89"/>
      <c r="DZ273" s="89"/>
      <c r="EA273" s="89"/>
      <c r="EB273" s="89"/>
      <c r="EC273" s="89"/>
      <c r="ED273" s="89"/>
      <c r="EE273" s="89"/>
      <c r="EF273" s="89"/>
      <c r="EG273" s="89"/>
      <c r="EH273" s="89"/>
      <c r="EI273" s="89"/>
      <c r="EJ273" s="89"/>
      <c r="EK273" s="89"/>
      <c r="EL273" s="89"/>
      <c r="EM273" s="89"/>
      <c r="EN273" s="89"/>
      <c r="EO273" s="89"/>
      <c r="EP273" s="89"/>
    </row>
    <row r="274" spans="1:146" s="87" customFormat="1" ht="11.25">
      <c r="C274" s="213"/>
      <c r="D274" s="213"/>
      <c r="E274" s="232"/>
      <c r="F274" s="232"/>
      <c r="G274" s="232"/>
      <c r="H274" s="232"/>
      <c r="I274" s="232"/>
      <c r="J274" s="232"/>
      <c r="K274" s="232"/>
      <c r="L274" s="232"/>
      <c r="M274" s="232"/>
      <c r="N274" s="232"/>
      <c r="O274" s="232"/>
      <c r="P274" s="227"/>
      <c r="Q274" s="110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89"/>
      <c r="AJ274" s="89"/>
      <c r="AK274" s="89"/>
      <c r="AL274" s="89"/>
      <c r="AM274" s="89"/>
      <c r="AN274" s="89"/>
      <c r="AO274" s="89"/>
      <c r="AP274" s="89"/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89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89"/>
      <c r="DB274" s="89"/>
      <c r="DC274" s="89"/>
      <c r="DD274" s="89"/>
      <c r="DE274" s="89"/>
      <c r="DF274" s="89"/>
      <c r="DG274" s="89"/>
      <c r="DH274" s="89"/>
      <c r="DI274" s="89"/>
      <c r="DJ274" s="89"/>
      <c r="DK274" s="89"/>
      <c r="DL274" s="89"/>
      <c r="DM274" s="89"/>
      <c r="DN274" s="89"/>
      <c r="DO274" s="89"/>
      <c r="DP274" s="89"/>
      <c r="DQ274" s="89"/>
      <c r="DR274" s="89"/>
      <c r="DS274" s="89"/>
      <c r="DT274" s="89"/>
      <c r="DU274" s="89"/>
      <c r="DV274" s="89"/>
      <c r="DW274" s="89"/>
      <c r="DX274" s="89"/>
      <c r="DY274" s="89"/>
      <c r="DZ274" s="89"/>
      <c r="EA274" s="89"/>
      <c r="EB274" s="89"/>
      <c r="EC274" s="89"/>
      <c r="ED274" s="89"/>
      <c r="EE274" s="89"/>
      <c r="EF274" s="89"/>
      <c r="EG274" s="89"/>
      <c r="EH274" s="89"/>
      <c r="EI274" s="89"/>
      <c r="EJ274" s="89"/>
      <c r="EK274" s="89"/>
      <c r="EL274" s="89"/>
      <c r="EM274" s="89"/>
      <c r="EN274" s="89"/>
      <c r="EO274" s="89"/>
      <c r="EP274" s="89"/>
    </row>
    <row r="275" spans="1:146" s="78" customFormat="1" ht="11.25">
      <c r="A275" s="87" t="str">
        <f>CONCATENATE($C$272,C275)</f>
        <v>TTRARRESIDENTIAL SERVICE</v>
      </c>
      <c r="B275" s="83" t="s">
        <v>9</v>
      </c>
      <c r="C275" s="78" t="s">
        <v>17</v>
      </c>
      <c r="D275" s="85" t="s">
        <v>4</v>
      </c>
      <c r="E275" s="124">
        <v>240172.01</v>
      </c>
      <c r="F275" s="124">
        <v>185417.99</v>
      </c>
      <c r="G275" s="124">
        <v>215773.04</v>
      </c>
      <c r="H275" s="124">
        <v>231410.9</v>
      </c>
      <c r="I275" s="124">
        <v>203666.94</v>
      </c>
      <c r="J275" s="124">
        <v>186964.84</v>
      </c>
      <c r="K275" s="124">
        <v>184233.9</v>
      </c>
      <c r="L275" s="124">
        <v>201160.68</v>
      </c>
      <c r="M275" s="124">
        <v>271751.87</v>
      </c>
      <c r="N275" s="124">
        <v>354928.13000000006</v>
      </c>
      <c r="O275" s="124">
        <v>358477.50999999995</v>
      </c>
      <c r="P275" s="124">
        <v>347687.62</v>
      </c>
      <c r="Q275" s="90">
        <f>SUM(E275:P275)</f>
        <v>2981645.4299999997</v>
      </c>
      <c r="R275" s="125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  <c r="AO275" s="68"/>
      <c r="AP275" s="68"/>
      <c r="AQ275" s="68"/>
      <c r="AR275" s="68"/>
      <c r="AS275" s="68"/>
      <c r="AT275" s="68"/>
      <c r="AU275" s="68"/>
      <c r="AV275" s="68"/>
      <c r="AW275" s="68"/>
      <c r="AX275" s="68"/>
      <c r="AY275" s="68"/>
      <c r="AZ275" s="68"/>
      <c r="BA275" s="68"/>
      <c r="BB275" s="68"/>
      <c r="BC275" s="68"/>
      <c r="BD275" s="68"/>
      <c r="BE275" s="68"/>
      <c r="BF275" s="68"/>
      <c r="BG275" s="68"/>
      <c r="BH275" s="68"/>
      <c r="BI275" s="68"/>
      <c r="BJ275" s="68"/>
      <c r="BK275" s="68"/>
      <c r="BL275" s="68"/>
      <c r="BM275" s="68"/>
      <c r="BN275" s="68"/>
      <c r="BO275" s="68"/>
      <c r="BP275" s="68"/>
      <c r="BQ275" s="68"/>
      <c r="BR275" s="68"/>
      <c r="BS275" s="68"/>
      <c r="BT275" s="68"/>
      <c r="BU275" s="68"/>
      <c r="BV275" s="68"/>
      <c r="BW275" s="68"/>
      <c r="BX275" s="68"/>
      <c r="BY275" s="68"/>
      <c r="BZ275" s="68"/>
      <c r="CA275" s="68"/>
      <c r="CB275" s="68"/>
      <c r="CC275" s="68"/>
      <c r="CD275" s="68"/>
      <c r="CE275" s="68"/>
      <c r="CF275" s="68"/>
      <c r="CG275" s="68"/>
      <c r="CH275" s="68"/>
      <c r="CI275" s="68"/>
      <c r="CJ275" s="68"/>
      <c r="CK275" s="68"/>
      <c r="CL275" s="68"/>
      <c r="CM275" s="68"/>
      <c r="CN275" s="68"/>
      <c r="CO275" s="68"/>
      <c r="CP275" s="68"/>
      <c r="CQ275" s="68"/>
      <c r="CR275" s="68"/>
      <c r="CS275" s="68"/>
      <c r="CT275" s="68"/>
      <c r="CU275" s="68"/>
      <c r="CV275" s="68"/>
      <c r="CW275" s="68"/>
      <c r="CX275" s="68"/>
      <c r="CY275" s="68"/>
      <c r="CZ275" s="68"/>
      <c r="DA275" s="68"/>
      <c r="DB275" s="68"/>
      <c r="DC275" s="68"/>
      <c r="DD275" s="68"/>
      <c r="DE275" s="68"/>
      <c r="DF275" s="68"/>
      <c r="DG275" s="68"/>
      <c r="DH275" s="68"/>
      <c r="DI275" s="68"/>
      <c r="DJ275" s="68"/>
      <c r="DK275" s="68"/>
      <c r="DL275" s="68"/>
      <c r="DM275" s="68"/>
      <c r="DN275" s="68"/>
      <c r="DO275" s="68"/>
      <c r="DP275" s="68"/>
      <c r="DQ275" s="68"/>
      <c r="DR275" s="68"/>
      <c r="DS275" s="68"/>
      <c r="DT275" s="68"/>
      <c r="DU275" s="68"/>
      <c r="DV275" s="68"/>
      <c r="DW275" s="68"/>
      <c r="DX275" s="68"/>
      <c r="DY275" s="68"/>
      <c r="DZ275" s="68"/>
      <c r="EA275" s="68"/>
      <c r="EB275" s="68"/>
      <c r="EC275" s="68"/>
      <c r="ED275" s="68"/>
      <c r="EE275" s="68"/>
      <c r="EF275" s="68"/>
      <c r="EG275" s="68"/>
      <c r="EH275" s="68"/>
      <c r="EI275" s="68"/>
      <c r="EJ275" s="68"/>
      <c r="EK275" s="68"/>
      <c r="EL275" s="68"/>
      <c r="EM275" s="68"/>
      <c r="EN275" s="68"/>
      <c r="EO275" s="68"/>
      <c r="EP275" s="68"/>
    </row>
    <row r="276" spans="1:146" s="78" customFormat="1" ht="11.25">
      <c r="A276" s="87" t="str">
        <f t="shared" ref="A276:A291" si="44">CONCATENATE($C$272,C276)</f>
        <v>TTRAR</v>
      </c>
      <c r="D276" s="85"/>
      <c r="E276" s="124"/>
      <c r="F276" s="124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93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  <c r="AO276" s="68"/>
      <c r="AP276" s="68"/>
      <c r="AQ276" s="68"/>
      <c r="AR276" s="68"/>
      <c r="AS276" s="68"/>
      <c r="AT276" s="68"/>
      <c r="AU276" s="68"/>
      <c r="AV276" s="68"/>
      <c r="AW276" s="68"/>
      <c r="AX276" s="68"/>
      <c r="AY276" s="68"/>
      <c r="AZ276" s="68"/>
      <c r="BA276" s="68"/>
      <c r="BB276" s="68"/>
      <c r="BC276" s="68"/>
      <c r="BD276" s="68"/>
      <c r="BE276" s="68"/>
      <c r="BF276" s="68"/>
      <c r="BG276" s="68"/>
      <c r="BH276" s="68"/>
      <c r="BI276" s="68"/>
      <c r="BJ276" s="68"/>
      <c r="BK276" s="68"/>
      <c r="BL276" s="68"/>
      <c r="BM276" s="68"/>
      <c r="BN276" s="68"/>
      <c r="BO276" s="68"/>
      <c r="BP276" s="68"/>
      <c r="BQ276" s="68"/>
      <c r="BR276" s="68"/>
      <c r="BS276" s="68"/>
      <c r="BT276" s="68"/>
      <c r="BU276" s="68"/>
      <c r="BV276" s="68"/>
      <c r="BW276" s="68"/>
      <c r="BX276" s="68"/>
      <c r="BY276" s="68"/>
      <c r="BZ276" s="68"/>
      <c r="CA276" s="68"/>
      <c r="CB276" s="68"/>
      <c r="CC276" s="68"/>
      <c r="CD276" s="68"/>
      <c r="CE276" s="68"/>
      <c r="CF276" s="68"/>
      <c r="CG276" s="68"/>
      <c r="CH276" s="68"/>
      <c r="CI276" s="68"/>
      <c r="CJ276" s="68"/>
      <c r="CK276" s="68"/>
      <c r="CL276" s="68"/>
      <c r="CM276" s="68"/>
      <c r="CN276" s="68"/>
      <c r="CO276" s="68"/>
      <c r="CP276" s="68"/>
      <c r="CQ276" s="68"/>
      <c r="CR276" s="68"/>
      <c r="CS276" s="68"/>
      <c r="CT276" s="68"/>
      <c r="CU276" s="68"/>
      <c r="CV276" s="68"/>
      <c r="CW276" s="68"/>
      <c r="CX276" s="68"/>
      <c r="CY276" s="68"/>
      <c r="CZ276" s="68"/>
      <c r="DA276" s="68"/>
      <c r="DB276" s="68"/>
      <c r="DC276" s="68"/>
      <c r="DD276" s="68"/>
      <c r="DE276" s="68"/>
      <c r="DF276" s="68"/>
      <c r="DG276" s="68"/>
      <c r="DH276" s="68"/>
      <c r="DI276" s="68"/>
      <c r="DJ276" s="68"/>
      <c r="DK276" s="68"/>
      <c r="DL276" s="68"/>
      <c r="DM276" s="68"/>
      <c r="DN276" s="68"/>
      <c r="DO276" s="68"/>
      <c r="DP276" s="68"/>
      <c r="DQ276" s="68"/>
      <c r="DR276" s="68"/>
      <c r="DS276" s="68"/>
      <c r="DT276" s="68"/>
      <c r="DU276" s="68"/>
      <c r="DV276" s="68"/>
      <c r="DW276" s="68"/>
      <c r="DX276" s="68"/>
      <c r="DY276" s="68"/>
      <c r="DZ276" s="68"/>
      <c r="EA276" s="68"/>
      <c r="EB276" s="68"/>
      <c r="EC276" s="68"/>
      <c r="ED276" s="68"/>
      <c r="EE276" s="68"/>
      <c r="EF276" s="68"/>
      <c r="EG276" s="68"/>
      <c r="EH276" s="68"/>
      <c r="EI276" s="68"/>
      <c r="EJ276" s="68"/>
      <c r="EK276" s="68"/>
      <c r="EL276" s="68"/>
      <c r="EM276" s="68"/>
      <c r="EN276" s="68"/>
      <c r="EO276" s="68"/>
      <c r="EP276" s="68"/>
    </row>
    <row r="277" spans="1:146" s="78" customFormat="1" ht="11.25">
      <c r="A277" s="87" t="str">
        <f t="shared" si="44"/>
        <v>TTRARSECONDARY &lt; 10 kW</v>
      </c>
      <c r="B277" s="83">
        <v>2</v>
      </c>
      <c r="C277" s="78" t="s">
        <v>150</v>
      </c>
      <c r="D277" s="85" t="s">
        <v>4</v>
      </c>
      <c r="E277" s="124">
        <v>9738.3700000000008</v>
      </c>
      <c r="F277" s="124">
        <v>8620.42</v>
      </c>
      <c r="G277" s="124">
        <v>9141.1600000000017</v>
      </c>
      <c r="H277" s="124">
        <v>9250.52</v>
      </c>
      <c r="I277" s="124">
        <v>8471.09</v>
      </c>
      <c r="J277" s="124">
        <v>8342.4800000000014</v>
      </c>
      <c r="K277" s="124">
        <v>8296.3200000000015</v>
      </c>
      <c r="L277" s="124">
        <v>8690.1200000000008</v>
      </c>
      <c r="M277" s="124">
        <v>9937.2000000000007</v>
      </c>
      <c r="N277" s="124">
        <v>11582.930000000002</v>
      </c>
      <c r="O277" s="124">
        <v>11976.900000000003</v>
      </c>
      <c r="P277" s="124">
        <v>11865.330000000002</v>
      </c>
      <c r="Q277" s="90">
        <f>SUM(E277:P277)</f>
        <v>115912.84000000001</v>
      </c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  <c r="AO277" s="68"/>
      <c r="AP277" s="68"/>
      <c r="AQ277" s="68"/>
      <c r="AR277" s="68"/>
      <c r="AS277" s="68"/>
      <c r="AT277" s="68"/>
      <c r="AU277" s="68"/>
      <c r="AV277" s="68"/>
      <c r="AW277" s="68"/>
      <c r="AX277" s="68"/>
      <c r="AY277" s="68"/>
      <c r="AZ277" s="68"/>
      <c r="BA277" s="68"/>
      <c r="BB277" s="68"/>
      <c r="BC277" s="68"/>
      <c r="BD277" s="68"/>
      <c r="BE277" s="68"/>
      <c r="BF277" s="68"/>
      <c r="BG277" s="68"/>
      <c r="BH277" s="68"/>
      <c r="BI277" s="68"/>
      <c r="BJ277" s="68"/>
      <c r="BK277" s="68"/>
      <c r="BL277" s="68"/>
      <c r="BM277" s="68"/>
      <c r="BN277" s="68"/>
      <c r="BO277" s="68"/>
      <c r="BP277" s="68"/>
      <c r="BQ277" s="68"/>
      <c r="BR277" s="68"/>
      <c r="BS277" s="68"/>
      <c r="BT277" s="68"/>
      <c r="BU277" s="68"/>
      <c r="BV277" s="68"/>
      <c r="BW277" s="68"/>
      <c r="BX277" s="68"/>
      <c r="BY277" s="68"/>
      <c r="BZ277" s="68"/>
      <c r="CA277" s="68"/>
      <c r="CB277" s="68"/>
      <c r="CC277" s="68"/>
      <c r="CD277" s="68"/>
      <c r="CE277" s="68"/>
      <c r="CF277" s="68"/>
      <c r="CG277" s="68"/>
      <c r="CH277" s="68"/>
      <c r="CI277" s="68"/>
      <c r="CJ277" s="68"/>
      <c r="CK277" s="68"/>
      <c r="CL277" s="68"/>
      <c r="CM277" s="68"/>
      <c r="CN277" s="68"/>
      <c r="CO277" s="68"/>
      <c r="CP277" s="68"/>
      <c r="CQ277" s="68"/>
      <c r="CR277" s="68"/>
      <c r="CS277" s="68"/>
      <c r="CT277" s="68"/>
      <c r="CU277" s="68"/>
      <c r="CV277" s="68"/>
      <c r="CW277" s="68"/>
      <c r="CX277" s="68"/>
      <c r="CY277" s="68"/>
      <c r="CZ277" s="68"/>
      <c r="DA277" s="68"/>
      <c r="DB277" s="68"/>
      <c r="DC277" s="68"/>
      <c r="DD277" s="68"/>
      <c r="DE277" s="68"/>
      <c r="DF277" s="68"/>
      <c r="DG277" s="68"/>
      <c r="DH277" s="68"/>
      <c r="DI277" s="68"/>
      <c r="DJ277" s="68"/>
      <c r="DK277" s="68"/>
      <c r="DL277" s="68"/>
      <c r="DM277" s="68"/>
      <c r="DN277" s="68"/>
      <c r="DO277" s="68"/>
      <c r="DP277" s="68"/>
      <c r="DQ277" s="68"/>
      <c r="DR277" s="68"/>
      <c r="DS277" s="68"/>
      <c r="DT277" s="68"/>
      <c r="DU277" s="68"/>
      <c r="DV277" s="68"/>
      <c r="DW277" s="68"/>
      <c r="DX277" s="68"/>
      <c r="DY277" s="68"/>
      <c r="DZ277" s="68"/>
      <c r="EA277" s="68"/>
      <c r="EB277" s="68"/>
      <c r="EC277" s="68"/>
      <c r="ED277" s="68"/>
      <c r="EE277" s="68"/>
      <c r="EF277" s="68"/>
      <c r="EG277" s="68"/>
      <c r="EH277" s="68"/>
      <c r="EI277" s="68"/>
      <c r="EJ277" s="68"/>
      <c r="EK277" s="68"/>
      <c r="EL277" s="68"/>
      <c r="EM277" s="68"/>
      <c r="EN277" s="68"/>
      <c r="EO277" s="68"/>
      <c r="EP277" s="68"/>
    </row>
    <row r="278" spans="1:146" s="78" customFormat="1" ht="11.25">
      <c r="A278" s="87" t="str">
        <f t="shared" si="44"/>
        <v>TTRAR</v>
      </c>
      <c r="B278" s="83"/>
      <c r="D278" s="85"/>
      <c r="E278" s="124"/>
      <c r="F278" s="124"/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  <c r="Q278" s="93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  <c r="AO278" s="68"/>
      <c r="AP278" s="68"/>
      <c r="AQ278" s="68"/>
      <c r="AR278" s="68"/>
      <c r="AS278" s="68"/>
      <c r="AT278" s="68"/>
      <c r="AU278" s="68"/>
      <c r="AV278" s="68"/>
      <c r="AW278" s="68"/>
      <c r="AX278" s="68"/>
      <c r="AY278" s="68"/>
      <c r="AZ278" s="68"/>
      <c r="BA278" s="68"/>
      <c r="BB278" s="68"/>
      <c r="BC278" s="68"/>
      <c r="BD278" s="68"/>
      <c r="BE278" s="68"/>
      <c r="BF278" s="68"/>
      <c r="BG278" s="68"/>
      <c r="BH278" s="68"/>
      <c r="BI278" s="68"/>
      <c r="BJ278" s="68"/>
      <c r="BK278" s="68"/>
      <c r="BL278" s="68"/>
      <c r="BM278" s="68"/>
      <c r="BN278" s="68"/>
      <c r="BO278" s="68"/>
      <c r="BP278" s="68"/>
      <c r="BQ278" s="68"/>
      <c r="BR278" s="68"/>
      <c r="BS278" s="68"/>
      <c r="BT278" s="68"/>
      <c r="BU278" s="68"/>
      <c r="BV278" s="68"/>
      <c r="BW278" s="68"/>
      <c r="BX278" s="68"/>
      <c r="BY278" s="68"/>
      <c r="BZ278" s="68"/>
      <c r="CA278" s="68"/>
      <c r="CB278" s="68"/>
      <c r="CC278" s="68"/>
      <c r="CD278" s="68"/>
      <c r="CE278" s="68"/>
      <c r="CF278" s="68"/>
      <c r="CG278" s="68"/>
      <c r="CH278" s="68"/>
      <c r="CI278" s="68"/>
      <c r="CJ278" s="68"/>
      <c r="CK278" s="68"/>
      <c r="CL278" s="68"/>
      <c r="CM278" s="68"/>
      <c r="CN278" s="68"/>
      <c r="CO278" s="68"/>
      <c r="CP278" s="68"/>
      <c r="CQ278" s="68"/>
      <c r="CR278" s="68"/>
      <c r="CS278" s="68"/>
      <c r="CT278" s="68"/>
      <c r="CU278" s="68"/>
      <c r="CV278" s="68"/>
      <c r="CW278" s="68"/>
      <c r="CX278" s="68"/>
      <c r="CY278" s="68"/>
      <c r="CZ278" s="68"/>
      <c r="DA278" s="68"/>
      <c r="DB278" s="68"/>
      <c r="DC278" s="68"/>
      <c r="DD278" s="68"/>
      <c r="DE278" s="68"/>
      <c r="DF278" s="68"/>
      <c r="DG278" s="68"/>
      <c r="DH278" s="68"/>
      <c r="DI278" s="68"/>
      <c r="DJ278" s="68"/>
      <c r="DK278" s="68"/>
      <c r="DL278" s="68"/>
      <c r="DM278" s="68"/>
      <c r="DN278" s="68"/>
      <c r="DO278" s="68"/>
      <c r="DP278" s="68"/>
      <c r="DQ278" s="68"/>
      <c r="DR278" s="68"/>
      <c r="DS278" s="68"/>
      <c r="DT278" s="68"/>
      <c r="DU278" s="68"/>
      <c r="DV278" s="68"/>
      <c r="DW278" s="68"/>
      <c r="DX278" s="68"/>
      <c r="DY278" s="68"/>
      <c r="DZ278" s="68"/>
      <c r="EA278" s="68"/>
      <c r="EB278" s="68"/>
      <c r="EC278" s="68"/>
      <c r="ED278" s="68"/>
      <c r="EE278" s="68"/>
      <c r="EF278" s="68"/>
      <c r="EG278" s="68"/>
      <c r="EH278" s="68"/>
      <c r="EI278" s="68"/>
      <c r="EJ278" s="68"/>
      <c r="EK278" s="68"/>
      <c r="EL278" s="68"/>
      <c r="EM278" s="68"/>
      <c r="EN278" s="68"/>
      <c r="EO278" s="68"/>
      <c r="EP278" s="68"/>
    </row>
    <row r="279" spans="1:146" s="78" customFormat="1" ht="11.25">
      <c r="A279" s="87" t="str">
        <f t="shared" si="44"/>
        <v>TTRARSECONDARY &gt; 10 kW NCP</v>
      </c>
      <c r="B279" s="83">
        <v>3</v>
      </c>
      <c r="C279" s="87" t="s">
        <v>81</v>
      </c>
      <c r="D279" s="74" t="s">
        <v>4</v>
      </c>
      <c r="E279" s="124">
        <v>119411.68</v>
      </c>
      <c r="F279" s="124">
        <v>116745.57</v>
      </c>
      <c r="G279" s="124">
        <v>121510.77999999998</v>
      </c>
      <c r="H279" s="124">
        <v>123304.47999999998</v>
      </c>
      <c r="I279" s="124">
        <v>123424.46000000002</v>
      </c>
      <c r="J279" s="124">
        <v>121481.69999999998</v>
      </c>
      <c r="K279" s="124">
        <v>118411.49999999999</v>
      </c>
      <c r="L279" s="124">
        <v>116442.54</v>
      </c>
      <c r="M279" s="124">
        <v>121662.63</v>
      </c>
      <c r="N279" s="124">
        <v>128096.41000000002</v>
      </c>
      <c r="O279" s="124">
        <v>129839.84</v>
      </c>
      <c r="P279" s="124">
        <v>130763.36</v>
      </c>
      <c r="Q279" s="90">
        <f t="shared" ref="Q279:Q280" si="45">SUM(E279:P279)</f>
        <v>1471094.95</v>
      </c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  <c r="AO279" s="68"/>
      <c r="AP279" s="68"/>
      <c r="AQ279" s="68"/>
      <c r="AR279" s="68"/>
      <c r="AS279" s="68"/>
      <c r="AT279" s="68"/>
      <c r="AU279" s="68"/>
      <c r="AV279" s="68"/>
      <c r="AW279" s="68"/>
      <c r="AX279" s="68"/>
      <c r="AY279" s="68"/>
      <c r="AZ279" s="68"/>
      <c r="BA279" s="68"/>
      <c r="BB279" s="68"/>
      <c r="BC279" s="68"/>
      <c r="BD279" s="68"/>
      <c r="BE279" s="68"/>
      <c r="BF279" s="68"/>
      <c r="BG279" s="68"/>
      <c r="BH279" s="68"/>
      <c r="BI279" s="68"/>
      <c r="BJ279" s="68"/>
      <c r="BK279" s="68"/>
      <c r="BL279" s="68"/>
      <c r="BM279" s="68"/>
      <c r="BN279" s="68"/>
      <c r="BO279" s="68"/>
      <c r="BP279" s="68"/>
      <c r="BQ279" s="68"/>
      <c r="BR279" s="68"/>
      <c r="BS279" s="68"/>
      <c r="BT279" s="68"/>
      <c r="BU279" s="68"/>
      <c r="BV279" s="68"/>
      <c r="BW279" s="68"/>
      <c r="BX279" s="68"/>
      <c r="BY279" s="68"/>
      <c r="BZ279" s="68"/>
      <c r="CA279" s="68"/>
      <c r="CB279" s="68"/>
      <c r="CC279" s="68"/>
      <c r="CD279" s="68"/>
      <c r="CE279" s="68"/>
      <c r="CF279" s="68"/>
      <c r="CG279" s="68"/>
      <c r="CH279" s="68"/>
      <c r="CI279" s="68"/>
      <c r="CJ279" s="68"/>
      <c r="CK279" s="68"/>
      <c r="CL279" s="68"/>
      <c r="CM279" s="68"/>
      <c r="CN279" s="68"/>
      <c r="CO279" s="68"/>
      <c r="CP279" s="68"/>
      <c r="CQ279" s="68"/>
      <c r="CR279" s="68"/>
      <c r="CS279" s="68"/>
      <c r="CT279" s="68"/>
      <c r="CU279" s="68"/>
      <c r="CV279" s="68"/>
      <c r="CW279" s="68"/>
      <c r="CX279" s="68"/>
      <c r="CY279" s="68"/>
      <c r="CZ279" s="68"/>
      <c r="DA279" s="68"/>
      <c r="DB279" s="68"/>
      <c r="DC279" s="68"/>
      <c r="DD279" s="68"/>
      <c r="DE279" s="68"/>
      <c r="DF279" s="68"/>
      <c r="DG279" s="68"/>
      <c r="DH279" s="68"/>
      <c r="DI279" s="68"/>
      <c r="DJ279" s="68"/>
      <c r="DK279" s="68"/>
      <c r="DL279" s="68"/>
      <c r="DM279" s="68"/>
      <c r="DN279" s="68"/>
      <c r="DO279" s="68"/>
      <c r="DP279" s="68"/>
      <c r="DQ279" s="68"/>
      <c r="DR279" s="68"/>
      <c r="DS279" s="68"/>
      <c r="DT279" s="68"/>
      <c r="DU279" s="68"/>
      <c r="DV279" s="68"/>
      <c r="DW279" s="68"/>
      <c r="DX279" s="68"/>
      <c r="DY279" s="68"/>
      <c r="DZ279" s="68"/>
      <c r="EA279" s="68"/>
      <c r="EB279" s="68"/>
      <c r="EC279" s="68"/>
      <c r="ED279" s="68"/>
      <c r="EE279" s="68"/>
      <c r="EF279" s="68"/>
      <c r="EG279" s="68"/>
      <c r="EH279" s="68"/>
      <c r="EI279" s="68"/>
      <c r="EJ279" s="68"/>
      <c r="EK279" s="68"/>
      <c r="EL279" s="68"/>
      <c r="EM279" s="68"/>
      <c r="EN279" s="68"/>
      <c r="EO279" s="68"/>
      <c r="EP279" s="68"/>
    </row>
    <row r="280" spans="1:146" s="78" customFormat="1" ht="11.25">
      <c r="A280" s="87" t="str">
        <f t="shared" si="44"/>
        <v>TTRARSECONDARY &gt; 10 kW 4CP</v>
      </c>
      <c r="B280" s="83">
        <v>4</v>
      </c>
      <c r="C280" s="87" t="s">
        <v>85</v>
      </c>
      <c r="D280" s="74" t="s">
        <v>4</v>
      </c>
      <c r="E280" s="149">
        <v>16224.01</v>
      </c>
      <c r="F280" s="149">
        <v>15867.579999999998</v>
      </c>
      <c r="G280" s="149">
        <v>15500.13</v>
      </c>
      <c r="H280" s="149">
        <v>14818.11</v>
      </c>
      <c r="I280" s="149">
        <v>14239.84</v>
      </c>
      <c r="J280" s="149">
        <v>14697.86</v>
      </c>
      <c r="K280" s="149">
        <v>14737.910000000002</v>
      </c>
      <c r="L280" s="149">
        <v>15082.86</v>
      </c>
      <c r="M280" s="149">
        <v>15890.130000000001</v>
      </c>
      <c r="N280" s="149">
        <v>16780.699999999997</v>
      </c>
      <c r="O280" s="149">
        <v>17769.79</v>
      </c>
      <c r="P280" s="149">
        <v>18301.78</v>
      </c>
      <c r="Q280" s="149">
        <f t="shared" si="45"/>
        <v>189910.7</v>
      </c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  <c r="AO280" s="68"/>
      <c r="AP280" s="68"/>
      <c r="AQ280" s="68"/>
      <c r="AR280" s="68"/>
      <c r="AS280" s="68"/>
      <c r="AT280" s="68"/>
      <c r="AU280" s="68"/>
      <c r="AV280" s="68"/>
      <c r="AW280" s="68"/>
      <c r="AX280" s="68"/>
      <c r="AY280" s="68"/>
      <c r="AZ280" s="68"/>
      <c r="BA280" s="68"/>
      <c r="BB280" s="68"/>
      <c r="BC280" s="68"/>
      <c r="BD280" s="68"/>
      <c r="BE280" s="68"/>
      <c r="BF280" s="68"/>
      <c r="BG280" s="68"/>
      <c r="BH280" s="68"/>
      <c r="BI280" s="68"/>
      <c r="BJ280" s="68"/>
      <c r="BK280" s="68"/>
      <c r="BL280" s="68"/>
      <c r="BM280" s="68"/>
      <c r="BN280" s="68"/>
      <c r="BO280" s="68"/>
      <c r="BP280" s="68"/>
      <c r="BQ280" s="68"/>
      <c r="BR280" s="68"/>
      <c r="BS280" s="68"/>
      <c r="BT280" s="68"/>
      <c r="BU280" s="68"/>
      <c r="BV280" s="68"/>
      <c r="BW280" s="68"/>
      <c r="BX280" s="68"/>
      <c r="BY280" s="68"/>
      <c r="BZ280" s="68"/>
      <c r="CA280" s="68"/>
      <c r="CB280" s="68"/>
      <c r="CC280" s="68"/>
      <c r="CD280" s="68"/>
      <c r="CE280" s="68"/>
      <c r="CF280" s="68"/>
      <c r="CG280" s="68"/>
      <c r="CH280" s="68"/>
      <c r="CI280" s="68"/>
      <c r="CJ280" s="68"/>
      <c r="CK280" s="68"/>
      <c r="CL280" s="68"/>
      <c r="CM280" s="68"/>
      <c r="CN280" s="68"/>
      <c r="CO280" s="68"/>
      <c r="CP280" s="68"/>
      <c r="CQ280" s="68"/>
      <c r="CR280" s="68"/>
      <c r="CS280" s="68"/>
      <c r="CT280" s="68"/>
      <c r="CU280" s="68"/>
      <c r="CV280" s="68"/>
      <c r="CW280" s="68"/>
      <c r="CX280" s="68"/>
      <c r="CY280" s="68"/>
      <c r="CZ280" s="68"/>
      <c r="DA280" s="68"/>
      <c r="DB280" s="68"/>
      <c r="DC280" s="68"/>
      <c r="DD280" s="68"/>
      <c r="DE280" s="68"/>
      <c r="DF280" s="68"/>
      <c r="DG280" s="68"/>
      <c r="DH280" s="68"/>
      <c r="DI280" s="68"/>
      <c r="DJ280" s="68"/>
      <c r="DK280" s="68"/>
      <c r="DL280" s="68"/>
      <c r="DM280" s="68"/>
      <c r="DN280" s="68"/>
      <c r="DO280" s="68"/>
      <c r="DP280" s="68"/>
      <c r="DQ280" s="68"/>
      <c r="DR280" s="68"/>
      <c r="DS280" s="68"/>
      <c r="DT280" s="68"/>
      <c r="DU280" s="68"/>
      <c r="DV280" s="68"/>
      <c r="DW280" s="68"/>
      <c r="DX280" s="68"/>
      <c r="DY280" s="68"/>
      <c r="DZ280" s="68"/>
      <c r="EA280" s="68"/>
      <c r="EB280" s="68"/>
      <c r="EC280" s="68"/>
      <c r="ED280" s="68"/>
      <c r="EE280" s="68"/>
      <c r="EF280" s="68"/>
      <c r="EG280" s="68"/>
      <c r="EH280" s="68"/>
      <c r="EI280" s="68"/>
      <c r="EJ280" s="68"/>
      <c r="EK280" s="68"/>
      <c r="EL280" s="68"/>
      <c r="EM280" s="68"/>
      <c r="EN280" s="68"/>
      <c r="EO280" s="68"/>
      <c r="EP280" s="68"/>
    </row>
    <row r="281" spans="1:146" s="78" customFormat="1" ht="11.25">
      <c r="A281" s="87" t="str">
        <f t="shared" si="44"/>
        <v>TTRARTOTAL SECONDARY &gt; 10 kW</v>
      </c>
      <c r="B281" s="83">
        <v>5</v>
      </c>
      <c r="C281" s="96" t="s">
        <v>18</v>
      </c>
      <c r="D281" s="85"/>
      <c r="E281" s="231">
        <f t="shared" ref="E281:Q281" si="46">SUM(E279:E280)</f>
        <v>135635.69</v>
      </c>
      <c r="F281" s="231">
        <f t="shared" si="46"/>
        <v>132613.15</v>
      </c>
      <c r="G281" s="231">
        <f t="shared" si="46"/>
        <v>137010.90999999997</v>
      </c>
      <c r="H281" s="231">
        <f t="shared" si="46"/>
        <v>138122.58999999997</v>
      </c>
      <c r="I281" s="231">
        <f t="shared" si="46"/>
        <v>137664.30000000002</v>
      </c>
      <c r="J281" s="231">
        <f t="shared" si="46"/>
        <v>136179.56</v>
      </c>
      <c r="K281" s="231">
        <f t="shared" si="46"/>
        <v>133149.40999999997</v>
      </c>
      <c r="L281" s="231">
        <f t="shared" si="46"/>
        <v>131525.4</v>
      </c>
      <c r="M281" s="231">
        <f t="shared" si="46"/>
        <v>137552.76</v>
      </c>
      <c r="N281" s="231">
        <f t="shared" si="46"/>
        <v>144877.11000000002</v>
      </c>
      <c r="O281" s="231">
        <f t="shared" si="46"/>
        <v>147609.63</v>
      </c>
      <c r="P281" s="231">
        <f t="shared" si="46"/>
        <v>149065.14000000001</v>
      </c>
      <c r="Q281" s="231">
        <f t="shared" si="46"/>
        <v>1661005.65</v>
      </c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  <c r="AO281" s="68"/>
      <c r="AP281" s="68"/>
      <c r="AQ281" s="68"/>
      <c r="AR281" s="68"/>
      <c r="AS281" s="68"/>
      <c r="AT281" s="68"/>
      <c r="AU281" s="68"/>
      <c r="AV281" s="68"/>
      <c r="AW281" s="68"/>
      <c r="AX281" s="68"/>
      <c r="AY281" s="68"/>
      <c r="AZ281" s="68"/>
      <c r="BA281" s="68"/>
      <c r="BB281" s="68"/>
      <c r="BC281" s="68"/>
      <c r="BD281" s="68"/>
      <c r="BE281" s="68"/>
      <c r="BF281" s="68"/>
      <c r="BG281" s="68"/>
      <c r="BH281" s="68"/>
      <c r="BI281" s="68"/>
      <c r="BJ281" s="68"/>
      <c r="BK281" s="68"/>
      <c r="BL281" s="68"/>
      <c r="BM281" s="68"/>
      <c r="BN281" s="68"/>
      <c r="BO281" s="68"/>
      <c r="BP281" s="68"/>
      <c r="BQ281" s="68"/>
      <c r="BR281" s="68"/>
      <c r="BS281" s="68"/>
      <c r="BT281" s="68"/>
      <c r="BU281" s="68"/>
      <c r="BV281" s="68"/>
      <c r="BW281" s="68"/>
      <c r="BX281" s="68"/>
      <c r="BY281" s="68"/>
      <c r="BZ281" s="68"/>
      <c r="CA281" s="68"/>
      <c r="CB281" s="68"/>
      <c r="CC281" s="68"/>
      <c r="CD281" s="68"/>
      <c r="CE281" s="68"/>
      <c r="CF281" s="68"/>
      <c r="CG281" s="68"/>
      <c r="CH281" s="68"/>
      <c r="CI281" s="68"/>
      <c r="CJ281" s="68"/>
      <c r="CK281" s="68"/>
      <c r="CL281" s="68"/>
      <c r="CM281" s="68"/>
      <c r="CN281" s="68"/>
      <c r="CO281" s="68"/>
      <c r="CP281" s="68"/>
      <c r="CQ281" s="68"/>
      <c r="CR281" s="68"/>
      <c r="CS281" s="68"/>
      <c r="CT281" s="68"/>
      <c r="CU281" s="68"/>
      <c r="CV281" s="68"/>
      <c r="CW281" s="68"/>
      <c r="CX281" s="68"/>
      <c r="CY281" s="68"/>
      <c r="CZ281" s="68"/>
      <c r="DA281" s="68"/>
      <c r="DB281" s="68"/>
      <c r="DC281" s="68"/>
      <c r="DD281" s="68"/>
      <c r="DE281" s="68"/>
      <c r="DF281" s="68"/>
      <c r="DG281" s="68"/>
      <c r="DH281" s="68"/>
      <c r="DI281" s="68"/>
      <c r="DJ281" s="68"/>
      <c r="DK281" s="68"/>
      <c r="DL281" s="68"/>
      <c r="DM281" s="68"/>
      <c r="DN281" s="68"/>
      <c r="DO281" s="68"/>
      <c r="DP281" s="68"/>
      <c r="DQ281" s="68"/>
      <c r="DR281" s="68"/>
      <c r="DS281" s="68"/>
      <c r="DT281" s="68"/>
      <c r="DU281" s="68"/>
      <c r="DV281" s="68"/>
      <c r="DW281" s="68"/>
      <c r="DX281" s="68"/>
      <c r="DY281" s="68"/>
      <c r="DZ281" s="68"/>
      <c r="EA281" s="68"/>
      <c r="EB281" s="68"/>
      <c r="EC281" s="68"/>
      <c r="ED281" s="68"/>
      <c r="EE281" s="68"/>
      <c r="EF281" s="68"/>
      <c r="EG281" s="68"/>
      <c r="EH281" s="68"/>
      <c r="EI281" s="68"/>
      <c r="EJ281" s="68"/>
      <c r="EK281" s="68"/>
      <c r="EL281" s="68"/>
      <c r="EM281" s="68"/>
      <c r="EN281" s="68"/>
      <c r="EO281" s="68"/>
      <c r="EP281" s="68"/>
    </row>
    <row r="282" spans="1:146" s="78" customFormat="1" ht="11.25">
      <c r="A282" s="87" t="str">
        <f t="shared" si="44"/>
        <v>TTRAR</v>
      </c>
      <c r="C282" s="146"/>
      <c r="D282" s="85"/>
      <c r="E282" s="231"/>
      <c r="F282" s="231"/>
      <c r="G282" s="231"/>
      <c r="H282" s="231"/>
      <c r="I282" s="231"/>
      <c r="J282" s="231"/>
      <c r="K282" s="231"/>
      <c r="L282" s="231"/>
      <c r="M282" s="231"/>
      <c r="N282" s="231"/>
      <c r="O282" s="231"/>
      <c r="P282" s="90"/>
      <c r="Q282" s="71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  <c r="BT282" s="68"/>
      <c r="BU282" s="68"/>
      <c r="BV282" s="68"/>
      <c r="BW282" s="68"/>
      <c r="BX282" s="68"/>
      <c r="BY282" s="68"/>
      <c r="BZ282" s="68"/>
      <c r="CA282" s="68"/>
      <c r="CB282" s="68"/>
      <c r="CC282" s="68"/>
      <c r="CD282" s="68"/>
      <c r="CE282" s="68"/>
      <c r="CF282" s="68"/>
      <c r="CG282" s="68"/>
      <c r="CH282" s="68"/>
      <c r="CI282" s="68"/>
      <c r="CJ282" s="68"/>
      <c r="CK282" s="68"/>
      <c r="CL282" s="68"/>
      <c r="CM282" s="68"/>
      <c r="CN282" s="68"/>
      <c r="CO282" s="68"/>
      <c r="CP282" s="68"/>
      <c r="CQ282" s="68"/>
      <c r="CR282" s="68"/>
      <c r="CS282" s="68"/>
      <c r="CT282" s="68"/>
      <c r="CU282" s="68"/>
      <c r="CV282" s="68"/>
      <c r="CW282" s="68"/>
      <c r="CX282" s="68"/>
      <c r="CY282" s="68"/>
      <c r="CZ282" s="68"/>
      <c r="DA282" s="68"/>
      <c r="DB282" s="68"/>
      <c r="DC282" s="68"/>
      <c r="DD282" s="68"/>
      <c r="DE282" s="68"/>
      <c r="DF282" s="68"/>
      <c r="DG282" s="68"/>
      <c r="DH282" s="68"/>
      <c r="DI282" s="68"/>
      <c r="DJ282" s="68"/>
      <c r="DK282" s="68"/>
      <c r="DL282" s="68"/>
      <c r="DM282" s="68"/>
      <c r="DN282" s="68"/>
      <c r="DO282" s="68"/>
      <c r="DP282" s="68"/>
      <c r="DQ282" s="68"/>
      <c r="DR282" s="68"/>
      <c r="DS282" s="68"/>
      <c r="DT282" s="68"/>
      <c r="DU282" s="68"/>
      <c r="DV282" s="68"/>
      <c r="DW282" s="68"/>
      <c r="DX282" s="68"/>
      <c r="DY282" s="68"/>
      <c r="DZ282" s="68"/>
      <c r="EA282" s="68"/>
      <c r="EB282" s="68"/>
      <c r="EC282" s="68"/>
      <c r="ED282" s="68"/>
      <c r="EE282" s="68"/>
      <c r="EF282" s="68"/>
      <c r="EG282" s="68"/>
      <c r="EH282" s="68"/>
      <c r="EI282" s="68"/>
      <c r="EJ282" s="68"/>
      <c r="EK282" s="68"/>
      <c r="EL282" s="68"/>
      <c r="EM282" s="68"/>
      <c r="EN282" s="68"/>
      <c r="EO282" s="68"/>
      <c r="EP282" s="68"/>
    </row>
    <row r="283" spans="1:146" s="78" customFormat="1" ht="11.25">
      <c r="A283" s="87" t="str">
        <f t="shared" si="44"/>
        <v>TTRARPRIMARY NCP</v>
      </c>
      <c r="B283" s="83">
        <v>6</v>
      </c>
      <c r="C283" s="87" t="s">
        <v>82</v>
      </c>
      <c r="D283" s="74" t="s">
        <v>5</v>
      </c>
      <c r="E283" s="124">
        <f>2541.33-E285</f>
        <v>2470.67</v>
      </c>
      <c r="F283" s="124">
        <f>2646.36-F285</f>
        <v>2576.75</v>
      </c>
      <c r="G283" s="124">
        <f>2674.7-G285</f>
        <v>2608.04</v>
      </c>
      <c r="H283" s="124">
        <f>2574.16-H285</f>
        <v>2508.79</v>
      </c>
      <c r="I283" s="124">
        <f>2638.74-I285</f>
        <v>2573.0299999999997</v>
      </c>
      <c r="J283" s="124">
        <f>2844.24-J285</f>
        <v>2779.9399999999996</v>
      </c>
      <c r="K283" s="124">
        <f>2932.27-K285</f>
        <v>2866.86</v>
      </c>
      <c r="L283" s="124">
        <f>2992.16-L285</f>
        <v>2922.14</v>
      </c>
      <c r="M283" s="124">
        <f>2756.67-M285</f>
        <v>2686.09</v>
      </c>
      <c r="N283" s="124">
        <f>3047.48-N285</f>
        <v>2977.96</v>
      </c>
      <c r="O283" s="124">
        <f>2817.12-O285</f>
        <v>2747.3599999999997</v>
      </c>
      <c r="P283" s="124">
        <f>2859.72-P285</f>
        <v>2792.79</v>
      </c>
      <c r="Q283" s="90">
        <f t="shared" ref="Q283:Q286" si="47">SUM(E283:P283)</f>
        <v>32510.42</v>
      </c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  <c r="AV283" s="68"/>
      <c r="AW283" s="68"/>
      <c r="AX283" s="68"/>
      <c r="AY283" s="68"/>
      <c r="AZ283" s="68"/>
      <c r="BA283" s="68"/>
      <c r="BB283" s="68"/>
      <c r="BC283" s="68"/>
      <c r="BD283" s="68"/>
      <c r="BE283" s="68"/>
      <c r="BF283" s="68"/>
      <c r="BG283" s="68"/>
      <c r="BH283" s="68"/>
      <c r="BI283" s="68"/>
      <c r="BJ283" s="68"/>
      <c r="BK283" s="68"/>
      <c r="BL283" s="68"/>
      <c r="BM283" s="68"/>
      <c r="BN283" s="68"/>
      <c r="BO283" s="68"/>
      <c r="BP283" s="68"/>
      <c r="BQ283" s="68"/>
      <c r="BR283" s="68"/>
      <c r="BS283" s="68"/>
      <c r="BT283" s="68"/>
      <c r="BU283" s="68"/>
      <c r="BV283" s="68"/>
      <c r="BW283" s="68"/>
      <c r="BX283" s="68"/>
      <c r="BY283" s="68"/>
      <c r="BZ283" s="68"/>
      <c r="CA283" s="68"/>
      <c r="CB283" s="68"/>
      <c r="CC283" s="68"/>
      <c r="CD283" s="68"/>
      <c r="CE283" s="68"/>
      <c r="CF283" s="68"/>
      <c r="CG283" s="68"/>
      <c r="CH283" s="68"/>
      <c r="CI283" s="68"/>
      <c r="CJ283" s="68"/>
      <c r="CK283" s="68"/>
      <c r="CL283" s="68"/>
      <c r="CM283" s="68"/>
      <c r="CN283" s="68"/>
      <c r="CO283" s="68"/>
      <c r="CP283" s="68"/>
      <c r="CQ283" s="68"/>
      <c r="CR283" s="68"/>
      <c r="CS283" s="68"/>
      <c r="CT283" s="68"/>
      <c r="CU283" s="68"/>
      <c r="CV283" s="68"/>
      <c r="CW283" s="68"/>
      <c r="CX283" s="68"/>
      <c r="CY283" s="68"/>
      <c r="CZ283" s="68"/>
      <c r="DA283" s="68"/>
      <c r="DB283" s="68"/>
      <c r="DC283" s="68"/>
      <c r="DD283" s="68"/>
      <c r="DE283" s="68"/>
      <c r="DF283" s="68"/>
      <c r="DG283" s="68"/>
      <c r="DH283" s="68"/>
      <c r="DI283" s="68"/>
      <c r="DJ283" s="68"/>
      <c r="DK283" s="68"/>
      <c r="DL283" s="68"/>
      <c r="DM283" s="68"/>
      <c r="DN283" s="68"/>
      <c r="DO283" s="68"/>
      <c r="DP283" s="68"/>
      <c r="DQ283" s="68"/>
      <c r="DR283" s="68"/>
      <c r="DS283" s="68"/>
      <c r="DT283" s="68"/>
      <c r="DU283" s="68"/>
      <c r="DV283" s="68"/>
      <c r="DW283" s="68"/>
      <c r="DX283" s="68"/>
      <c r="DY283" s="68"/>
      <c r="DZ283" s="68"/>
      <c r="EA283" s="68"/>
      <c r="EB283" s="68"/>
      <c r="EC283" s="68"/>
      <c r="ED283" s="68"/>
      <c r="EE283" s="68"/>
      <c r="EF283" s="68"/>
      <c r="EG283" s="68"/>
      <c r="EH283" s="68"/>
      <c r="EI283" s="68"/>
      <c r="EJ283" s="68"/>
      <c r="EK283" s="68"/>
      <c r="EL283" s="68"/>
      <c r="EM283" s="68"/>
      <c r="EN283" s="68"/>
      <c r="EO283" s="68"/>
      <c r="EP283" s="68"/>
    </row>
    <row r="284" spans="1:146" s="78" customFormat="1" ht="11.25">
      <c r="A284" s="87" t="str">
        <f t="shared" si="44"/>
        <v>TTRARPRIMARY 4CP</v>
      </c>
      <c r="B284" s="83">
        <v>7</v>
      </c>
      <c r="C284" s="87" t="s">
        <v>83</v>
      </c>
      <c r="D284" s="74" t="s">
        <v>5</v>
      </c>
      <c r="E284" s="124">
        <f>38029.11-E286</f>
        <v>30189.27</v>
      </c>
      <c r="F284" s="124">
        <f>36931.24-F286</f>
        <v>29077.19</v>
      </c>
      <c r="G284" s="124">
        <f>37150.39-G286</f>
        <v>29381.06</v>
      </c>
      <c r="H284" s="124">
        <f>35252.17-H286</f>
        <v>27402.569999999996</v>
      </c>
      <c r="I284" s="124">
        <f>36253.65-I286</f>
        <v>28527.79</v>
      </c>
      <c r="J284" s="124">
        <f>38176.39-J286</f>
        <v>30374.36</v>
      </c>
      <c r="K284" s="124">
        <f>36134.41-K286</f>
        <v>28444.460000000003</v>
      </c>
      <c r="L284" s="124">
        <f>38597.37-L286</f>
        <v>31087.720000000005</v>
      </c>
      <c r="M284" s="124">
        <f>38757.94-M286</f>
        <v>31028.22</v>
      </c>
      <c r="N284" s="124">
        <f>39348.43-N286</f>
        <v>31946.46</v>
      </c>
      <c r="O284" s="124">
        <f>39342.07-O286</f>
        <v>31933.58</v>
      </c>
      <c r="P284" s="124">
        <f>37163.88-P286</f>
        <v>29666.629999999997</v>
      </c>
      <c r="Q284" s="90">
        <f t="shared" si="47"/>
        <v>359059.31000000006</v>
      </c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  <c r="AO284" s="68"/>
      <c r="AP284" s="68"/>
      <c r="AQ284" s="68"/>
      <c r="AR284" s="68"/>
      <c r="AS284" s="68"/>
      <c r="AT284" s="68"/>
      <c r="AU284" s="68"/>
      <c r="AV284" s="68"/>
      <c r="AW284" s="68"/>
      <c r="AX284" s="68"/>
      <c r="AY284" s="68"/>
      <c r="AZ284" s="68"/>
      <c r="BA284" s="68"/>
      <c r="BB284" s="68"/>
      <c r="BC284" s="68"/>
      <c r="BD284" s="68"/>
      <c r="BE284" s="68"/>
      <c r="BF284" s="68"/>
      <c r="BG284" s="68"/>
      <c r="BH284" s="68"/>
      <c r="BI284" s="68"/>
      <c r="BJ284" s="68"/>
      <c r="BK284" s="68"/>
      <c r="BL284" s="68"/>
      <c r="BM284" s="68"/>
      <c r="BN284" s="68"/>
      <c r="BO284" s="68"/>
      <c r="BP284" s="68"/>
      <c r="BQ284" s="68"/>
      <c r="BR284" s="68"/>
      <c r="BS284" s="68"/>
      <c r="BT284" s="68"/>
      <c r="BU284" s="68"/>
      <c r="BV284" s="68"/>
      <c r="BW284" s="68"/>
      <c r="BX284" s="68"/>
      <c r="BY284" s="68"/>
      <c r="BZ284" s="68"/>
      <c r="CA284" s="68"/>
      <c r="CB284" s="68"/>
      <c r="CC284" s="68"/>
      <c r="CD284" s="68"/>
      <c r="CE284" s="68"/>
      <c r="CF284" s="68"/>
      <c r="CG284" s="68"/>
      <c r="CH284" s="68"/>
      <c r="CI284" s="68"/>
      <c r="CJ284" s="68"/>
      <c r="CK284" s="68"/>
      <c r="CL284" s="68"/>
      <c r="CM284" s="68"/>
      <c r="CN284" s="68"/>
      <c r="CO284" s="68"/>
      <c r="CP284" s="68"/>
      <c r="CQ284" s="68"/>
      <c r="CR284" s="68"/>
      <c r="CS284" s="68"/>
      <c r="CT284" s="68"/>
      <c r="CU284" s="68"/>
      <c r="CV284" s="68"/>
      <c r="CW284" s="68"/>
      <c r="CX284" s="68"/>
      <c r="CY284" s="68"/>
      <c r="CZ284" s="68"/>
      <c r="DA284" s="68"/>
      <c r="DB284" s="68"/>
      <c r="DC284" s="68"/>
      <c r="DD284" s="68"/>
      <c r="DE284" s="68"/>
      <c r="DF284" s="68"/>
      <c r="DG284" s="68"/>
      <c r="DH284" s="68"/>
      <c r="DI284" s="68"/>
      <c r="DJ284" s="68"/>
      <c r="DK284" s="68"/>
      <c r="DL284" s="68"/>
      <c r="DM284" s="68"/>
      <c r="DN284" s="68"/>
      <c r="DO284" s="68"/>
      <c r="DP284" s="68"/>
      <c r="DQ284" s="68"/>
      <c r="DR284" s="68"/>
      <c r="DS284" s="68"/>
      <c r="DT284" s="68"/>
      <c r="DU284" s="68"/>
      <c r="DV284" s="68"/>
      <c r="DW284" s="68"/>
      <c r="DX284" s="68"/>
      <c r="DY284" s="68"/>
      <c r="DZ284" s="68"/>
      <c r="EA284" s="68"/>
      <c r="EB284" s="68"/>
      <c r="EC284" s="68"/>
      <c r="ED284" s="68"/>
      <c r="EE284" s="68"/>
      <c r="EF284" s="68"/>
      <c r="EG284" s="68"/>
      <c r="EH284" s="68"/>
      <c r="EI284" s="68"/>
      <c r="EJ284" s="68"/>
      <c r="EK284" s="68"/>
      <c r="EL284" s="68"/>
      <c r="EM284" s="68"/>
      <c r="EN284" s="68"/>
      <c r="EO284" s="68"/>
      <c r="EP284" s="68"/>
    </row>
    <row r="285" spans="1:146" s="78" customFormat="1" ht="11.25">
      <c r="A285" s="87" t="str">
        <f t="shared" si="44"/>
        <v>TTRARPRIMARY SUB NCP</v>
      </c>
      <c r="B285" s="83">
        <v>8</v>
      </c>
      <c r="C285" s="87" t="s">
        <v>148</v>
      </c>
      <c r="D285" s="74" t="s">
        <v>5</v>
      </c>
      <c r="E285" s="346">
        <f>+'Prm Sb Rev Rider'!DU72</f>
        <v>70.66</v>
      </c>
      <c r="F285" s="346">
        <f>+'Prm Sb Rev Rider'!DV72</f>
        <v>69.609999999999985</v>
      </c>
      <c r="G285" s="346">
        <f>+'Prm Sb Rev Rider'!DW72</f>
        <v>66.66</v>
      </c>
      <c r="H285" s="346">
        <f>+'Prm Sb Rev Rider'!DX72</f>
        <v>65.37</v>
      </c>
      <c r="I285" s="346">
        <f>+'Prm Sb Rev Rider'!DY72</f>
        <v>65.709999999999994</v>
      </c>
      <c r="J285" s="346">
        <f>+'Prm Sb Rev Rider'!DZ72</f>
        <v>64.3</v>
      </c>
      <c r="K285" s="346">
        <f>+'Prm Sb Rev Rider'!EA72</f>
        <v>65.41</v>
      </c>
      <c r="L285" s="346">
        <f>+'Prm Sb Rev Rider'!EB72</f>
        <v>70.02</v>
      </c>
      <c r="M285" s="346">
        <f>+'Prm Sb Rev Rider'!EC72</f>
        <v>70.58</v>
      </c>
      <c r="N285" s="346">
        <f>+'Prm Sb Rev Rider'!ED72</f>
        <v>69.52000000000001</v>
      </c>
      <c r="O285" s="346">
        <f>+'Prm Sb Rev Rider'!EE72</f>
        <v>69.760000000000005</v>
      </c>
      <c r="P285" s="346">
        <f>+'Prm Sb Rev Rider'!EF72</f>
        <v>66.930000000000007</v>
      </c>
      <c r="Q285" s="90">
        <f t="shared" si="47"/>
        <v>814.53</v>
      </c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  <c r="AO285" s="68"/>
      <c r="AP285" s="68"/>
      <c r="AQ285" s="68"/>
      <c r="AR285" s="68"/>
      <c r="AS285" s="68"/>
      <c r="AT285" s="68"/>
      <c r="AU285" s="68"/>
      <c r="AV285" s="68"/>
      <c r="AW285" s="68"/>
      <c r="AX285" s="68"/>
      <c r="AY285" s="68"/>
      <c r="AZ285" s="68"/>
      <c r="BA285" s="68"/>
      <c r="BB285" s="68"/>
      <c r="BC285" s="68"/>
      <c r="BD285" s="68"/>
      <c r="BE285" s="68"/>
      <c r="BF285" s="68"/>
      <c r="BG285" s="68"/>
      <c r="BH285" s="68"/>
      <c r="BI285" s="68"/>
      <c r="BJ285" s="68"/>
      <c r="BK285" s="68"/>
      <c r="BL285" s="68"/>
      <c r="BM285" s="68"/>
      <c r="BN285" s="68"/>
      <c r="BO285" s="68"/>
      <c r="BP285" s="68"/>
      <c r="BQ285" s="68"/>
      <c r="BR285" s="68"/>
      <c r="BS285" s="68"/>
      <c r="BT285" s="68"/>
      <c r="BU285" s="68"/>
      <c r="BV285" s="68"/>
      <c r="BW285" s="68"/>
      <c r="BX285" s="68"/>
      <c r="BY285" s="68"/>
      <c r="BZ285" s="68"/>
      <c r="CA285" s="68"/>
      <c r="CB285" s="68"/>
      <c r="CC285" s="68"/>
      <c r="CD285" s="68"/>
      <c r="CE285" s="68"/>
      <c r="CF285" s="68"/>
      <c r="CG285" s="68"/>
      <c r="CH285" s="68"/>
      <c r="CI285" s="68"/>
      <c r="CJ285" s="68"/>
      <c r="CK285" s="68"/>
      <c r="CL285" s="68"/>
      <c r="CM285" s="68"/>
      <c r="CN285" s="68"/>
      <c r="CO285" s="68"/>
      <c r="CP285" s="68"/>
      <c r="CQ285" s="68"/>
      <c r="CR285" s="68"/>
      <c r="CS285" s="68"/>
      <c r="CT285" s="68"/>
      <c r="CU285" s="68"/>
      <c r="CV285" s="68"/>
      <c r="CW285" s="68"/>
      <c r="CX285" s="68"/>
      <c r="CY285" s="68"/>
      <c r="CZ285" s="68"/>
      <c r="DA285" s="68"/>
      <c r="DB285" s="68"/>
      <c r="DC285" s="68"/>
      <c r="DD285" s="68"/>
      <c r="DE285" s="68"/>
      <c r="DF285" s="68"/>
      <c r="DG285" s="68"/>
      <c r="DH285" s="68"/>
      <c r="DI285" s="68"/>
      <c r="DJ285" s="68"/>
      <c r="DK285" s="68"/>
      <c r="DL285" s="68"/>
      <c r="DM285" s="68"/>
      <c r="DN285" s="68"/>
      <c r="DO285" s="68"/>
      <c r="DP285" s="68"/>
      <c r="DQ285" s="68"/>
      <c r="DR285" s="68"/>
      <c r="DS285" s="68"/>
      <c r="DT285" s="68"/>
      <c r="DU285" s="68"/>
      <c r="DV285" s="68"/>
      <c r="DW285" s="68"/>
      <c r="DX285" s="68"/>
      <c r="DY285" s="68"/>
      <c r="DZ285" s="68"/>
      <c r="EA285" s="68"/>
      <c r="EB285" s="68"/>
      <c r="EC285" s="68"/>
      <c r="ED285" s="68"/>
      <c r="EE285" s="68"/>
      <c r="EF285" s="68"/>
      <c r="EG285" s="68"/>
      <c r="EH285" s="68"/>
      <c r="EI285" s="68"/>
      <c r="EJ285" s="68"/>
      <c r="EK285" s="68"/>
      <c r="EL285" s="68"/>
      <c r="EM285" s="68"/>
      <c r="EN285" s="68"/>
      <c r="EO285" s="68"/>
      <c r="EP285" s="68"/>
    </row>
    <row r="286" spans="1:146" s="78" customFormat="1" ht="11.25">
      <c r="A286" s="87" t="str">
        <f t="shared" si="44"/>
        <v>TTRARPRIMARY SUB 4CP</v>
      </c>
      <c r="B286" s="83">
        <v>9</v>
      </c>
      <c r="C286" s="87" t="s">
        <v>149</v>
      </c>
      <c r="D286" s="74" t="s">
        <v>5</v>
      </c>
      <c r="E286" s="346">
        <f>+'Prm Sb Rev Rider'!DU60+'Prm Sb Rev Rider'!DU62</f>
        <v>7839.8399999999992</v>
      </c>
      <c r="F286" s="346">
        <f>+'Prm Sb Rev Rider'!DV60+'Prm Sb Rev Rider'!DV62</f>
        <v>7854.0499999999993</v>
      </c>
      <c r="G286" s="346">
        <f>+'Prm Sb Rev Rider'!DW60+'Prm Sb Rev Rider'!DW62</f>
        <v>7769.329999999999</v>
      </c>
      <c r="H286" s="346">
        <f>+'Prm Sb Rev Rider'!DX60+'Prm Sb Rev Rider'!DX62</f>
        <v>7849.6000000000013</v>
      </c>
      <c r="I286" s="346">
        <f>+'Prm Sb Rev Rider'!DY60+'Prm Sb Rev Rider'!DY62</f>
        <v>7725.8600000000006</v>
      </c>
      <c r="J286" s="346">
        <f>+'Prm Sb Rev Rider'!DZ60+'Prm Sb Rev Rider'!DZ62</f>
        <v>7802.03</v>
      </c>
      <c r="K286" s="346">
        <f>+'Prm Sb Rev Rider'!EA60+'Prm Sb Rev Rider'!EA62</f>
        <v>7689.95</v>
      </c>
      <c r="L286" s="346">
        <f>+'Prm Sb Rev Rider'!EB60+'Prm Sb Rev Rider'!EB62</f>
        <v>7509.6499999999987</v>
      </c>
      <c r="M286" s="346">
        <f>+'Prm Sb Rev Rider'!EC60+'Prm Sb Rev Rider'!EC62</f>
        <v>7729.7200000000012</v>
      </c>
      <c r="N286" s="346">
        <f>+'Prm Sb Rev Rider'!ED60+'Prm Sb Rev Rider'!ED62</f>
        <v>7401.9700000000021</v>
      </c>
      <c r="O286" s="346">
        <f>+'Prm Sb Rev Rider'!EE60+'Prm Sb Rev Rider'!EE62</f>
        <v>7408.489999999998</v>
      </c>
      <c r="P286" s="346">
        <f>+'Prm Sb Rev Rider'!EF60+'Prm Sb Rev Rider'!EF62</f>
        <v>7497.2499999999991</v>
      </c>
      <c r="Q286" s="90">
        <f t="shared" si="47"/>
        <v>92077.739999999991</v>
      </c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  <c r="AO286" s="68"/>
      <c r="AP286" s="68"/>
      <c r="AQ286" s="68"/>
      <c r="AR286" s="68"/>
      <c r="AS286" s="68"/>
      <c r="AT286" s="68"/>
      <c r="AU286" s="68"/>
      <c r="AV286" s="68"/>
      <c r="AW286" s="68"/>
      <c r="AX286" s="68"/>
      <c r="AY286" s="68"/>
      <c r="AZ286" s="68"/>
      <c r="BA286" s="68"/>
      <c r="BB286" s="68"/>
      <c r="BC286" s="68"/>
      <c r="BD286" s="68"/>
      <c r="BE286" s="68"/>
      <c r="BF286" s="68"/>
      <c r="BG286" s="68"/>
      <c r="BH286" s="68"/>
      <c r="BI286" s="68"/>
      <c r="BJ286" s="68"/>
      <c r="BK286" s="68"/>
      <c r="BL286" s="68"/>
      <c r="BM286" s="68"/>
      <c r="BN286" s="68"/>
      <c r="BO286" s="68"/>
      <c r="BP286" s="68"/>
      <c r="BQ286" s="68"/>
      <c r="BR286" s="68"/>
      <c r="BS286" s="68"/>
      <c r="BT286" s="68"/>
      <c r="BU286" s="68"/>
      <c r="BV286" s="68"/>
      <c r="BW286" s="68"/>
      <c r="BX286" s="68"/>
      <c r="BY286" s="68"/>
      <c r="BZ286" s="68"/>
      <c r="CA286" s="68"/>
      <c r="CB286" s="68"/>
      <c r="CC286" s="68"/>
      <c r="CD286" s="68"/>
      <c r="CE286" s="68"/>
      <c r="CF286" s="68"/>
      <c r="CG286" s="68"/>
      <c r="CH286" s="68"/>
      <c r="CI286" s="68"/>
      <c r="CJ286" s="68"/>
      <c r="CK286" s="68"/>
      <c r="CL286" s="68"/>
      <c r="CM286" s="68"/>
      <c r="CN286" s="68"/>
      <c r="CO286" s="68"/>
      <c r="CP286" s="68"/>
      <c r="CQ286" s="68"/>
      <c r="CR286" s="68"/>
      <c r="CS286" s="68"/>
      <c r="CT286" s="68"/>
      <c r="CU286" s="68"/>
      <c r="CV286" s="68"/>
      <c r="CW286" s="68"/>
      <c r="CX286" s="68"/>
      <c r="CY286" s="68"/>
      <c r="CZ286" s="68"/>
      <c r="DA286" s="68"/>
      <c r="DB286" s="68"/>
      <c r="DC286" s="68"/>
      <c r="DD286" s="68"/>
      <c r="DE286" s="68"/>
      <c r="DF286" s="68"/>
      <c r="DG286" s="68"/>
      <c r="DH286" s="68"/>
      <c r="DI286" s="68"/>
      <c r="DJ286" s="68"/>
      <c r="DK286" s="68"/>
      <c r="DL286" s="68"/>
      <c r="DM286" s="68"/>
      <c r="DN286" s="68"/>
      <c r="DO286" s="68"/>
      <c r="DP286" s="68"/>
      <c r="DQ286" s="68"/>
      <c r="DR286" s="68"/>
      <c r="DS286" s="68"/>
      <c r="DT286" s="68"/>
      <c r="DU286" s="68"/>
      <c r="DV286" s="68"/>
      <c r="DW286" s="68"/>
      <c r="DX286" s="68"/>
      <c r="DY286" s="68"/>
      <c r="DZ286" s="68"/>
      <c r="EA286" s="68"/>
      <c r="EB286" s="68"/>
      <c r="EC286" s="68"/>
      <c r="ED286" s="68"/>
      <c r="EE286" s="68"/>
      <c r="EF286" s="68"/>
      <c r="EG286" s="68"/>
      <c r="EH286" s="68"/>
      <c r="EI286" s="68"/>
      <c r="EJ286" s="68"/>
      <c r="EK286" s="68"/>
      <c r="EL286" s="68"/>
      <c r="EM286" s="68"/>
      <c r="EN286" s="68"/>
      <c r="EO286" s="68"/>
      <c r="EP286" s="68"/>
    </row>
    <row r="287" spans="1:146" s="78" customFormat="1" ht="11.25">
      <c r="A287" s="87" t="str">
        <f t="shared" si="44"/>
        <v>TTRARTOTAL PRIMARY</v>
      </c>
      <c r="B287" s="83">
        <v>10</v>
      </c>
      <c r="C287" s="78" t="s">
        <v>19</v>
      </c>
      <c r="D287" s="74"/>
      <c r="E287" s="233">
        <f>SUM(E283:E286)</f>
        <v>40570.44</v>
      </c>
      <c r="F287" s="233">
        <f t="shared" ref="F287:Q287" si="48">SUM(F283:F286)</f>
        <v>39577.599999999999</v>
      </c>
      <c r="G287" s="233">
        <f t="shared" si="48"/>
        <v>39825.090000000004</v>
      </c>
      <c r="H287" s="233">
        <f t="shared" si="48"/>
        <v>37826.329999999994</v>
      </c>
      <c r="I287" s="233">
        <f t="shared" si="48"/>
        <v>38892.39</v>
      </c>
      <c r="J287" s="233">
        <f t="shared" si="48"/>
        <v>41020.630000000005</v>
      </c>
      <c r="K287" s="233">
        <f t="shared" si="48"/>
        <v>39066.68</v>
      </c>
      <c r="L287" s="233">
        <f t="shared" si="48"/>
        <v>41589.530000000006</v>
      </c>
      <c r="M287" s="233">
        <f t="shared" si="48"/>
        <v>41514.61</v>
      </c>
      <c r="N287" s="233">
        <f t="shared" si="48"/>
        <v>42395.909999999996</v>
      </c>
      <c r="O287" s="233">
        <f t="shared" si="48"/>
        <v>42159.19</v>
      </c>
      <c r="P287" s="233">
        <f t="shared" si="48"/>
        <v>40023.599999999999</v>
      </c>
      <c r="Q287" s="233">
        <f t="shared" si="48"/>
        <v>484462.00000000006</v>
      </c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  <c r="AO287" s="68"/>
      <c r="AP287" s="68"/>
      <c r="AQ287" s="68"/>
      <c r="AR287" s="68"/>
      <c r="AS287" s="68"/>
      <c r="AT287" s="68"/>
      <c r="AU287" s="68"/>
      <c r="AV287" s="68"/>
      <c r="AW287" s="68"/>
      <c r="AX287" s="68"/>
      <c r="AY287" s="68"/>
      <c r="AZ287" s="68"/>
      <c r="BA287" s="68"/>
      <c r="BB287" s="68"/>
      <c r="BC287" s="68"/>
      <c r="BD287" s="68"/>
      <c r="BE287" s="68"/>
      <c r="BF287" s="68"/>
      <c r="BG287" s="68"/>
      <c r="BH287" s="68"/>
      <c r="BI287" s="68"/>
      <c r="BJ287" s="68"/>
      <c r="BK287" s="68"/>
      <c r="BL287" s="68"/>
      <c r="BM287" s="68"/>
      <c r="BN287" s="68"/>
      <c r="BO287" s="68"/>
      <c r="BP287" s="68"/>
      <c r="BQ287" s="68"/>
      <c r="BR287" s="68"/>
      <c r="BS287" s="68"/>
      <c r="BT287" s="68"/>
      <c r="BU287" s="68"/>
      <c r="BV287" s="68"/>
      <c r="BW287" s="68"/>
      <c r="BX287" s="68"/>
      <c r="BY287" s="68"/>
      <c r="BZ287" s="68"/>
      <c r="CA287" s="68"/>
      <c r="CB287" s="68"/>
      <c r="CC287" s="68"/>
      <c r="CD287" s="68"/>
      <c r="CE287" s="68"/>
      <c r="CF287" s="68"/>
      <c r="CG287" s="68"/>
      <c r="CH287" s="68"/>
      <c r="CI287" s="68"/>
      <c r="CJ287" s="68"/>
      <c r="CK287" s="68"/>
      <c r="CL287" s="68"/>
      <c r="CM287" s="68"/>
      <c r="CN287" s="68"/>
      <c r="CO287" s="68"/>
      <c r="CP287" s="68"/>
      <c r="CQ287" s="68"/>
      <c r="CR287" s="68"/>
      <c r="CS287" s="68"/>
      <c r="CT287" s="68"/>
      <c r="CU287" s="68"/>
      <c r="CV287" s="68"/>
      <c r="CW287" s="68"/>
      <c r="CX287" s="68"/>
      <c r="CY287" s="68"/>
      <c r="CZ287" s="68"/>
      <c r="DA287" s="68"/>
      <c r="DB287" s="68"/>
      <c r="DC287" s="68"/>
      <c r="DD287" s="68"/>
      <c r="DE287" s="68"/>
      <c r="DF287" s="68"/>
      <c r="DG287" s="68"/>
      <c r="DH287" s="68"/>
      <c r="DI287" s="68"/>
      <c r="DJ287" s="68"/>
      <c r="DK287" s="68"/>
      <c r="DL287" s="68"/>
      <c r="DM287" s="68"/>
      <c r="DN287" s="68"/>
      <c r="DO287" s="68"/>
      <c r="DP287" s="68"/>
      <c r="DQ287" s="68"/>
      <c r="DR287" s="68"/>
      <c r="DS287" s="68"/>
      <c r="DT287" s="68"/>
      <c r="DU287" s="68"/>
      <c r="DV287" s="68"/>
      <c r="DW287" s="68"/>
      <c r="DX287" s="68"/>
      <c r="DY287" s="68"/>
      <c r="DZ287" s="68"/>
      <c r="EA287" s="68"/>
      <c r="EB287" s="68"/>
      <c r="EC287" s="68"/>
      <c r="ED287" s="68"/>
      <c r="EE287" s="68"/>
      <c r="EF287" s="68"/>
      <c r="EG287" s="68"/>
      <c r="EH287" s="68"/>
      <c r="EI287" s="68"/>
      <c r="EJ287" s="68"/>
      <c r="EK287" s="68"/>
      <c r="EL287" s="68"/>
      <c r="EM287" s="68"/>
      <c r="EN287" s="68"/>
      <c r="EO287" s="68"/>
      <c r="EP287" s="68"/>
    </row>
    <row r="288" spans="1:146" s="78" customFormat="1" ht="11.25">
      <c r="A288" s="87" t="str">
        <f t="shared" si="44"/>
        <v>TTRAR</v>
      </c>
      <c r="B288" s="83"/>
      <c r="D288" s="74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3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  <c r="AO288" s="68"/>
      <c r="AP288" s="68"/>
      <c r="AQ288" s="68"/>
      <c r="AR288" s="68"/>
      <c r="AS288" s="68"/>
      <c r="AT288" s="68"/>
      <c r="AU288" s="68"/>
      <c r="AV288" s="68"/>
      <c r="AW288" s="68"/>
      <c r="AX288" s="68"/>
      <c r="AY288" s="68"/>
      <c r="AZ288" s="68"/>
      <c r="BA288" s="68"/>
      <c r="BB288" s="68"/>
      <c r="BC288" s="68"/>
      <c r="BD288" s="68"/>
      <c r="BE288" s="68"/>
      <c r="BF288" s="68"/>
      <c r="BG288" s="68"/>
      <c r="BH288" s="68"/>
      <c r="BI288" s="68"/>
      <c r="BJ288" s="68"/>
      <c r="BK288" s="68"/>
      <c r="BL288" s="68"/>
      <c r="BM288" s="68"/>
      <c r="BN288" s="68"/>
      <c r="BO288" s="68"/>
      <c r="BP288" s="68"/>
      <c r="BQ288" s="68"/>
      <c r="BR288" s="68"/>
      <c r="BS288" s="68"/>
      <c r="BT288" s="68"/>
      <c r="BU288" s="68"/>
      <c r="BV288" s="68"/>
      <c r="BW288" s="68"/>
      <c r="BX288" s="68"/>
      <c r="BY288" s="68"/>
      <c r="BZ288" s="68"/>
      <c r="CA288" s="68"/>
      <c r="CB288" s="68"/>
      <c r="CC288" s="68"/>
      <c r="CD288" s="68"/>
      <c r="CE288" s="68"/>
      <c r="CF288" s="68"/>
      <c r="CG288" s="68"/>
      <c r="CH288" s="68"/>
      <c r="CI288" s="68"/>
      <c r="CJ288" s="68"/>
      <c r="CK288" s="68"/>
      <c r="CL288" s="68"/>
      <c r="CM288" s="68"/>
      <c r="CN288" s="68"/>
      <c r="CO288" s="68"/>
      <c r="CP288" s="68"/>
      <c r="CQ288" s="68"/>
      <c r="CR288" s="68"/>
      <c r="CS288" s="68"/>
      <c r="CT288" s="68"/>
      <c r="CU288" s="68"/>
      <c r="CV288" s="68"/>
      <c r="CW288" s="68"/>
      <c r="CX288" s="68"/>
      <c r="CY288" s="68"/>
      <c r="CZ288" s="68"/>
      <c r="DA288" s="68"/>
      <c r="DB288" s="68"/>
      <c r="DC288" s="68"/>
      <c r="DD288" s="68"/>
      <c r="DE288" s="68"/>
      <c r="DF288" s="68"/>
      <c r="DG288" s="68"/>
      <c r="DH288" s="68"/>
      <c r="DI288" s="68"/>
      <c r="DJ288" s="68"/>
      <c r="DK288" s="68"/>
      <c r="DL288" s="68"/>
      <c r="DM288" s="68"/>
      <c r="DN288" s="68"/>
      <c r="DO288" s="68"/>
      <c r="DP288" s="68"/>
      <c r="DQ288" s="68"/>
      <c r="DR288" s="68"/>
      <c r="DS288" s="68"/>
      <c r="DT288" s="68"/>
      <c r="DU288" s="68"/>
      <c r="DV288" s="68"/>
      <c r="DW288" s="68"/>
      <c r="DX288" s="68"/>
      <c r="DY288" s="68"/>
      <c r="DZ288" s="68"/>
      <c r="EA288" s="68"/>
      <c r="EB288" s="68"/>
      <c r="EC288" s="68"/>
      <c r="ED288" s="68"/>
      <c r="EE288" s="68"/>
      <c r="EF288" s="68"/>
      <c r="EG288" s="68"/>
      <c r="EH288" s="68"/>
      <c r="EI288" s="68"/>
      <c r="EJ288" s="68"/>
      <c r="EK288" s="68"/>
      <c r="EL288" s="68"/>
      <c r="EM288" s="68"/>
      <c r="EN288" s="68"/>
      <c r="EO288" s="68"/>
      <c r="EP288" s="68"/>
    </row>
    <row r="289" spans="1:146" s="78" customFormat="1" ht="11.25">
      <c r="A289" s="87" t="str">
        <f t="shared" si="44"/>
        <v xml:space="preserve">TTRARTRANSMISSION </v>
      </c>
      <c r="B289" s="83">
        <v>11</v>
      </c>
      <c r="C289" s="96" t="s">
        <v>86</v>
      </c>
      <c r="D289" s="74" t="s">
        <v>6</v>
      </c>
      <c r="E289" s="124">
        <v>0</v>
      </c>
      <c r="F289" s="124">
        <v>0</v>
      </c>
      <c r="G289" s="124">
        <v>0</v>
      </c>
      <c r="H289" s="124">
        <v>0</v>
      </c>
      <c r="I289" s="124">
        <v>0</v>
      </c>
      <c r="J289" s="124">
        <v>0</v>
      </c>
      <c r="K289" s="124">
        <v>0</v>
      </c>
      <c r="L289" s="124">
        <v>0</v>
      </c>
      <c r="M289" s="124">
        <v>0</v>
      </c>
      <c r="N289" s="124">
        <v>0</v>
      </c>
      <c r="O289" s="124">
        <v>0</v>
      </c>
      <c r="P289" s="124">
        <v>0</v>
      </c>
      <c r="Q289" s="124">
        <f>SUM(E289:P289)</f>
        <v>0</v>
      </c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  <c r="AN289" s="68"/>
      <c r="AO289" s="68"/>
      <c r="AP289" s="68"/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68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68"/>
      <c r="CY289" s="68"/>
      <c r="CZ289" s="68"/>
      <c r="DA289" s="68"/>
      <c r="DB289" s="68"/>
      <c r="DC289" s="68"/>
      <c r="DD289" s="68"/>
      <c r="DE289" s="68"/>
      <c r="DF289" s="68"/>
      <c r="DG289" s="68"/>
      <c r="DH289" s="68"/>
      <c r="DI289" s="68"/>
      <c r="DJ289" s="68"/>
      <c r="DK289" s="68"/>
      <c r="DL289" s="68"/>
      <c r="DM289" s="68"/>
      <c r="DN289" s="68"/>
      <c r="DO289" s="68"/>
      <c r="DP289" s="68"/>
      <c r="DQ289" s="68"/>
      <c r="DR289" s="68"/>
      <c r="DS289" s="68"/>
      <c r="DT289" s="68"/>
      <c r="DU289" s="68"/>
      <c r="DV289" s="68"/>
      <c r="DW289" s="68"/>
      <c r="DX289" s="68"/>
      <c r="DY289" s="68"/>
      <c r="DZ289" s="68"/>
      <c r="EA289" s="68"/>
      <c r="EB289" s="68"/>
      <c r="EC289" s="68"/>
      <c r="ED289" s="68"/>
      <c r="EE289" s="68"/>
      <c r="EF289" s="68"/>
      <c r="EG289" s="68"/>
      <c r="EH289" s="68"/>
      <c r="EI289" s="68"/>
      <c r="EJ289" s="68"/>
      <c r="EK289" s="68"/>
      <c r="EL289" s="68"/>
      <c r="EM289" s="68"/>
      <c r="EN289" s="68"/>
      <c r="EO289" s="68"/>
      <c r="EP289" s="68"/>
    </row>
    <row r="290" spans="1:146" s="78" customFormat="1" ht="11.25">
      <c r="A290" s="87" t="str">
        <f t="shared" si="44"/>
        <v>TTRAR</v>
      </c>
      <c r="D290" s="85"/>
      <c r="E290" s="231"/>
      <c r="F290" s="231"/>
      <c r="G290" s="231"/>
      <c r="H290" s="231"/>
      <c r="I290" s="231"/>
      <c r="J290" s="231"/>
      <c r="K290" s="231"/>
      <c r="L290" s="231"/>
      <c r="M290" s="231"/>
      <c r="N290" s="231"/>
      <c r="O290" s="231"/>
      <c r="P290" s="231"/>
      <c r="Q290" s="71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  <c r="AN290" s="68"/>
      <c r="AO290" s="68"/>
      <c r="AP290" s="68"/>
      <c r="AQ290" s="68"/>
      <c r="AR290" s="68"/>
      <c r="AS290" s="68"/>
      <c r="AT290" s="68"/>
      <c r="AU290" s="68"/>
      <c r="AV290" s="68"/>
      <c r="AW290" s="68"/>
      <c r="AX290" s="68"/>
      <c r="AY290" s="68"/>
      <c r="AZ290" s="68"/>
      <c r="BA290" s="68"/>
      <c r="BB290" s="68"/>
      <c r="BC290" s="68"/>
      <c r="BD290" s="68"/>
      <c r="BE290" s="68"/>
      <c r="BF290" s="68"/>
      <c r="BG290" s="68"/>
      <c r="BH290" s="68"/>
      <c r="BI290" s="68"/>
      <c r="BJ290" s="68"/>
      <c r="BK290" s="68"/>
      <c r="BL290" s="68"/>
      <c r="BM290" s="68"/>
      <c r="BN290" s="68"/>
      <c r="BO290" s="68"/>
      <c r="BP290" s="68"/>
      <c r="BQ290" s="68"/>
      <c r="BR290" s="68"/>
      <c r="BS290" s="68"/>
      <c r="BT290" s="68"/>
      <c r="BU290" s="68"/>
      <c r="BV290" s="68"/>
      <c r="BW290" s="68"/>
      <c r="BX290" s="68"/>
      <c r="BY290" s="68"/>
      <c r="BZ290" s="68"/>
      <c r="CA290" s="68"/>
      <c r="CB290" s="68"/>
      <c r="CC290" s="68"/>
      <c r="CD290" s="68"/>
      <c r="CE290" s="68"/>
      <c r="CF290" s="68"/>
      <c r="CG290" s="68"/>
      <c r="CH290" s="68"/>
      <c r="CI290" s="68"/>
      <c r="CJ290" s="68"/>
      <c r="CK290" s="68"/>
      <c r="CL290" s="68"/>
      <c r="CM290" s="68"/>
      <c r="CN290" s="68"/>
      <c r="CO290" s="68"/>
      <c r="CP290" s="68"/>
      <c r="CQ290" s="68"/>
      <c r="CR290" s="68"/>
      <c r="CS290" s="68"/>
      <c r="CT290" s="68"/>
      <c r="CU290" s="68"/>
      <c r="CV290" s="68"/>
      <c r="CW290" s="68"/>
      <c r="CX290" s="68"/>
      <c r="CY290" s="68"/>
      <c r="CZ290" s="68"/>
      <c r="DA290" s="68"/>
      <c r="DB290" s="68"/>
      <c r="DC290" s="68"/>
      <c r="DD290" s="68"/>
      <c r="DE290" s="68"/>
      <c r="DF290" s="68"/>
      <c r="DG290" s="68"/>
      <c r="DH290" s="68"/>
      <c r="DI290" s="68"/>
      <c r="DJ290" s="68"/>
      <c r="DK290" s="68"/>
      <c r="DL290" s="68"/>
      <c r="DM290" s="68"/>
      <c r="DN290" s="68"/>
      <c r="DO290" s="68"/>
      <c r="DP290" s="68"/>
      <c r="DQ290" s="68"/>
      <c r="DR290" s="68"/>
      <c r="DS290" s="68"/>
      <c r="DT290" s="68"/>
      <c r="DU290" s="68"/>
      <c r="DV290" s="68"/>
      <c r="DW290" s="68"/>
      <c r="DX290" s="68"/>
      <c r="DY290" s="68"/>
      <c r="DZ290" s="68"/>
      <c r="EA290" s="68"/>
      <c r="EB290" s="68"/>
      <c r="EC290" s="68"/>
      <c r="ED290" s="68"/>
      <c r="EE290" s="68"/>
      <c r="EF290" s="68"/>
      <c r="EG290" s="68"/>
      <c r="EH290" s="68"/>
      <c r="EI290" s="68"/>
      <c r="EJ290" s="68"/>
      <c r="EK290" s="68"/>
      <c r="EL290" s="68"/>
      <c r="EM290" s="68"/>
      <c r="EN290" s="68"/>
      <c r="EO290" s="68"/>
      <c r="EP290" s="68"/>
    </row>
    <row r="291" spans="1:146" s="78" customFormat="1" ht="11.25">
      <c r="A291" s="87" t="str">
        <f t="shared" si="44"/>
        <v>TTRARLIGHTING</v>
      </c>
      <c r="B291" s="83">
        <v>12</v>
      </c>
      <c r="C291" s="68" t="s">
        <v>21</v>
      </c>
      <c r="D291" s="74" t="s">
        <v>4</v>
      </c>
      <c r="E291" s="90">
        <v>5450.9200000000028</v>
      </c>
      <c r="F291" s="90">
        <v>5472.8500000000022</v>
      </c>
      <c r="G291" s="90">
        <v>5428.1400000000021</v>
      </c>
      <c r="H291" s="90">
        <v>5438.8200000000052</v>
      </c>
      <c r="I291" s="90">
        <v>5408.1300000000047</v>
      </c>
      <c r="J291" s="90">
        <v>5421.52</v>
      </c>
      <c r="K291" s="90">
        <v>5414.41</v>
      </c>
      <c r="L291" s="90">
        <v>5411.2800000000025</v>
      </c>
      <c r="M291" s="90">
        <v>5390.5300000000034</v>
      </c>
      <c r="N291" s="90">
        <v>5405.5700000000024</v>
      </c>
      <c r="O291" s="90">
        <v>5367.840000000002</v>
      </c>
      <c r="P291" s="90">
        <v>5373.17</v>
      </c>
      <c r="Q291" s="90">
        <f>SUM(E291:P291)</f>
        <v>64983.180000000029</v>
      </c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  <c r="AO291" s="68"/>
      <c r="AP291" s="68"/>
      <c r="AQ291" s="68"/>
      <c r="AR291" s="68"/>
      <c r="AS291" s="68"/>
      <c r="AT291" s="68"/>
      <c r="AU291" s="68"/>
      <c r="AV291" s="68"/>
      <c r="AW291" s="68"/>
      <c r="AX291" s="68"/>
      <c r="AY291" s="68"/>
      <c r="AZ291" s="68"/>
      <c r="BA291" s="68"/>
      <c r="BB291" s="68"/>
      <c r="BC291" s="68"/>
      <c r="BD291" s="68"/>
      <c r="BE291" s="68"/>
      <c r="BF291" s="68"/>
      <c r="BG291" s="68"/>
      <c r="BH291" s="68"/>
      <c r="BI291" s="68"/>
      <c r="BJ291" s="68"/>
      <c r="BK291" s="68"/>
      <c r="BL291" s="68"/>
      <c r="BM291" s="68"/>
      <c r="BN291" s="68"/>
      <c r="BO291" s="68"/>
      <c r="BP291" s="68"/>
      <c r="BQ291" s="68"/>
      <c r="BR291" s="68"/>
      <c r="BS291" s="68"/>
      <c r="BT291" s="68"/>
      <c r="BU291" s="68"/>
      <c r="BV291" s="68"/>
      <c r="BW291" s="68"/>
      <c r="BX291" s="68"/>
      <c r="BY291" s="68"/>
      <c r="BZ291" s="68"/>
      <c r="CA291" s="68"/>
      <c r="CB291" s="68"/>
      <c r="CC291" s="68"/>
      <c r="CD291" s="68"/>
      <c r="CE291" s="68"/>
      <c r="CF291" s="68"/>
      <c r="CG291" s="68"/>
      <c r="CH291" s="68"/>
      <c r="CI291" s="68"/>
      <c r="CJ291" s="68"/>
      <c r="CK291" s="68"/>
      <c r="CL291" s="68"/>
      <c r="CM291" s="68"/>
      <c r="CN291" s="68"/>
      <c r="CO291" s="68"/>
      <c r="CP291" s="68"/>
      <c r="CQ291" s="68"/>
      <c r="CR291" s="68"/>
      <c r="CS291" s="68"/>
      <c r="CT291" s="68"/>
      <c r="CU291" s="68"/>
      <c r="CV291" s="68"/>
      <c r="CW291" s="68"/>
      <c r="CX291" s="68"/>
      <c r="CY291" s="68"/>
      <c r="CZ291" s="68"/>
      <c r="DA291" s="68"/>
      <c r="DB291" s="68"/>
      <c r="DC291" s="68"/>
      <c r="DD291" s="68"/>
      <c r="DE291" s="68"/>
      <c r="DF291" s="68"/>
      <c r="DG291" s="68"/>
      <c r="DH291" s="68"/>
      <c r="DI291" s="68"/>
      <c r="DJ291" s="68"/>
      <c r="DK291" s="68"/>
      <c r="DL291" s="68"/>
      <c r="DM291" s="68"/>
      <c r="DN291" s="68"/>
      <c r="DO291" s="68"/>
      <c r="DP291" s="68"/>
      <c r="DQ291" s="68"/>
      <c r="DR291" s="68"/>
      <c r="DS291" s="68"/>
      <c r="DT291" s="68"/>
      <c r="DU291" s="68"/>
      <c r="DV291" s="68"/>
      <c r="DW291" s="68"/>
      <c r="DX291" s="68"/>
      <c r="DY291" s="68"/>
      <c r="DZ291" s="68"/>
      <c r="EA291" s="68"/>
      <c r="EB291" s="68"/>
      <c r="EC291" s="68"/>
      <c r="ED291" s="68"/>
      <c r="EE291" s="68"/>
      <c r="EF291" s="68"/>
      <c r="EG291" s="68"/>
      <c r="EH291" s="68"/>
      <c r="EI291" s="68"/>
      <c r="EJ291" s="68"/>
      <c r="EK291" s="68"/>
      <c r="EL291" s="68"/>
      <c r="EM291" s="68"/>
      <c r="EN291" s="68"/>
      <c r="EO291" s="68"/>
      <c r="EP291" s="68"/>
    </row>
    <row r="292" spans="1:146" s="78" customFormat="1" ht="11.25">
      <c r="A292" s="269" t="str">
        <f t="shared" ref="A292:A299" si="49">$C$272</f>
        <v>TTRAR</v>
      </c>
      <c r="B292" s="83"/>
      <c r="D292" s="85"/>
      <c r="E292" s="231"/>
      <c r="F292" s="231"/>
      <c r="G292" s="231"/>
      <c r="H292" s="231"/>
      <c r="I292" s="231"/>
      <c r="J292" s="231"/>
      <c r="K292" s="231"/>
      <c r="L292" s="231"/>
      <c r="M292" s="231"/>
      <c r="N292" s="231"/>
      <c r="O292" s="231"/>
      <c r="P292" s="90"/>
      <c r="Q292" s="71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  <c r="AO292" s="68"/>
      <c r="AP292" s="68"/>
      <c r="AQ292" s="68"/>
      <c r="AR292" s="68"/>
      <c r="AS292" s="68"/>
      <c r="AT292" s="68"/>
      <c r="AU292" s="68"/>
      <c r="AV292" s="68"/>
      <c r="AW292" s="68"/>
      <c r="AX292" s="68"/>
      <c r="AY292" s="68"/>
      <c r="AZ292" s="68"/>
      <c r="BA292" s="68"/>
      <c r="BB292" s="68"/>
      <c r="BC292" s="68"/>
      <c r="BD292" s="68"/>
      <c r="BE292" s="68"/>
      <c r="BF292" s="68"/>
      <c r="BG292" s="68"/>
      <c r="BH292" s="68"/>
      <c r="BI292" s="68"/>
      <c r="BJ292" s="68"/>
      <c r="BK292" s="68"/>
      <c r="BL292" s="68"/>
      <c r="BM292" s="68"/>
      <c r="BN292" s="68"/>
      <c r="BO292" s="68"/>
      <c r="BP292" s="68"/>
      <c r="BQ292" s="68"/>
      <c r="BR292" s="68"/>
      <c r="BS292" s="68"/>
      <c r="BT292" s="68"/>
      <c r="BU292" s="68"/>
      <c r="BV292" s="68"/>
      <c r="BW292" s="68"/>
      <c r="BX292" s="68"/>
      <c r="BY292" s="68"/>
      <c r="BZ292" s="68"/>
      <c r="CA292" s="68"/>
      <c r="CB292" s="68"/>
      <c r="CC292" s="68"/>
      <c r="CD292" s="68"/>
      <c r="CE292" s="68"/>
      <c r="CF292" s="68"/>
      <c r="CG292" s="68"/>
      <c r="CH292" s="68"/>
      <c r="CI292" s="68"/>
      <c r="CJ292" s="68"/>
      <c r="CK292" s="68"/>
      <c r="CL292" s="68"/>
      <c r="CM292" s="68"/>
      <c r="CN292" s="68"/>
      <c r="CO292" s="68"/>
      <c r="CP292" s="68"/>
      <c r="CQ292" s="68"/>
      <c r="CR292" s="68"/>
      <c r="CS292" s="68"/>
      <c r="CT292" s="68"/>
      <c r="CU292" s="68"/>
      <c r="CV292" s="68"/>
      <c r="CW292" s="68"/>
      <c r="CX292" s="68"/>
      <c r="CY292" s="68"/>
      <c r="CZ292" s="68"/>
      <c r="DA292" s="68"/>
      <c r="DB292" s="68"/>
      <c r="DC292" s="68"/>
      <c r="DD292" s="68"/>
      <c r="DE292" s="68"/>
      <c r="DF292" s="68"/>
      <c r="DG292" s="68"/>
      <c r="DH292" s="68"/>
      <c r="DI292" s="68"/>
      <c r="DJ292" s="68"/>
      <c r="DK292" s="68"/>
      <c r="DL292" s="68"/>
      <c r="DM292" s="68"/>
      <c r="DN292" s="68"/>
      <c r="DO292" s="68"/>
      <c r="DP292" s="68"/>
      <c r="DQ292" s="68"/>
      <c r="DR292" s="68"/>
      <c r="DS292" s="68"/>
      <c r="DT292" s="68"/>
      <c r="DU292" s="68"/>
      <c r="DV292" s="68"/>
      <c r="DW292" s="68"/>
      <c r="DX292" s="68"/>
      <c r="DY292" s="68"/>
      <c r="DZ292" s="68"/>
      <c r="EA292" s="68"/>
      <c r="EB292" s="68"/>
      <c r="EC292" s="68"/>
      <c r="ED292" s="68"/>
      <c r="EE292" s="68"/>
      <c r="EF292" s="68"/>
      <c r="EG292" s="68"/>
      <c r="EH292" s="68"/>
      <c r="EI292" s="68"/>
      <c r="EJ292" s="68"/>
      <c r="EK292" s="68"/>
      <c r="EL292" s="68"/>
      <c r="EM292" s="68"/>
      <c r="EN292" s="68"/>
      <c r="EO292" s="68"/>
      <c r="EP292" s="68"/>
    </row>
    <row r="293" spans="1:146" s="78" customFormat="1" ht="11.25">
      <c r="A293" s="269" t="str">
        <f t="shared" si="49"/>
        <v>TTRAR</v>
      </c>
      <c r="B293" s="83">
        <v>13</v>
      </c>
      <c r="C293" s="114" t="s">
        <v>22</v>
      </c>
      <c r="D293" s="212"/>
      <c r="E293" s="234">
        <f>+E275+E277+E281+E287+E289+E291</f>
        <v>431567.43</v>
      </c>
      <c r="F293" s="234">
        <f t="shared" ref="F293:Q293" si="50">+F275+F277+F281+F287+F289+F291</f>
        <v>371702.00999999995</v>
      </c>
      <c r="G293" s="234">
        <f t="shared" si="50"/>
        <v>407178.34</v>
      </c>
      <c r="H293" s="234">
        <f t="shared" si="50"/>
        <v>422049.16</v>
      </c>
      <c r="I293" s="234">
        <f t="shared" si="50"/>
        <v>394102.85000000003</v>
      </c>
      <c r="J293" s="234">
        <f t="shared" si="50"/>
        <v>377929.03</v>
      </c>
      <c r="K293" s="234">
        <f t="shared" si="50"/>
        <v>370160.72</v>
      </c>
      <c r="L293" s="234">
        <f t="shared" si="50"/>
        <v>388377.01</v>
      </c>
      <c r="M293" s="234">
        <f t="shared" si="50"/>
        <v>466146.97000000003</v>
      </c>
      <c r="N293" s="234">
        <f t="shared" si="50"/>
        <v>559189.65</v>
      </c>
      <c r="O293" s="234">
        <f t="shared" si="50"/>
        <v>565591.06999999995</v>
      </c>
      <c r="P293" s="234">
        <f t="shared" si="50"/>
        <v>554014.8600000001</v>
      </c>
      <c r="Q293" s="234">
        <f t="shared" si="50"/>
        <v>5308009.0999999996</v>
      </c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  <c r="AM293" s="68"/>
      <c r="AN293" s="68"/>
      <c r="AO293" s="68"/>
      <c r="AP293" s="68"/>
      <c r="AQ293" s="68"/>
      <c r="AR293" s="68"/>
      <c r="AS293" s="68"/>
      <c r="AT293" s="68"/>
      <c r="AU293" s="68"/>
      <c r="AV293" s="68"/>
      <c r="AW293" s="68"/>
      <c r="AX293" s="68"/>
      <c r="AY293" s="68"/>
      <c r="AZ293" s="68"/>
      <c r="BA293" s="68"/>
      <c r="BB293" s="68"/>
      <c r="BC293" s="68"/>
      <c r="BD293" s="68"/>
      <c r="BE293" s="68"/>
      <c r="BF293" s="68"/>
      <c r="BG293" s="68"/>
      <c r="BH293" s="68"/>
      <c r="BI293" s="68"/>
      <c r="BJ293" s="68"/>
      <c r="BK293" s="68"/>
      <c r="BL293" s="68"/>
      <c r="BM293" s="68"/>
      <c r="BN293" s="68"/>
      <c r="BO293" s="68"/>
      <c r="BP293" s="68"/>
      <c r="BQ293" s="68"/>
      <c r="BR293" s="68"/>
      <c r="BS293" s="68"/>
      <c r="BT293" s="68"/>
      <c r="BU293" s="68"/>
      <c r="BV293" s="68"/>
      <c r="BW293" s="68"/>
      <c r="BX293" s="68"/>
      <c r="BY293" s="68"/>
      <c r="BZ293" s="68"/>
      <c r="CA293" s="68"/>
      <c r="CB293" s="68"/>
      <c r="CC293" s="68"/>
      <c r="CD293" s="68"/>
      <c r="CE293" s="68"/>
      <c r="CF293" s="68"/>
      <c r="CG293" s="68"/>
      <c r="CH293" s="68"/>
      <c r="CI293" s="68"/>
      <c r="CJ293" s="68"/>
      <c r="CK293" s="68"/>
      <c r="CL293" s="68"/>
      <c r="CM293" s="68"/>
      <c r="CN293" s="68"/>
      <c r="CO293" s="68"/>
      <c r="CP293" s="68"/>
      <c r="CQ293" s="68"/>
      <c r="CR293" s="68"/>
      <c r="CS293" s="68"/>
      <c r="CT293" s="68"/>
      <c r="CU293" s="68"/>
      <c r="CV293" s="68"/>
      <c r="CW293" s="68"/>
      <c r="CX293" s="68"/>
      <c r="CY293" s="68"/>
      <c r="CZ293" s="68"/>
      <c r="DA293" s="68"/>
      <c r="DB293" s="68"/>
      <c r="DC293" s="68"/>
      <c r="DD293" s="68"/>
      <c r="DE293" s="68"/>
      <c r="DF293" s="68"/>
      <c r="DG293" s="68"/>
      <c r="DH293" s="68"/>
      <c r="DI293" s="68"/>
      <c r="DJ293" s="68"/>
      <c r="DK293" s="68"/>
      <c r="DL293" s="68"/>
      <c r="DM293" s="68"/>
      <c r="DN293" s="68"/>
      <c r="DO293" s="68"/>
      <c r="DP293" s="68"/>
      <c r="DQ293" s="68"/>
      <c r="DR293" s="68"/>
      <c r="DS293" s="68"/>
      <c r="DT293" s="68"/>
      <c r="DU293" s="68"/>
      <c r="DV293" s="68"/>
      <c r="DW293" s="68"/>
      <c r="DX293" s="68"/>
      <c r="DY293" s="68"/>
      <c r="DZ293" s="68"/>
      <c r="EA293" s="68"/>
      <c r="EB293" s="68"/>
      <c r="EC293" s="68"/>
      <c r="ED293" s="68"/>
      <c r="EE293" s="68"/>
      <c r="EF293" s="68"/>
      <c r="EG293" s="68"/>
      <c r="EH293" s="68"/>
      <c r="EI293" s="68"/>
      <c r="EJ293" s="68"/>
      <c r="EK293" s="68"/>
      <c r="EL293" s="68"/>
      <c r="EM293" s="68"/>
      <c r="EN293" s="68"/>
      <c r="EO293" s="68"/>
      <c r="EP293" s="68"/>
    </row>
    <row r="294" spans="1:146" s="78" customFormat="1" ht="11.25">
      <c r="A294" s="269" t="str">
        <f t="shared" si="49"/>
        <v>TTRAR</v>
      </c>
      <c r="C294" s="212"/>
      <c r="D294" s="212"/>
      <c r="E294" s="231"/>
      <c r="F294" s="231"/>
      <c r="G294" s="231"/>
      <c r="H294" s="231"/>
      <c r="I294" s="231"/>
      <c r="J294" s="231"/>
      <c r="K294" s="231"/>
      <c r="L294" s="231"/>
      <c r="M294" s="231"/>
      <c r="N294" s="231"/>
      <c r="O294" s="231"/>
      <c r="P294" s="90"/>
      <c r="Q294" s="93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  <c r="AO294" s="68"/>
      <c r="AP294" s="68"/>
      <c r="AQ294" s="68"/>
      <c r="AR294" s="68"/>
      <c r="AS294" s="68"/>
      <c r="AT294" s="68"/>
      <c r="AU294" s="68"/>
      <c r="AV294" s="68"/>
      <c r="AW294" s="68"/>
      <c r="AX294" s="68"/>
      <c r="AY294" s="68"/>
      <c r="AZ294" s="68"/>
      <c r="BA294" s="68"/>
      <c r="BB294" s="68"/>
      <c r="BC294" s="68"/>
      <c r="BD294" s="68"/>
      <c r="BE294" s="68"/>
      <c r="BF294" s="68"/>
      <c r="BG294" s="68"/>
      <c r="BH294" s="68"/>
      <c r="BI294" s="68"/>
      <c r="BJ294" s="68"/>
      <c r="BK294" s="68"/>
      <c r="BL294" s="68"/>
      <c r="BM294" s="68"/>
      <c r="BN294" s="68"/>
      <c r="BO294" s="68"/>
      <c r="BP294" s="68"/>
      <c r="BQ294" s="68"/>
      <c r="BR294" s="68"/>
      <c r="BS294" s="68"/>
      <c r="BT294" s="68"/>
      <c r="BU294" s="68"/>
      <c r="BV294" s="68"/>
      <c r="BW294" s="68"/>
      <c r="BX294" s="68"/>
      <c r="BY294" s="68"/>
      <c r="BZ294" s="68"/>
      <c r="CA294" s="68"/>
      <c r="CB294" s="68"/>
      <c r="CC294" s="68"/>
      <c r="CD294" s="68"/>
      <c r="CE294" s="68"/>
      <c r="CF294" s="68"/>
      <c r="CG294" s="68"/>
      <c r="CH294" s="68"/>
      <c r="CI294" s="68"/>
      <c r="CJ294" s="68"/>
      <c r="CK294" s="68"/>
      <c r="CL294" s="68"/>
      <c r="CM294" s="68"/>
      <c r="CN294" s="68"/>
      <c r="CO294" s="68"/>
      <c r="CP294" s="68"/>
      <c r="CQ294" s="68"/>
      <c r="CR294" s="68"/>
      <c r="CS294" s="68"/>
      <c r="CT294" s="68"/>
      <c r="CU294" s="68"/>
      <c r="CV294" s="68"/>
      <c r="CW294" s="68"/>
      <c r="CX294" s="68"/>
      <c r="CY294" s="68"/>
      <c r="CZ294" s="68"/>
      <c r="DA294" s="68"/>
      <c r="DB294" s="68"/>
      <c r="DC294" s="68"/>
      <c r="DD294" s="68"/>
      <c r="DE294" s="68"/>
      <c r="DF294" s="68"/>
      <c r="DG294" s="68"/>
      <c r="DH294" s="68"/>
      <c r="DI294" s="68"/>
      <c r="DJ294" s="68"/>
      <c r="DK294" s="68"/>
      <c r="DL294" s="68"/>
      <c r="DM294" s="68"/>
      <c r="DN294" s="68"/>
      <c r="DO294" s="68"/>
      <c r="DP294" s="68"/>
      <c r="DQ294" s="68"/>
      <c r="DR294" s="68"/>
      <c r="DS294" s="68"/>
      <c r="DT294" s="68"/>
      <c r="DU294" s="68"/>
      <c r="DV294" s="68"/>
      <c r="DW294" s="68"/>
      <c r="DX294" s="68"/>
      <c r="DY294" s="68"/>
      <c r="DZ294" s="68"/>
      <c r="EA294" s="68"/>
      <c r="EB294" s="68"/>
      <c r="EC294" s="68"/>
      <c r="ED294" s="68"/>
      <c r="EE294" s="68"/>
      <c r="EF294" s="68"/>
      <c r="EG294" s="68"/>
      <c r="EH294" s="68"/>
      <c r="EI294" s="68"/>
      <c r="EJ294" s="68"/>
      <c r="EK294" s="68"/>
      <c r="EL294" s="68"/>
      <c r="EM294" s="68"/>
      <c r="EN294" s="68"/>
      <c r="EO294" s="68"/>
      <c r="EP294" s="68"/>
    </row>
    <row r="295" spans="1:146" s="78" customFormat="1" ht="11.25">
      <c r="A295" s="269" t="str">
        <f t="shared" si="49"/>
        <v>TTRAR</v>
      </c>
      <c r="B295" s="83">
        <v>12</v>
      </c>
      <c r="C295" s="89"/>
      <c r="D295" s="74"/>
      <c r="E295" s="124"/>
      <c r="F295" s="124"/>
      <c r="G295" s="124"/>
      <c r="H295" s="124"/>
      <c r="I295" s="124"/>
      <c r="J295" s="124"/>
      <c r="K295" s="124"/>
      <c r="L295" s="124"/>
      <c r="M295" s="124"/>
      <c r="N295" s="124"/>
      <c r="O295" s="124"/>
      <c r="P295" s="124"/>
      <c r="Q295" s="103"/>
      <c r="R295" s="89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  <c r="AO295" s="68"/>
      <c r="AP295" s="68"/>
      <c r="AQ295" s="68"/>
      <c r="AR295" s="68"/>
      <c r="AS295" s="68"/>
      <c r="AT295" s="68"/>
      <c r="AU295" s="68"/>
      <c r="AV295" s="68"/>
      <c r="AW295" s="68"/>
      <c r="AX295" s="68"/>
      <c r="AY295" s="68"/>
      <c r="AZ295" s="68"/>
      <c r="BA295" s="68"/>
      <c r="BB295" s="68"/>
      <c r="BC295" s="68"/>
      <c r="BD295" s="68"/>
      <c r="BE295" s="68"/>
      <c r="BF295" s="68"/>
      <c r="BG295" s="68"/>
      <c r="BH295" s="68"/>
      <c r="BI295" s="68"/>
      <c r="BJ295" s="68"/>
      <c r="BK295" s="68"/>
      <c r="BL295" s="68"/>
      <c r="BM295" s="68"/>
      <c r="BN295" s="68"/>
      <c r="BO295" s="68"/>
      <c r="BP295" s="68"/>
      <c r="BQ295" s="68"/>
      <c r="BR295" s="68"/>
      <c r="BS295" s="68"/>
      <c r="BT295" s="68"/>
      <c r="BU295" s="68"/>
      <c r="BV295" s="68"/>
      <c r="BW295" s="68"/>
      <c r="BX295" s="68"/>
      <c r="BY295" s="68"/>
      <c r="BZ295" s="68"/>
      <c r="CA295" s="68"/>
      <c r="CB295" s="68"/>
      <c r="CC295" s="68"/>
      <c r="CD295" s="68"/>
      <c r="CE295" s="68"/>
      <c r="CF295" s="68"/>
      <c r="CG295" s="68"/>
      <c r="CH295" s="68"/>
      <c r="CI295" s="68"/>
      <c r="CJ295" s="68"/>
      <c r="CK295" s="68"/>
      <c r="CL295" s="68"/>
      <c r="CM295" s="68"/>
      <c r="CN295" s="68"/>
      <c r="CO295" s="68"/>
      <c r="CP295" s="68"/>
      <c r="CQ295" s="68"/>
      <c r="CR295" s="68"/>
      <c r="CS295" s="68"/>
      <c r="CT295" s="68"/>
      <c r="CU295" s="68"/>
      <c r="CV295" s="68"/>
      <c r="CW295" s="68"/>
      <c r="CX295" s="68"/>
      <c r="CY295" s="68"/>
      <c r="CZ295" s="68"/>
      <c r="DA295" s="68"/>
      <c r="DB295" s="68"/>
      <c r="DC295" s="68"/>
      <c r="DD295" s="68"/>
      <c r="DE295" s="68"/>
      <c r="DF295" s="68"/>
      <c r="DG295" s="68"/>
      <c r="DH295" s="68"/>
      <c r="DI295" s="68"/>
      <c r="DJ295" s="68"/>
      <c r="DK295" s="68"/>
      <c r="DL295" s="68"/>
      <c r="DM295" s="68"/>
      <c r="DN295" s="68"/>
      <c r="DO295" s="68"/>
      <c r="DP295" s="68"/>
      <c r="DQ295" s="68"/>
      <c r="DR295" s="68"/>
      <c r="DS295" s="68"/>
      <c r="DT295" s="68"/>
      <c r="DU295" s="68"/>
      <c r="DV295" s="68"/>
      <c r="DW295" s="68"/>
      <c r="DX295" s="68"/>
      <c r="DY295" s="68"/>
      <c r="DZ295" s="68"/>
      <c r="EA295" s="68"/>
      <c r="EB295" s="68"/>
      <c r="EC295" s="68"/>
      <c r="ED295" s="68"/>
      <c r="EE295" s="68"/>
      <c r="EF295" s="68"/>
      <c r="EG295" s="68"/>
      <c r="EH295" s="68"/>
      <c r="EI295" s="68"/>
      <c r="EJ295" s="68"/>
      <c r="EK295" s="68"/>
      <c r="EL295" s="68"/>
      <c r="EM295" s="68"/>
      <c r="EN295" s="68"/>
      <c r="EO295" s="68"/>
      <c r="EP295" s="68"/>
    </row>
    <row r="296" spans="1:146" s="78" customFormat="1" ht="11.25">
      <c r="A296" s="269" t="str">
        <f t="shared" si="49"/>
        <v>TTRAR</v>
      </c>
      <c r="B296" s="83">
        <v>13</v>
      </c>
      <c r="C296" s="89"/>
      <c r="D296" s="74"/>
      <c r="E296" s="124"/>
      <c r="F296" s="124"/>
      <c r="G296" s="124"/>
      <c r="H296" s="124"/>
      <c r="I296" s="124"/>
      <c r="J296" s="124"/>
      <c r="K296" s="124"/>
      <c r="L296" s="124"/>
      <c r="M296" s="124"/>
      <c r="N296" s="124"/>
      <c r="O296" s="124"/>
      <c r="P296" s="124"/>
      <c r="Q296" s="103"/>
      <c r="R296" s="133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  <c r="AO296" s="68"/>
      <c r="AP296" s="68"/>
      <c r="AQ296" s="68"/>
      <c r="AR296" s="68"/>
      <c r="AS296" s="68"/>
      <c r="AT296" s="68"/>
      <c r="AU296" s="68"/>
      <c r="AV296" s="68"/>
      <c r="AW296" s="68"/>
      <c r="AX296" s="68"/>
      <c r="AY296" s="68"/>
      <c r="AZ296" s="68"/>
      <c r="BA296" s="68"/>
      <c r="BB296" s="68"/>
      <c r="BC296" s="68"/>
      <c r="BD296" s="68"/>
      <c r="BE296" s="68"/>
      <c r="BF296" s="68"/>
      <c r="BG296" s="68"/>
      <c r="BH296" s="68"/>
      <c r="BI296" s="68"/>
      <c r="BJ296" s="68"/>
      <c r="BK296" s="68"/>
      <c r="BL296" s="68"/>
      <c r="BM296" s="68"/>
      <c r="BN296" s="68"/>
      <c r="BO296" s="68"/>
      <c r="BP296" s="68"/>
      <c r="BQ296" s="68"/>
      <c r="BR296" s="68"/>
      <c r="BS296" s="68"/>
      <c r="BT296" s="68"/>
      <c r="BU296" s="68"/>
      <c r="BV296" s="68"/>
      <c r="BW296" s="68"/>
      <c r="BX296" s="68"/>
      <c r="BY296" s="68"/>
      <c r="BZ296" s="68"/>
      <c r="CA296" s="68"/>
      <c r="CB296" s="68"/>
      <c r="CC296" s="68"/>
      <c r="CD296" s="68"/>
      <c r="CE296" s="68"/>
      <c r="CF296" s="68"/>
      <c r="CG296" s="68"/>
      <c r="CH296" s="68"/>
      <c r="CI296" s="68"/>
      <c r="CJ296" s="68"/>
      <c r="CK296" s="68"/>
      <c r="CL296" s="68"/>
      <c r="CM296" s="68"/>
      <c r="CN296" s="68"/>
      <c r="CO296" s="68"/>
      <c r="CP296" s="68"/>
      <c r="CQ296" s="68"/>
      <c r="CR296" s="68"/>
      <c r="CS296" s="68"/>
      <c r="CT296" s="68"/>
      <c r="CU296" s="68"/>
      <c r="CV296" s="68"/>
      <c r="CW296" s="68"/>
      <c r="CX296" s="68"/>
      <c r="CY296" s="68"/>
      <c r="CZ296" s="68"/>
      <c r="DA296" s="68"/>
      <c r="DB296" s="68"/>
      <c r="DC296" s="68"/>
      <c r="DD296" s="68"/>
      <c r="DE296" s="68"/>
      <c r="DF296" s="68"/>
      <c r="DG296" s="68"/>
      <c r="DH296" s="68"/>
      <c r="DI296" s="68"/>
      <c r="DJ296" s="68"/>
      <c r="DK296" s="68"/>
      <c r="DL296" s="68"/>
      <c r="DM296" s="68"/>
      <c r="DN296" s="68"/>
      <c r="DO296" s="68"/>
      <c r="DP296" s="68"/>
      <c r="DQ296" s="68"/>
      <c r="DR296" s="68"/>
      <c r="DS296" s="68"/>
      <c r="DT296" s="68"/>
      <c r="DU296" s="68"/>
      <c r="DV296" s="68"/>
      <c r="DW296" s="68"/>
      <c r="DX296" s="68"/>
      <c r="DY296" s="68"/>
      <c r="DZ296" s="68"/>
      <c r="EA296" s="68"/>
      <c r="EB296" s="68"/>
      <c r="EC296" s="68"/>
      <c r="ED296" s="68"/>
      <c r="EE296" s="68"/>
      <c r="EF296" s="68"/>
      <c r="EG296" s="68"/>
      <c r="EH296" s="68"/>
      <c r="EI296" s="68"/>
      <c r="EJ296" s="68"/>
      <c r="EK296" s="68"/>
      <c r="EL296" s="68"/>
      <c r="EM296" s="68"/>
      <c r="EN296" s="68"/>
      <c r="EO296" s="68"/>
      <c r="EP296" s="68"/>
    </row>
    <row r="297" spans="1:146" s="78" customFormat="1" ht="11.25">
      <c r="A297" s="269" t="str">
        <f t="shared" si="49"/>
        <v>TTRAR</v>
      </c>
      <c r="B297" s="83">
        <v>14</v>
      </c>
      <c r="C297" s="114"/>
      <c r="D297" s="212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24"/>
      <c r="Q297" s="103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  <c r="AN297" s="68"/>
      <c r="AO297" s="68"/>
      <c r="AP297" s="68"/>
      <c r="AQ297" s="68"/>
      <c r="AR297" s="68"/>
      <c r="AS297" s="68"/>
      <c r="AT297" s="68"/>
      <c r="AU297" s="68"/>
      <c r="AV297" s="68"/>
      <c r="AW297" s="68"/>
      <c r="AX297" s="68"/>
      <c r="AY297" s="68"/>
      <c r="AZ297" s="68"/>
      <c r="BA297" s="68"/>
      <c r="BB297" s="68"/>
      <c r="BC297" s="68"/>
      <c r="BD297" s="68"/>
      <c r="BE297" s="68"/>
      <c r="BF297" s="68"/>
      <c r="BG297" s="68"/>
      <c r="BH297" s="68"/>
      <c r="BI297" s="68"/>
      <c r="BJ297" s="68"/>
      <c r="BK297" s="68"/>
      <c r="BL297" s="68"/>
      <c r="BM297" s="68"/>
      <c r="BN297" s="68"/>
      <c r="BO297" s="68"/>
      <c r="BP297" s="68"/>
      <c r="BQ297" s="68"/>
      <c r="BR297" s="68"/>
      <c r="BS297" s="68"/>
      <c r="BT297" s="68"/>
      <c r="BU297" s="68"/>
      <c r="BV297" s="68"/>
      <c r="BW297" s="68"/>
      <c r="BX297" s="68"/>
      <c r="BY297" s="68"/>
      <c r="BZ297" s="68"/>
      <c r="CA297" s="68"/>
      <c r="CB297" s="68"/>
      <c r="CC297" s="68"/>
      <c r="CD297" s="68"/>
      <c r="CE297" s="68"/>
      <c r="CF297" s="68"/>
      <c r="CG297" s="68"/>
      <c r="CH297" s="68"/>
      <c r="CI297" s="68"/>
      <c r="CJ297" s="68"/>
      <c r="CK297" s="68"/>
      <c r="CL297" s="68"/>
      <c r="CM297" s="68"/>
      <c r="CN297" s="68"/>
      <c r="CO297" s="68"/>
      <c r="CP297" s="68"/>
      <c r="CQ297" s="68"/>
      <c r="CR297" s="68"/>
      <c r="CS297" s="68"/>
      <c r="CT297" s="68"/>
      <c r="CU297" s="68"/>
      <c r="CV297" s="68"/>
      <c r="CW297" s="68"/>
      <c r="CX297" s="68"/>
      <c r="CY297" s="68"/>
      <c r="CZ297" s="68"/>
      <c r="DA297" s="68"/>
      <c r="DB297" s="68"/>
      <c r="DC297" s="68"/>
      <c r="DD297" s="68"/>
      <c r="DE297" s="68"/>
      <c r="DF297" s="68"/>
      <c r="DG297" s="68"/>
      <c r="DH297" s="68"/>
      <c r="DI297" s="68"/>
      <c r="DJ297" s="68"/>
      <c r="DK297" s="68"/>
      <c r="DL297" s="68"/>
      <c r="DM297" s="68"/>
      <c r="DN297" s="68"/>
      <c r="DO297" s="68"/>
      <c r="DP297" s="68"/>
      <c r="DQ297" s="68"/>
      <c r="DR297" s="68"/>
      <c r="DS297" s="68"/>
      <c r="DT297" s="68"/>
      <c r="DU297" s="68"/>
      <c r="DV297" s="68"/>
      <c r="DW297" s="68"/>
      <c r="DX297" s="68"/>
      <c r="DY297" s="68"/>
      <c r="DZ297" s="68"/>
      <c r="EA297" s="68"/>
      <c r="EB297" s="68"/>
      <c r="EC297" s="68"/>
      <c r="ED297" s="68"/>
      <c r="EE297" s="68"/>
      <c r="EF297" s="68"/>
      <c r="EG297" s="68"/>
      <c r="EH297" s="68"/>
      <c r="EI297" s="68"/>
      <c r="EJ297" s="68"/>
      <c r="EK297" s="68"/>
      <c r="EL297" s="68"/>
      <c r="EM297" s="68"/>
      <c r="EN297" s="68"/>
      <c r="EO297" s="68"/>
      <c r="EP297" s="68"/>
    </row>
    <row r="298" spans="1:146" s="78" customFormat="1" ht="11.25">
      <c r="A298" s="269" t="str">
        <f t="shared" si="49"/>
        <v>TTRAR</v>
      </c>
      <c r="B298" s="83"/>
      <c r="D298" s="116"/>
      <c r="E298" s="231"/>
      <c r="F298" s="231"/>
      <c r="G298" s="231"/>
      <c r="H298" s="231"/>
      <c r="I298" s="231"/>
      <c r="J298" s="231"/>
      <c r="K298" s="231"/>
      <c r="L298" s="231"/>
      <c r="M298" s="231"/>
      <c r="N298" s="231"/>
      <c r="O298" s="231"/>
      <c r="P298" s="90"/>
      <c r="Q298" s="71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  <c r="AO298" s="68"/>
      <c r="AP298" s="68"/>
      <c r="AQ298" s="68"/>
      <c r="AR298" s="68"/>
      <c r="AS298" s="68"/>
      <c r="AT298" s="68"/>
      <c r="AU298" s="68"/>
      <c r="AV298" s="68"/>
      <c r="AW298" s="68"/>
      <c r="AX298" s="68"/>
      <c r="AY298" s="68"/>
      <c r="AZ298" s="68"/>
      <c r="BA298" s="68"/>
      <c r="BB298" s="68"/>
      <c r="BC298" s="68"/>
      <c r="BD298" s="68"/>
      <c r="BE298" s="68"/>
      <c r="BF298" s="68"/>
      <c r="BG298" s="68"/>
      <c r="BH298" s="68"/>
      <c r="BI298" s="68"/>
      <c r="BJ298" s="68"/>
      <c r="BK298" s="68"/>
      <c r="BL298" s="68"/>
      <c r="BM298" s="68"/>
      <c r="BN298" s="68"/>
      <c r="BO298" s="68"/>
      <c r="BP298" s="68"/>
      <c r="BQ298" s="68"/>
      <c r="BR298" s="68"/>
      <c r="BS298" s="68"/>
      <c r="BT298" s="68"/>
      <c r="BU298" s="68"/>
      <c r="BV298" s="68"/>
      <c r="BW298" s="68"/>
      <c r="BX298" s="68"/>
      <c r="BY298" s="68"/>
      <c r="BZ298" s="68"/>
      <c r="CA298" s="68"/>
      <c r="CB298" s="68"/>
      <c r="CC298" s="68"/>
      <c r="CD298" s="68"/>
      <c r="CE298" s="68"/>
      <c r="CF298" s="68"/>
      <c r="CG298" s="68"/>
      <c r="CH298" s="68"/>
      <c r="CI298" s="68"/>
      <c r="CJ298" s="68"/>
      <c r="CK298" s="68"/>
      <c r="CL298" s="68"/>
      <c r="CM298" s="68"/>
      <c r="CN298" s="68"/>
      <c r="CO298" s="68"/>
      <c r="CP298" s="68"/>
      <c r="CQ298" s="68"/>
      <c r="CR298" s="68"/>
      <c r="CS298" s="68"/>
      <c r="CT298" s="68"/>
      <c r="CU298" s="68"/>
      <c r="CV298" s="68"/>
      <c r="CW298" s="68"/>
      <c r="CX298" s="68"/>
      <c r="CY298" s="68"/>
      <c r="CZ298" s="68"/>
      <c r="DA298" s="68"/>
      <c r="DB298" s="68"/>
      <c r="DC298" s="68"/>
      <c r="DD298" s="68"/>
      <c r="DE298" s="68"/>
      <c r="DF298" s="68"/>
      <c r="DG298" s="68"/>
      <c r="DH298" s="68"/>
      <c r="DI298" s="68"/>
      <c r="DJ298" s="68"/>
      <c r="DK298" s="68"/>
      <c r="DL298" s="68"/>
      <c r="DM298" s="68"/>
      <c r="DN298" s="68"/>
      <c r="DO298" s="68"/>
      <c r="DP298" s="68"/>
      <c r="DQ298" s="68"/>
      <c r="DR298" s="68"/>
      <c r="DS298" s="68"/>
      <c r="DT298" s="68"/>
      <c r="DU298" s="68"/>
      <c r="DV298" s="68"/>
      <c r="DW298" s="68"/>
      <c r="DX298" s="68"/>
      <c r="DY298" s="68"/>
      <c r="DZ298" s="68"/>
      <c r="EA298" s="68"/>
      <c r="EB298" s="68"/>
      <c r="EC298" s="68"/>
      <c r="ED298" s="68"/>
      <c r="EE298" s="68"/>
      <c r="EF298" s="68"/>
      <c r="EG298" s="68"/>
      <c r="EH298" s="68"/>
      <c r="EI298" s="68"/>
      <c r="EJ298" s="68"/>
      <c r="EK298" s="68"/>
      <c r="EL298" s="68"/>
      <c r="EM298" s="68"/>
      <c r="EN298" s="68"/>
      <c r="EO298" s="68"/>
      <c r="EP298" s="68"/>
    </row>
    <row r="299" spans="1:146" s="78" customFormat="1" ht="12" thickBot="1">
      <c r="A299" s="269" t="str">
        <f t="shared" si="49"/>
        <v>TTRAR</v>
      </c>
      <c r="B299" s="83">
        <v>15</v>
      </c>
      <c r="C299" s="147" t="s">
        <v>95</v>
      </c>
      <c r="D299" s="211"/>
      <c r="E299" s="117">
        <v>431567.43000000005</v>
      </c>
      <c r="F299" s="117">
        <v>371702.01</v>
      </c>
      <c r="G299" s="117">
        <v>407178.33999999997</v>
      </c>
      <c r="H299" s="117">
        <v>422049.16</v>
      </c>
      <c r="I299" s="117">
        <v>394102.85</v>
      </c>
      <c r="J299" s="117">
        <v>377929.03</v>
      </c>
      <c r="K299" s="117">
        <v>370160.72</v>
      </c>
      <c r="L299" s="117">
        <v>388377.01</v>
      </c>
      <c r="M299" s="117">
        <v>466146.97000000003</v>
      </c>
      <c r="N299" s="117">
        <v>559189.65000000014</v>
      </c>
      <c r="O299" s="117">
        <v>565591.06999999995</v>
      </c>
      <c r="P299" s="117">
        <v>554014.86</v>
      </c>
      <c r="Q299" s="117">
        <v>5308009.0999999996</v>
      </c>
      <c r="R299" s="12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  <c r="AV299" s="68"/>
      <c r="AW299" s="68"/>
      <c r="AX299" s="68"/>
      <c r="AY299" s="68"/>
      <c r="AZ299" s="68"/>
      <c r="BA299" s="68"/>
      <c r="BB299" s="68"/>
      <c r="BC299" s="68"/>
      <c r="BD299" s="68"/>
      <c r="BE299" s="68"/>
      <c r="BF299" s="68"/>
      <c r="BG299" s="68"/>
      <c r="BH299" s="68"/>
      <c r="BI299" s="68"/>
      <c r="BJ299" s="68"/>
      <c r="BK299" s="68"/>
      <c r="BL299" s="68"/>
      <c r="BM299" s="68"/>
      <c r="BN299" s="68"/>
      <c r="BO299" s="68"/>
      <c r="BP299" s="68"/>
      <c r="BQ299" s="68"/>
      <c r="BR299" s="68"/>
      <c r="BS299" s="68"/>
      <c r="BT299" s="68"/>
      <c r="BU299" s="68"/>
      <c r="BV299" s="68"/>
      <c r="BW299" s="68"/>
      <c r="BX299" s="68"/>
      <c r="BY299" s="68"/>
      <c r="BZ299" s="68"/>
      <c r="CA299" s="68"/>
      <c r="CB299" s="68"/>
      <c r="CC299" s="68"/>
      <c r="CD299" s="68"/>
      <c r="CE299" s="68"/>
      <c r="CF299" s="68"/>
      <c r="CG299" s="68"/>
      <c r="CH299" s="68"/>
      <c r="CI299" s="68"/>
      <c r="CJ299" s="68"/>
      <c r="CK299" s="68"/>
      <c r="CL299" s="68"/>
      <c r="CM299" s="68"/>
      <c r="CN299" s="68"/>
      <c r="CO299" s="68"/>
      <c r="CP299" s="68"/>
      <c r="CQ299" s="68"/>
      <c r="CR299" s="68"/>
      <c r="CS299" s="68"/>
      <c r="CT299" s="68"/>
      <c r="CU299" s="68"/>
      <c r="CV299" s="68"/>
      <c r="CW299" s="68"/>
      <c r="CX299" s="68"/>
      <c r="CY299" s="68"/>
      <c r="CZ299" s="68"/>
      <c r="DA299" s="68"/>
      <c r="DB299" s="68"/>
      <c r="DC299" s="68"/>
      <c r="DD299" s="68"/>
      <c r="DE299" s="68"/>
      <c r="DF299" s="68"/>
      <c r="DG299" s="68"/>
      <c r="DH299" s="68"/>
      <c r="DI299" s="68"/>
      <c r="DJ299" s="68"/>
      <c r="DK299" s="68"/>
      <c r="DL299" s="68"/>
      <c r="DM299" s="68"/>
      <c r="DN299" s="68"/>
      <c r="DO299" s="68"/>
      <c r="DP299" s="68"/>
      <c r="DQ299" s="68"/>
      <c r="DR299" s="68"/>
      <c r="DS299" s="68"/>
      <c r="DT299" s="68"/>
      <c r="DU299" s="68"/>
      <c r="DV299" s="68"/>
      <c r="DW299" s="68"/>
      <c r="DX299" s="68"/>
      <c r="DY299" s="68"/>
      <c r="DZ299" s="68"/>
      <c r="EA299" s="68"/>
      <c r="EB299" s="68"/>
      <c r="EC299" s="68"/>
      <c r="ED299" s="68"/>
      <c r="EE299" s="68"/>
      <c r="EF299" s="68"/>
      <c r="EG299" s="68"/>
      <c r="EH299" s="68"/>
      <c r="EI299" s="68"/>
      <c r="EJ299" s="68"/>
      <c r="EK299" s="68"/>
      <c r="EL299" s="68"/>
      <c r="EM299" s="68"/>
      <c r="EN299" s="68"/>
      <c r="EO299" s="68"/>
      <c r="EP299" s="68"/>
    </row>
    <row r="300" spans="1:146" customFormat="1" ht="13.5" thickTop="1">
      <c r="E300" s="235"/>
      <c r="F300" s="235"/>
      <c r="G300" s="235"/>
      <c r="H300" s="235"/>
      <c r="I300" s="235"/>
      <c r="J300" s="235"/>
      <c r="K300" s="235"/>
      <c r="L300" s="235"/>
      <c r="M300" s="235"/>
      <c r="N300" s="235"/>
      <c r="O300" s="235"/>
      <c r="P300" s="235"/>
    </row>
    <row r="301" spans="1:146" s="87" customFormat="1" ht="11.25">
      <c r="C301" s="73" t="s">
        <v>169</v>
      </c>
      <c r="D301" s="99"/>
      <c r="E301" s="228"/>
      <c r="F301" s="229"/>
      <c r="G301" s="229"/>
      <c r="H301" s="230"/>
      <c r="I301" s="231"/>
      <c r="J301" s="231"/>
      <c r="K301" s="231"/>
      <c r="L301" s="231"/>
      <c r="M301" s="231"/>
      <c r="N301" s="231"/>
      <c r="O301" s="231"/>
      <c r="P301" s="90"/>
      <c r="Q301" s="10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89"/>
      <c r="AJ301" s="89"/>
      <c r="AK301" s="89"/>
      <c r="AL301" s="89"/>
      <c r="AM301" s="89"/>
      <c r="AN301" s="89"/>
      <c r="AO301" s="89"/>
      <c r="AP301" s="89"/>
      <c r="AQ301" s="89"/>
      <c r="AR301" s="89"/>
      <c r="AS301" s="89"/>
      <c r="AT301" s="89"/>
      <c r="AU301" s="89"/>
      <c r="AV301" s="89"/>
      <c r="AW301" s="89"/>
      <c r="AX301" s="89"/>
      <c r="AY301" s="89"/>
      <c r="AZ301" s="89"/>
      <c r="BA301" s="89"/>
      <c r="BB301" s="89"/>
      <c r="BC301" s="89"/>
      <c r="BD301" s="89"/>
      <c r="BE301" s="89"/>
      <c r="BF301" s="89"/>
      <c r="BG301" s="89"/>
      <c r="BH301" s="89"/>
      <c r="BI301" s="89"/>
      <c r="BJ301" s="89"/>
      <c r="BK301" s="89"/>
      <c r="BL301" s="89"/>
      <c r="BM301" s="89"/>
      <c r="BN301" s="89"/>
      <c r="BO301" s="89"/>
      <c r="BP301" s="89"/>
      <c r="BQ301" s="89"/>
      <c r="BR301" s="89"/>
      <c r="BS301" s="89"/>
      <c r="BT301" s="89"/>
      <c r="BU301" s="89"/>
      <c r="BV301" s="89"/>
      <c r="BW301" s="89"/>
      <c r="BX301" s="89"/>
      <c r="BY301" s="89"/>
      <c r="BZ301" s="89"/>
      <c r="CA301" s="89"/>
      <c r="CB301" s="89"/>
      <c r="CC301" s="89"/>
      <c r="CD301" s="89"/>
      <c r="CE301" s="89"/>
      <c r="CF301" s="89"/>
      <c r="CG301" s="89"/>
      <c r="CH301" s="89"/>
      <c r="CI301" s="89"/>
      <c r="CJ301" s="89"/>
      <c r="CK301" s="89"/>
      <c r="CL301" s="89"/>
      <c r="CM301" s="89"/>
      <c r="CN301" s="89"/>
      <c r="CO301" s="89"/>
      <c r="CP301" s="89"/>
      <c r="CQ301" s="89"/>
      <c r="CR301" s="89"/>
      <c r="CS301" s="89"/>
      <c r="CT301" s="89"/>
      <c r="CU301" s="89"/>
      <c r="CV301" s="89"/>
      <c r="CW301" s="89"/>
      <c r="CX301" s="89"/>
      <c r="CY301" s="89"/>
      <c r="CZ301" s="89"/>
      <c r="DA301" s="89"/>
      <c r="DB301" s="89"/>
      <c r="DC301" s="89"/>
      <c r="DD301" s="89"/>
      <c r="DE301" s="89"/>
      <c r="DF301" s="89"/>
      <c r="DG301" s="89"/>
      <c r="DH301" s="89"/>
      <c r="DI301" s="89"/>
      <c r="DJ301" s="89"/>
      <c r="DK301" s="89"/>
      <c r="DL301" s="89"/>
      <c r="DM301" s="89"/>
      <c r="DN301" s="89"/>
      <c r="DO301" s="89"/>
      <c r="DP301" s="89"/>
      <c r="DQ301" s="89"/>
      <c r="DR301" s="89"/>
      <c r="DS301" s="89"/>
      <c r="DT301" s="89"/>
      <c r="DU301" s="89"/>
      <c r="DV301" s="89"/>
      <c r="DW301" s="89"/>
      <c r="DX301" s="89"/>
      <c r="DY301" s="89"/>
      <c r="DZ301" s="89"/>
      <c r="EA301" s="89"/>
      <c r="EB301" s="89"/>
      <c r="EC301" s="89"/>
      <c r="ED301" s="89"/>
      <c r="EE301" s="89"/>
      <c r="EF301" s="89"/>
      <c r="EG301" s="89"/>
      <c r="EH301" s="89"/>
      <c r="EI301" s="89"/>
      <c r="EJ301" s="89"/>
      <c r="EK301" s="89"/>
      <c r="EL301" s="89"/>
      <c r="EM301" s="89"/>
      <c r="EN301" s="89"/>
      <c r="EO301" s="89"/>
      <c r="EP301" s="89"/>
    </row>
    <row r="302" spans="1:146" s="87" customFormat="1" ht="11.25">
      <c r="B302" s="211" t="s">
        <v>8</v>
      </c>
      <c r="C302" s="213" t="s">
        <v>0</v>
      </c>
      <c r="D302" s="213" t="s">
        <v>7</v>
      </c>
      <c r="E302" s="232" t="str">
        <f>E$12</f>
        <v>Oct-22</v>
      </c>
      <c r="F302" s="232" t="str">
        <f t="shared" ref="F302:P302" si="51">F$12</f>
        <v>Nov-22</v>
      </c>
      <c r="G302" s="232" t="str">
        <f t="shared" si="51"/>
        <v>Dec-22</v>
      </c>
      <c r="H302" s="232" t="str">
        <f t="shared" si="51"/>
        <v>Jan-23</v>
      </c>
      <c r="I302" s="232" t="str">
        <f t="shared" si="51"/>
        <v>Feb-23</v>
      </c>
      <c r="J302" s="232" t="str">
        <f t="shared" si="51"/>
        <v>Mar-23</v>
      </c>
      <c r="K302" s="232" t="str">
        <f t="shared" si="51"/>
        <v>Apr-23</v>
      </c>
      <c r="L302" s="232" t="str">
        <f t="shared" si="51"/>
        <v>May-23</v>
      </c>
      <c r="M302" s="232" t="str">
        <f t="shared" si="51"/>
        <v>Jun-23</v>
      </c>
      <c r="N302" s="232" t="str">
        <f t="shared" si="51"/>
        <v>Jul-23</v>
      </c>
      <c r="O302" s="232" t="str">
        <f t="shared" si="51"/>
        <v>Aug-23</v>
      </c>
      <c r="P302" s="232" t="str">
        <f t="shared" si="51"/>
        <v>Sep-23</v>
      </c>
      <c r="Q302" s="110" t="s">
        <v>2</v>
      </c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89"/>
      <c r="AJ302" s="89"/>
      <c r="AK302" s="89"/>
      <c r="AL302" s="89"/>
      <c r="AM302" s="89"/>
      <c r="AN302" s="89"/>
      <c r="AO302" s="89"/>
      <c r="AP302" s="89"/>
      <c r="AQ302" s="89"/>
      <c r="AR302" s="89"/>
      <c r="AS302" s="89"/>
      <c r="AT302" s="89"/>
      <c r="AU302" s="89"/>
      <c r="AV302" s="89"/>
      <c r="AW302" s="89"/>
      <c r="AX302" s="89"/>
      <c r="AY302" s="89"/>
      <c r="AZ302" s="89"/>
      <c r="BA302" s="89"/>
      <c r="BB302" s="89"/>
      <c r="BC302" s="89"/>
      <c r="BD302" s="89"/>
      <c r="BE302" s="89"/>
      <c r="BF302" s="89"/>
      <c r="BG302" s="89"/>
      <c r="BH302" s="89"/>
      <c r="BI302" s="89"/>
      <c r="BJ302" s="89"/>
      <c r="BK302" s="89"/>
      <c r="BL302" s="89"/>
      <c r="BM302" s="89"/>
      <c r="BN302" s="89"/>
      <c r="BO302" s="89"/>
      <c r="BP302" s="89"/>
      <c r="BQ302" s="89"/>
      <c r="BR302" s="89"/>
      <c r="BS302" s="89"/>
      <c r="BT302" s="89"/>
      <c r="BU302" s="89"/>
      <c r="BV302" s="89"/>
      <c r="BW302" s="89"/>
      <c r="BX302" s="89"/>
      <c r="BY302" s="89"/>
      <c r="BZ302" s="89"/>
      <c r="CA302" s="89"/>
      <c r="CB302" s="89"/>
      <c r="CC302" s="89"/>
      <c r="CD302" s="89"/>
      <c r="CE302" s="89"/>
      <c r="CF302" s="89"/>
      <c r="CG302" s="89"/>
      <c r="CH302" s="89"/>
      <c r="CI302" s="89"/>
      <c r="CJ302" s="89"/>
      <c r="CK302" s="89"/>
      <c r="CL302" s="89"/>
      <c r="CM302" s="89"/>
      <c r="CN302" s="89"/>
      <c r="CO302" s="89"/>
      <c r="CP302" s="89"/>
      <c r="CQ302" s="89"/>
      <c r="CR302" s="89"/>
      <c r="CS302" s="89"/>
      <c r="CT302" s="89"/>
      <c r="CU302" s="89"/>
      <c r="CV302" s="89"/>
      <c r="CW302" s="89"/>
      <c r="CX302" s="89"/>
      <c r="CY302" s="89"/>
      <c r="CZ302" s="89"/>
      <c r="DA302" s="89"/>
      <c r="DB302" s="89"/>
      <c r="DC302" s="89"/>
      <c r="DD302" s="89"/>
      <c r="DE302" s="89"/>
      <c r="DF302" s="89"/>
      <c r="DG302" s="89"/>
      <c r="DH302" s="89"/>
      <c r="DI302" s="89"/>
      <c r="DJ302" s="89"/>
      <c r="DK302" s="89"/>
      <c r="DL302" s="89"/>
      <c r="DM302" s="89"/>
      <c r="DN302" s="89"/>
      <c r="DO302" s="89"/>
      <c r="DP302" s="89"/>
      <c r="DQ302" s="89"/>
      <c r="DR302" s="89"/>
      <c r="DS302" s="89"/>
      <c r="DT302" s="89"/>
      <c r="DU302" s="89"/>
      <c r="DV302" s="89"/>
      <c r="DW302" s="89"/>
      <c r="DX302" s="89"/>
      <c r="DY302" s="89"/>
      <c r="DZ302" s="89"/>
      <c r="EA302" s="89"/>
      <c r="EB302" s="89"/>
      <c r="EC302" s="89"/>
      <c r="ED302" s="89"/>
      <c r="EE302" s="89"/>
      <c r="EF302" s="89"/>
      <c r="EG302" s="89"/>
      <c r="EH302" s="89"/>
      <c r="EI302" s="89"/>
      <c r="EJ302" s="89"/>
      <c r="EK302" s="89"/>
      <c r="EL302" s="89"/>
      <c r="EM302" s="89"/>
      <c r="EN302" s="89"/>
      <c r="EO302" s="89"/>
      <c r="EP302" s="89"/>
    </row>
    <row r="303" spans="1:146" s="87" customFormat="1" ht="11.25">
      <c r="C303" s="213"/>
      <c r="D303" s="213"/>
      <c r="E303" s="232"/>
      <c r="F303" s="232"/>
      <c r="G303" s="232"/>
      <c r="H303" s="232"/>
      <c r="I303" s="232"/>
      <c r="J303" s="232"/>
      <c r="K303" s="232"/>
      <c r="L303" s="232"/>
      <c r="M303" s="232"/>
      <c r="N303" s="232"/>
      <c r="O303" s="232"/>
      <c r="P303" s="227"/>
      <c r="Q303" s="110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89"/>
      <c r="AJ303" s="89"/>
      <c r="AK303" s="89"/>
      <c r="AL303" s="89"/>
      <c r="AM303" s="89"/>
      <c r="AN303" s="89"/>
      <c r="AO303" s="89"/>
      <c r="AP303" s="89"/>
      <c r="AQ303" s="89"/>
      <c r="AR303" s="89"/>
      <c r="AS303" s="89"/>
      <c r="AT303" s="89"/>
      <c r="AU303" s="89"/>
      <c r="AV303" s="89"/>
      <c r="AW303" s="89"/>
      <c r="AX303" s="89"/>
      <c r="AY303" s="89"/>
      <c r="AZ303" s="89"/>
      <c r="BA303" s="89"/>
      <c r="BB303" s="89"/>
      <c r="BC303" s="89"/>
      <c r="BD303" s="89"/>
      <c r="BE303" s="89"/>
      <c r="BF303" s="89"/>
      <c r="BG303" s="89"/>
      <c r="BH303" s="89"/>
      <c r="BI303" s="89"/>
      <c r="BJ303" s="89"/>
      <c r="BK303" s="89"/>
      <c r="BL303" s="89"/>
      <c r="BM303" s="89"/>
      <c r="BN303" s="89"/>
      <c r="BO303" s="89"/>
      <c r="BP303" s="89"/>
      <c r="BQ303" s="89"/>
      <c r="BR303" s="89"/>
      <c r="BS303" s="89"/>
      <c r="BT303" s="89"/>
      <c r="BU303" s="89"/>
      <c r="BV303" s="89"/>
      <c r="BW303" s="89"/>
      <c r="BX303" s="89"/>
      <c r="BY303" s="89"/>
      <c r="BZ303" s="89"/>
      <c r="CA303" s="89"/>
      <c r="CB303" s="89"/>
      <c r="CC303" s="89"/>
      <c r="CD303" s="89"/>
      <c r="CE303" s="89"/>
      <c r="CF303" s="89"/>
      <c r="CG303" s="89"/>
      <c r="CH303" s="89"/>
      <c r="CI303" s="89"/>
      <c r="CJ303" s="89"/>
      <c r="CK303" s="89"/>
      <c r="CL303" s="89"/>
      <c r="CM303" s="89"/>
      <c r="CN303" s="89"/>
      <c r="CO303" s="89"/>
      <c r="CP303" s="89"/>
      <c r="CQ303" s="89"/>
      <c r="CR303" s="89"/>
      <c r="CS303" s="89"/>
      <c r="CT303" s="89"/>
      <c r="CU303" s="89"/>
      <c r="CV303" s="89"/>
      <c r="CW303" s="89"/>
      <c r="CX303" s="89"/>
      <c r="CY303" s="89"/>
      <c r="CZ303" s="89"/>
      <c r="DA303" s="89"/>
      <c r="DB303" s="89"/>
      <c r="DC303" s="89"/>
      <c r="DD303" s="89"/>
      <c r="DE303" s="89"/>
      <c r="DF303" s="89"/>
      <c r="DG303" s="89"/>
      <c r="DH303" s="89"/>
      <c r="DI303" s="89"/>
      <c r="DJ303" s="89"/>
      <c r="DK303" s="89"/>
      <c r="DL303" s="89"/>
      <c r="DM303" s="89"/>
      <c r="DN303" s="89"/>
      <c r="DO303" s="89"/>
      <c r="DP303" s="89"/>
      <c r="DQ303" s="89"/>
      <c r="DR303" s="89"/>
      <c r="DS303" s="89"/>
      <c r="DT303" s="89"/>
      <c r="DU303" s="89"/>
      <c r="DV303" s="89"/>
      <c r="DW303" s="89"/>
      <c r="DX303" s="89"/>
      <c r="DY303" s="89"/>
      <c r="DZ303" s="89"/>
      <c r="EA303" s="89"/>
      <c r="EB303" s="89"/>
      <c r="EC303" s="89"/>
      <c r="ED303" s="89"/>
      <c r="EE303" s="89"/>
      <c r="EF303" s="89"/>
      <c r="EG303" s="89"/>
      <c r="EH303" s="89"/>
      <c r="EI303" s="89"/>
      <c r="EJ303" s="89"/>
      <c r="EK303" s="89"/>
      <c r="EL303" s="89"/>
      <c r="EM303" s="89"/>
      <c r="EN303" s="89"/>
      <c r="EO303" s="89"/>
      <c r="EP303" s="89"/>
    </row>
    <row r="304" spans="1:146" s="78" customFormat="1" ht="11.25">
      <c r="A304" s="87" t="str">
        <f>CONCATENATE($C$301,C304)</f>
        <v>All RidersRESIDENTIAL SERVICE</v>
      </c>
      <c r="B304" s="83" t="s">
        <v>9</v>
      </c>
      <c r="C304" s="78" t="s">
        <v>17</v>
      </c>
      <c r="D304" s="85" t="s">
        <v>4</v>
      </c>
      <c r="E304" s="124">
        <f t="shared" ref="E304:P304" si="52">E275+E246+E217+E188+E159+E130+E101+E72+E43+E14</f>
        <v>29562968.350000001</v>
      </c>
      <c r="F304" s="124">
        <f t="shared" si="52"/>
        <v>22854031.299999997</v>
      </c>
      <c r="G304" s="124">
        <f t="shared" si="52"/>
        <v>26489988.810000002</v>
      </c>
      <c r="H304" s="124">
        <f t="shared" si="52"/>
        <v>28378698.859999999</v>
      </c>
      <c r="I304" s="124">
        <f t="shared" si="52"/>
        <v>24919300.559999999</v>
      </c>
      <c r="J304" s="124">
        <f t="shared" si="52"/>
        <v>16521953.33</v>
      </c>
      <c r="K304" s="124">
        <f t="shared" si="52"/>
        <v>16330312.170000002</v>
      </c>
      <c r="L304" s="124">
        <f t="shared" si="52"/>
        <v>17830920.599999998</v>
      </c>
      <c r="M304" s="124">
        <f t="shared" si="52"/>
        <v>24104002.249999996</v>
      </c>
      <c r="N304" s="124">
        <f t="shared" si="52"/>
        <v>31385295.68</v>
      </c>
      <c r="O304" s="124">
        <f t="shared" si="52"/>
        <v>31629252.330000002</v>
      </c>
      <c r="P304" s="124">
        <f t="shared" si="52"/>
        <v>46444299.089999996</v>
      </c>
      <c r="Q304" s="90">
        <f>SUM(E304:P304)</f>
        <v>316451023.32999998</v>
      </c>
      <c r="R304" s="125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  <c r="AM304" s="68"/>
      <c r="AN304" s="68"/>
      <c r="AO304" s="68"/>
      <c r="AP304" s="68"/>
      <c r="AQ304" s="68"/>
      <c r="AR304" s="68"/>
      <c r="AS304" s="68"/>
      <c r="AT304" s="68"/>
      <c r="AU304" s="68"/>
      <c r="AV304" s="68"/>
      <c r="AW304" s="68"/>
      <c r="AX304" s="68"/>
      <c r="AY304" s="68"/>
      <c r="AZ304" s="68"/>
      <c r="BA304" s="68"/>
      <c r="BB304" s="68"/>
      <c r="BC304" s="68"/>
      <c r="BD304" s="68"/>
      <c r="BE304" s="68"/>
      <c r="BF304" s="68"/>
      <c r="BG304" s="68"/>
      <c r="BH304" s="68"/>
      <c r="BI304" s="68"/>
      <c r="BJ304" s="68"/>
      <c r="BK304" s="68"/>
      <c r="BL304" s="68"/>
      <c r="BM304" s="68"/>
      <c r="BN304" s="68"/>
      <c r="BO304" s="68"/>
      <c r="BP304" s="68"/>
      <c r="BQ304" s="68"/>
      <c r="BR304" s="68"/>
      <c r="BS304" s="68"/>
      <c r="BT304" s="68"/>
      <c r="BU304" s="68"/>
      <c r="BV304" s="68"/>
      <c r="BW304" s="68"/>
      <c r="BX304" s="68"/>
      <c r="BY304" s="68"/>
      <c r="BZ304" s="68"/>
      <c r="CA304" s="68"/>
      <c r="CB304" s="68"/>
      <c r="CC304" s="68"/>
      <c r="CD304" s="68"/>
      <c r="CE304" s="68"/>
      <c r="CF304" s="68"/>
      <c r="CG304" s="68"/>
      <c r="CH304" s="68"/>
      <c r="CI304" s="68"/>
      <c r="CJ304" s="68"/>
      <c r="CK304" s="68"/>
      <c r="CL304" s="68"/>
      <c r="CM304" s="68"/>
      <c r="CN304" s="68"/>
      <c r="CO304" s="68"/>
      <c r="CP304" s="68"/>
      <c r="CQ304" s="68"/>
      <c r="CR304" s="68"/>
      <c r="CS304" s="68"/>
      <c r="CT304" s="68"/>
      <c r="CU304" s="68"/>
      <c r="CV304" s="68"/>
      <c r="CW304" s="68"/>
      <c r="CX304" s="68"/>
      <c r="CY304" s="68"/>
      <c r="CZ304" s="68"/>
      <c r="DA304" s="68"/>
      <c r="DB304" s="68"/>
      <c r="DC304" s="68"/>
      <c r="DD304" s="68"/>
      <c r="DE304" s="68"/>
      <c r="DF304" s="68"/>
      <c r="DG304" s="68"/>
      <c r="DH304" s="68"/>
      <c r="DI304" s="68"/>
      <c r="DJ304" s="68"/>
      <c r="DK304" s="68"/>
      <c r="DL304" s="68"/>
      <c r="DM304" s="68"/>
      <c r="DN304" s="68"/>
      <c r="DO304" s="68"/>
      <c r="DP304" s="68"/>
      <c r="DQ304" s="68"/>
      <c r="DR304" s="68"/>
      <c r="DS304" s="68"/>
      <c r="DT304" s="68"/>
      <c r="DU304" s="68"/>
      <c r="DV304" s="68"/>
      <c r="DW304" s="68"/>
      <c r="DX304" s="68"/>
      <c r="DY304" s="68"/>
      <c r="DZ304" s="68"/>
      <c r="EA304" s="68"/>
      <c r="EB304" s="68"/>
      <c r="EC304" s="68"/>
      <c r="ED304" s="68"/>
      <c r="EE304" s="68"/>
      <c r="EF304" s="68"/>
      <c r="EG304" s="68"/>
      <c r="EH304" s="68"/>
      <c r="EI304" s="68"/>
      <c r="EJ304" s="68"/>
      <c r="EK304" s="68"/>
      <c r="EL304" s="68"/>
      <c r="EM304" s="68"/>
      <c r="EN304" s="68"/>
      <c r="EO304" s="68"/>
      <c r="EP304" s="68"/>
    </row>
    <row r="305" spans="1:146" s="78" customFormat="1" ht="11.25">
      <c r="A305" s="87" t="str">
        <f t="shared" ref="A305:A328" si="53">CONCATENATE($C$301,C305)</f>
        <v>All Riders</v>
      </c>
      <c r="D305" s="85"/>
      <c r="E305" s="124"/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93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  <c r="AN305" s="68"/>
      <c r="AO305" s="68"/>
      <c r="AP305" s="68"/>
      <c r="AQ305" s="68"/>
      <c r="AR305" s="68"/>
      <c r="AS305" s="68"/>
      <c r="AT305" s="68"/>
      <c r="AU305" s="68"/>
      <c r="AV305" s="68"/>
      <c r="AW305" s="68"/>
      <c r="AX305" s="68"/>
      <c r="AY305" s="68"/>
      <c r="AZ305" s="68"/>
      <c r="BA305" s="68"/>
      <c r="BB305" s="68"/>
      <c r="BC305" s="68"/>
      <c r="BD305" s="68"/>
      <c r="BE305" s="68"/>
      <c r="BF305" s="68"/>
      <c r="BG305" s="68"/>
      <c r="BH305" s="68"/>
      <c r="BI305" s="68"/>
      <c r="BJ305" s="68"/>
      <c r="BK305" s="68"/>
      <c r="BL305" s="68"/>
      <c r="BM305" s="68"/>
      <c r="BN305" s="68"/>
      <c r="BO305" s="68"/>
      <c r="BP305" s="68"/>
      <c r="BQ305" s="68"/>
      <c r="BR305" s="68"/>
      <c r="BS305" s="68"/>
      <c r="BT305" s="68"/>
      <c r="BU305" s="68"/>
      <c r="BV305" s="68"/>
      <c r="BW305" s="68"/>
      <c r="BX305" s="68"/>
      <c r="BY305" s="68"/>
      <c r="BZ305" s="68"/>
      <c r="CA305" s="68"/>
      <c r="CB305" s="68"/>
      <c r="CC305" s="68"/>
      <c r="CD305" s="68"/>
      <c r="CE305" s="68"/>
      <c r="CF305" s="68"/>
      <c r="CG305" s="68"/>
      <c r="CH305" s="68"/>
      <c r="CI305" s="68"/>
      <c r="CJ305" s="68"/>
      <c r="CK305" s="68"/>
      <c r="CL305" s="68"/>
      <c r="CM305" s="68"/>
      <c r="CN305" s="68"/>
      <c r="CO305" s="68"/>
      <c r="CP305" s="68"/>
      <c r="CQ305" s="68"/>
      <c r="CR305" s="68"/>
      <c r="CS305" s="68"/>
      <c r="CT305" s="68"/>
      <c r="CU305" s="68"/>
      <c r="CV305" s="68"/>
      <c r="CW305" s="68"/>
      <c r="CX305" s="68"/>
      <c r="CY305" s="68"/>
      <c r="CZ305" s="68"/>
      <c r="DA305" s="68"/>
      <c r="DB305" s="68"/>
      <c r="DC305" s="68"/>
      <c r="DD305" s="68"/>
      <c r="DE305" s="68"/>
      <c r="DF305" s="68"/>
      <c r="DG305" s="68"/>
      <c r="DH305" s="68"/>
      <c r="DI305" s="68"/>
      <c r="DJ305" s="68"/>
      <c r="DK305" s="68"/>
      <c r="DL305" s="68"/>
      <c r="DM305" s="68"/>
      <c r="DN305" s="68"/>
      <c r="DO305" s="68"/>
      <c r="DP305" s="68"/>
      <c r="DQ305" s="68"/>
      <c r="DR305" s="68"/>
      <c r="DS305" s="68"/>
      <c r="DT305" s="68"/>
      <c r="DU305" s="68"/>
      <c r="DV305" s="68"/>
      <c r="DW305" s="68"/>
      <c r="DX305" s="68"/>
      <c r="DY305" s="68"/>
      <c r="DZ305" s="68"/>
      <c r="EA305" s="68"/>
      <c r="EB305" s="68"/>
      <c r="EC305" s="68"/>
      <c r="ED305" s="68"/>
      <c r="EE305" s="68"/>
      <c r="EF305" s="68"/>
      <c r="EG305" s="68"/>
      <c r="EH305" s="68"/>
      <c r="EI305" s="68"/>
      <c r="EJ305" s="68"/>
      <c r="EK305" s="68"/>
      <c r="EL305" s="68"/>
      <c r="EM305" s="68"/>
      <c r="EN305" s="68"/>
      <c r="EO305" s="68"/>
      <c r="EP305" s="68"/>
    </row>
    <row r="306" spans="1:146" s="78" customFormat="1" ht="11.25">
      <c r="A306" s="87" t="str">
        <f t="shared" si="53"/>
        <v>All RidersSECONDARY &lt; 10 kW</v>
      </c>
      <c r="B306" s="83">
        <v>2</v>
      </c>
      <c r="C306" s="78" t="s">
        <v>150</v>
      </c>
      <c r="D306" s="85" t="s">
        <v>4</v>
      </c>
      <c r="E306" s="124">
        <f t="shared" ref="E306:P306" si="54">E277+E248+E219+E190+E161+E132+E103+E74+E45+E16</f>
        <v>1525973.7800000003</v>
      </c>
      <c r="F306" s="124">
        <f t="shared" si="54"/>
        <v>1354622.9000000001</v>
      </c>
      <c r="G306" s="124">
        <f t="shared" si="54"/>
        <v>1424343.0000000002</v>
      </c>
      <c r="H306" s="124">
        <f t="shared" si="54"/>
        <v>1435700.58</v>
      </c>
      <c r="I306" s="124">
        <f t="shared" si="54"/>
        <v>1309437.93</v>
      </c>
      <c r="J306" s="124">
        <f t="shared" si="54"/>
        <v>1268261.9100000001</v>
      </c>
      <c r="K306" s="124">
        <f t="shared" si="54"/>
        <v>1266631.8299999998</v>
      </c>
      <c r="L306" s="124">
        <f t="shared" si="54"/>
        <v>1334823.95</v>
      </c>
      <c r="M306" s="124">
        <f t="shared" si="54"/>
        <v>1538102.19</v>
      </c>
      <c r="N306" s="124">
        <f t="shared" si="54"/>
        <v>1784184.3800000001</v>
      </c>
      <c r="O306" s="124">
        <f t="shared" si="54"/>
        <v>1835857.06</v>
      </c>
      <c r="P306" s="124">
        <f t="shared" si="54"/>
        <v>2305204.8999999994</v>
      </c>
      <c r="Q306" s="93">
        <f>SUM(E306:P306)</f>
        <v>18383144.41</v>
      </c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  <c r="AO306" s="68"/>
      <c r="AP306" s="68"/>
      <c r="AQ306" s="68"/>
      <c r="AR306" s="68"/>
      <c r="AS306" s="68"/>
      <c r="AT306" s="68"/>
      <c r="AU306" s="68"/>
      <c r="AV306" s="68"/>
      <c r="AW306" s="68"/>
      <c r="AX306" s="68"/>
      <c r="AY306" s="68"/>
      <c r="AZ306" s="68"/>
      <c r="BA306" s="68"/>
      <c r="BB306" s="68"/>
      <c r="BC306" s="68"/>
      <c r="BD306" s="68"/>
      <c r="BE306" s="68"/>
      <c r="BF306" s="68"/>
      <c r="BG306" s="68"/>
      <c r="BH306" s="68"/>
      <c r="BI306" s="68"/>
      <c r="BJ306" s="68"/>
      <c r="BK306" s="68"/>
      <c r="BL306" s="68"/>
      <c r="BM306" s="68"/>
      <c r="BN306" s="68"/>
      <c r="BO306" s="68"/>
      <c r="BP306" s="68"/>
      <c r="BQ306" s="68"/>
      <c r="BR306" s="68"/>
      <c r="BS306" s="68"/>
      <c r="BT306" s="68"/>
      <c r="BU306" s="68"/>
      <c r="BV306" s="68"/>
      <c r="BW306" s="68"/>
      <c r="BX306" s="68"/>
      <c r="BY306" s="68"/>
      <c r="BZ306" s="68"/>
      <c r="CA306" s="68"/>
      <c r="CB306" s="68"/>
      <c r="CC306" s="68"/>
      <c r="CD306" s="68"/>
      <c r="CE306" s="68"/>
      <c r="CF306" s="68"/>
      <c r="CG306" s="68"/>
      <c r="CH306" s="68"/>
      <c r="CI306" s="68"/>
      <c r="CJ306" s="68"/>
      <c r="CK306" s="68"/>
      <c r="CL306" s="68"/>
      <c r="CM306" s="68"/>
      <c r="CN306" s="68"/>
      <c r="CO306" s="68"/>
      <c r="CP306" s="68"/>
      <c r="CQ306" s="68"/>
      <c r="CR306" s="68"/>
      <c r="CS306" s="68"/>
      <c r="CT306" s="68"/>
      <c r="CU306" s="68"/>
      <c r="CV306" s="68"/>
      <c r="CW306" s="68"/>
      <c r="CX306" s="68"/>
      <c r="CY306" s="68"/>
      <c r="CZ306" s="68"/>
      <c r="DA306" s="68"/>
      <c r="DB306" s="68"/>
      <c r="DC306" s="68"/>
      <c r="DD306" s="68"/>
      <c r="DE306" s="68"/>
      <c r="DF306" s="68"/>
      <c r="DG306" s="68"/>
      <c r="DH306" s="68"/>
      <c r="DI306" s="68"/>
      <c r="DJ306" s="68"/>
      <c r="DK306" s="68"/>
      <c r="DL306" s="68"/>
      <c r="DM306" s="68"/>
      <c r="DN306" s="68"/>
      <c r="DO306" s="68"/>
      <c r="DP306" s="68"/>
      <c r="DQ306" s="68"/>
      <c r="DR306" s="68"/>
      <c r="DS306" s="68"/>
      <c r="DT306" s="68"/>
      <c r="DU306" s="68"/>
      <c r="DV306" s="68"/>
      <c r="DW306" s="68"/>
      <c r="DX306" s="68"/>
      <c r="DY306" s="68"/>
      <c r="DZ306" s="68"/>
      <c r="EA306" s="68"/>
      <c r="EB306" s="68"/>
      <c r="EC306" s="68"/>
      <c r="ED306" s="68"/>
      <c r="EE306" s="68"/>
      <c r="EF306" s="68"/>
      <c r="EG306" s="68"/>
      <c r="EH306" s="68"/>
      <c r="EI306" s="68"/>
      <c r="EJ306" s="68"/>
      <c r="EK306" s="68"/>
      <c r="EL306" s="68"/>
      <c r="EM306" s="68"/>
      <c r="EN306" s="68"/>
      <c r="EO306" s="68"/>
      <c r="EP306" s="68"/>
    </row>
    <row r="307" spans="1:146" s="78" customFormat="1" ht="11.25">
      <c r="A307" s="87" t="str">
        <f t="shared" si="53"/>
        <v>All Riders</v>
      </c>
      <c r="B307" s="83"/>
      <c r="D307" s="85"/>
      <c r="E307" s="124"/>
      <c r="F307" s="124"/>
      <c r="G307" s="124"/>
      <c r="H307" s="124"/>
      <c r="I307" s="124"/>
      <c r="J307" s="124"/>
      <c r="K307" s="124"/>
      <c r="L307" s="124"/>
      <c r="M307" s="124"/>
      <c r="N307" s="124"/>
      <c r="O307" s="124"/>
      <c r="P307" s="124"/>
      <c r="Q307" s="93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 s="68"/>
      <c r="BH307" s="68"/>
      <c r="BI307" s="68"/>
      <c r="BJ307" s="68"/>
      <c r="BK307" s="68"/>
      <c r="BL307" s="68"/>
      <c r="BM307" s="68"/>
      <c r="BN307" s="68"/>
      <c r="BO307" s="68"/>
      <c r="BP307" s="68"/>
      <c r="BQ307" s="68"/>
      <c r="BR307" s="68"/>
      <c r="BS307" s="68"/>
      <c r="BT307" s="68"/>
      <c r="BU307" s="68"/>
      <c r="BV307" s="68"/>
      <c r="BW307" s="68"/>
      <c r="BX307" s="68"/>
      <c r="BY307" s="68"/>
      <c r="BZ307" s="68"/>
      <c r="CA307" s="68"/>
      <c r="CB307" s="68"/>
      <c r="CC307" s="68"/>
      <c r="CD307" s="68"/>
      <c r="CE307" s="68"/>
      <c r="CF307" s="68"/>
      <c r="CG307" s="68"/>
      <c r="CH307" s="68"/>
      <c r="CI307" s="68"/>
      <c r="CJ307" s="68"/>
      <c r="CK307" s="68"/>
      <c r="CL307" s="68"/>
      <c r="CM307" s="68"/>
      <c r="CN307" s="68"/>
      <c r="CO307" s="68"/>
      <c r="CP307" s="68"/>
      <c r="CQ307" s="68"/>
      <c r="CR307" s="68"/>
      <c r="CS307" s="68"/>
      <c r="CT307" s="68"/>
      <c r="CU307" s="68"/>
      <c r="CV307" s="68"/>
      <c r="CW307" s="68"/>
      <c r="CX307" s="68"/>
      <c r="CY307" s="68"/>
      <c r="CZ307" s="68"/>
      <c r="DA307" s="68"/>
      <c r="DB307" s="68"/>
      <c r="DC307" s="68"/>
      <c r="DD307" s="68"/>
      <c r="DE307" s="68"/>
      <c r="DF307" s="68"/>
      <c r="DG307" s="68"/>
      <c r="DH307" s="68"/>
      <c r="DI307" s="68"/>
      <c r="DJ307" s="68"/>
      <c r="DK307" s="68"/>
      <c r="DL307" s="68"/>
      <c r="DM307" s="68"/>
      <c r="DN307" s="68"/>
      <c r="DO307" s="68"/>
      <c r="DP307" s="68"/>
      <c r="DQ307" s="68"/>
      <c r="DR307" s="68"/>
      <c r="DS307" s="68"/>
      <c r="DT307" s="68"/>
      <c r="DU307" s="68"/>
      <c r="DV307" s="68"/>
      <c r="DW307" s="68"/>
      <c r="DX307" s="68"/>
      <c r="DY307" s="68"/>
      <c r="DZ307" s="68"/>
      <c r="EA307" s="68"/>
      <c r="EB307" s="68"/>
      <c r="EC307" s="68"/>
      <c r="ED307" s="68"/>
      <c r="EE307" s="68"/>
      <c r="EF307" s="68"/>
      <c r="EG307" s="68"/>
      <c r="EH307" s="68"/>
      <c r="EI307" s="68"/>
      <c r="EJ307" s="68"/>
      <c r="EK307" s="68"/>
      <c r="EL307" s="68"/>
      <c r="EM307" s="68"/>
      <c r="EN307" s="68"/>
      <c r="EO307" s="68"/>
      <c r="EP307" s="68"/>
    </row>
    <row r="308" spans="1:146" s="78" customFormat="1" ht="11.25">
      <c r="A308" s="87" t="str">
        <f t="shared" si="53"/>
        <v>All RidersSECONDARY &gt; 10 kW NCP</v>
      </c>
      <c r="B308" s="83">
        <v>3</v>
      </c>
      <c r="C308" s="87" t="s">
        <v>81</v>
      </c>
      <c r="D308" s="74" t="s">
        <v>4</v>
      </c>
      <c r="E308" s="124">
        <f t="shared" ref="E308:P308" si="55">E279+E250+E221+E192+E163+E134+E105+E76+E47+E18</f>
        <v>15308334.599999998</v>
      </c>
      <c r="F308" s="124">
        <f t="shared" si="55"/>
        <v>14764419.74</v>
      </c>
      <c r="G308" s="124">
        <f t="shared" si="55"/>
        <v>15239569.720000001</v>
      </c>
      <c r="H308" s="124">
        <f t="shared" si="55"/>
        <v>15456869.350000001</v>
      </c>
      <c r="I308" s="124">
        <f t="shared" si="55"/>
        <v>15339811.41</v>
      </c>
      <c r="J308" s="124">
        <f t="shared" si="55"/>
        <v>13715605.539999997</v>
      </c>
      <c r="K308" s="124">
        <f t="shared" si="55"/>
        <v>13453281.83</v>
      </c>
      <c r="L308" s="124">
        <f t="shared" si="55"/>
        <v>13366237.510000002</v>
      </c>
      <c r="M308" s="124">
        <f t="shared" si="55"/>
        <v>14153622.459999999</v>
      </c>
      <c r="N308" s="124">
        <f t="shared" si="55"/>
        <v>15093931.760000002</v>
      </c>
      <c r="O308" s="124">
        <f t="shared" si="55"/>
        <v>15290248.76</v>
      </c>
      <c r="P308" s="124">
        <f t="shared" si="55"/>
        <v>17682969.140000001</v>
      </c>
      <c r="Q308" s="93">
        <f>SUM(E308:P308)</f>
        <v>178864901.81999999</v>
      </c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  <c r="AN308" s="68"/>
      <c r="AO308" s="68"/>
      <c r="AP308" s="68"/>
      <c r="AQ308" s="68"/>
      <c r="AR308" s="68"/>
      <c r="AS308" s="68"/>
      <c r="AT308" s="68"/>
      <c r="AU308" s="68"/>
      <c r="AV308" s="68"/>
      <c r="AW308" s="68"/>
      <c r="AX308" s="68"/>
      <c r="AY308" s="68"/>
      <c r="AZ308" s="68"/>
      <c r="BA308" s="68"/>
      <c r="BB308" s="68"/>
      <c r="BC308" s="68"/>
      <c r="BD308" s="68"/>
      <c r="BE308" s="68"/>
      <c r="BF308" s="68"/>
      <c r="BG308" s="68"/>
      <c r="BH308" s="68"/>
      <c r="BI308" s="68"/>
      <c r="BJ308" s="68"/>
      <c r="BK308" s="68"/>
      <c r="BL308" s="68"/>
      <c r="BM308" s="68"/>
      <c r="BN308" s="68"/>
      <c r="BO308" s="68"/>
      <c r="BP308" s="68"/>
      <c r="BQ308" s="68"/>
      <c r="BR308" s="68"/>
      <c r="BS308" s="68"/>
      <c r="BT308" s="68"/>
      <c r="BU308" s="68"/>
      <c r="BV308" s="68"/>
      <c r="BW308" s="68"/>
      <c r="BX308" s="68"/>
      <c r="BY308" s="68"/>
      <c r="BZ308" s="68"/>
      <c r="CA308" s="68"/>
      <c r="CB308" s="68"/>
      <c r="CC308" s="68"/>
      <c r="CD308" s="68"/>
      <c r="CE308" s="68"/>
      <c r="CF308" s="68"/>
      <c r="CG308" s="68"/>
      <c r="CH308" s="68"/>
      <c r="CI308" s="68"/>
      <c r="CJ308" s="68"/>
      <c r="CK308" s="68"/>
      <c r="CL308" s="68"/>
      <c r="CM308" s="68"/>
      <c r="CN308" s="68"/>
      <c r="CO308" s="68"/>
      <c r="CP308" s="68"/>
      <c r="CQ308" s="68"/>
      <c r="CR308" s="68"/>
      <c r="CS308" s="68"/>
      <c r="CT308" s="68"/>
      <c r="CU308" s="68"/>
      <c r="CV308" s="68"/>
      <c r="CW308" s="68"/>
      <c r="CX308" s="68"/>
      <c r="CY308" s="68"/>
      <c r="CZ308" s="68"/>
      <c r="DA308" s="68"/>
      <c r="DB308" s="68"/>
      <c r="DC308" s="68"/>
      <c r="DD308" s="68"/>
      <c r="DE308" s="68"/>
      <c r="DF308" s="68"/>
      <c r="DG308" s="68"/>
      <c r="DH308" s="68"/>
      <c r="DI308" s="68"/>
      <c r="DJ308" s="68"/>
      <c r="DK308" s="68"/>
      <c r="DL308" s="68"/>
      <c r="DM308" s="68"/>
      <c r="DN308" s="68"/>
      <c r="DO308" s="68"/>
      <c r="DP308" s="68"/>
      <c r="DQ308" s="68"/>
      <c r="DR308" s="68"/>
      <c r="DS308" s="68"/>
      <c r="DT308" s="68"/>
      <c r="DU308" s="68"/>
      <c r="DV308" s="68"/>
      <c r="DW308" s="68"/>
      <c r="DX308" s="68"/>
      <c r="DY308" s="68"/>
      <c r="DZ308" s="68"/>
      <c r="EA308" s="68"/>
      <c r="EB308" s="68"/>
      <c r="EC308" s="68"/>
      <c r="ED308" s="68"/>
      <c r="EE308" s="68"/>
      <c r="EF308" s="68"/>
      <c r="EG308" s="68"/>
      <c r="EH308" s="68"/>
      <c r="EI308" s="68"/>
      <c r="EJ308" s="68"/>
      <c r="EK308" s="68"/>
      <c r="EL308" s="68"/>
      <c r="EM308" s="68"/>
      <c r="EN308" s="68"/>
      <c r="EO308" s="68"/>
      <c r="EP308" s="68"/>
    </row>
    <row r="309" spans="1:146" s="78" customFormat="1" ht="11.25">
      <c r="A309" s="87" t="str">
        <f t="shared" si="53"/>
        <v>All RidersSECONDARY &gt; 10 kW 4CP</v>
      </c>
      <c r="B309" s="83">
        <v>4</v>
      </c>
      <c r="C309" s="87" t="s">
        <v>85</v>
      </c>
      <c r="D309" s="74" t="s">
        <v>4</v>
      </c>
      <c r="E309" s="149">
        <f t="shared" ref="E309:P309" si="56">E280+E251+E222+E193+E164+E135+E106+E77+E48+E19</f>
        <v>1917027.51</v>
      </c>
      <c r="F309" s="149">
        <f t="shared" si="56"/>
        <v>1908273.1000000003</v>
      </c>
      <c r="G309" s="149">
        <f t="shared" si="56"/>
        <v>1882540.27</v>
      </c>
      <c r="H309" s="149">
        <f t="shared" si="56"/>
        <v>1807282.24</v>
      </c>
      <c r="I309" s="149">
        <f t="shared" si="56"/>
        <v>1790698.9400000002</v>
      </c>
      <c r="J309" s="149">
        <f t="shared" si="56"/>
        <v>1665812.7900000003</v>
      </c>
      <c r="K309" s="149">
        <f t="shared" si="56"/>
        <v>1659540.14</v>
      </c>
      <c r="L309" s="149">
        <f t="shared" si="56"/>
        <v>1677350.7300000004</v>
      </c>
      <c r="M309" s="149">
        <f t="shared" si="56"/>
        <v>1713471.7699999998</v>
      </c>
      <c r="N309" s="149">
        <f t="shared" si="56"/>
        <v>1784550.0299999998</v>
      </c>
      <c r="O309" s="149">
        <f t="shared" si="56"/>
        <v>1814413.53</v>
      </c>
      <c r="P309" s="149">
        <f t="shared" si="56"/>
        <v>2097781.92</v>
      </c>
      <c r="Q309" s="72">
        <f>SUM(E309:P309)</f>
        <v>21718742.970000006</v>
      </c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  <c r="AO309" s="68"/>
      <c r="AP309" s="68"/>
      <c r="AQ309" s="68"/>
      <c r="AR309" s="68"/>
      <c r="AS309" s="68"/>
      <c r="AT309" s="68"/>
      <c r="AU309" s="68"/>
      <c r="AV309" s="68"/>
      <c r="AW309" s="68"/>
      <c r="AX309" s="68"/>
      <c r="AY309" s="68"/>
      <c r="AZ309" s="68"/>
      <c r="BA309" s="68"/>
      <c r="BB309" s="68"/>
      <c r="BC309" s="68"/>
      <c r="BD309" s="68"/>
      <c r="BE309" s="68"/>
      <c r="BF309" s="68"/>
      <c r="BG309" s="68"/>
      <c r="BH309" s="68"/>
      <c r="BI309" s="68"/>
      <c r="BJ309" s="68"/>
      <c r="BK309" s="68"/>
      <c r="BL309" s="68"/>
      <c r="BM309" s="68"/>
      <c r="BN309" s="68"/>
      <c r="BO309" s="68"/>
      <c r="BP309" s="68"/>
      <c r="BQ309" s="68"/>
      <c r="BR309" s="68"/>
      <c r="BS309" s="68"/>
      <c r="BT309" s="68"/>
      <c r="BU309" s="68"/>
      <c r="BV309" s="68"/>
      <c r="BW309" s="68"/>
      <c r="BX309" s="68"/>
      <c r="BY309" s="68"/>
      <c r="BZ309" s="68"/>
      <c r="CA309" s="68"/>
      <c r="CB309" s="68"/>
      <c r="CC309" s="68"/>
      <c r="CD309" s="68"/>
      <c r="CE309" s="68"/>
      <c r="CF309" s="68"/>
      <c r="CG309" s="68"/>
      <c r="CH309" s="68"/>
      <c r="CI309" s="68"/>
      <c r="CJ309" s="68"/>
      <c r="CK309" s="68"/>
      <c r="CL309" s="68"/>
      <c r="CM309" s="68"/>
      <c r="CN309" s="68"/>
      <c r="CO309" s="68"/>
      <c r="CP309" s="68"/>
      <c r="CQ309" s="68"/>
      <c r="CR309" s="68"/>
      <c r="CS309" s="68"/>
      <c r="CT309" s="68"/>
      <c r="CU309" s="68"/>
      <c r="CV309" s="68"/>
      <c r="CW309" s="68"/>
      <c r="CX309" s="68"/>
      <c r="CY309" s="68"/>
      <c r="CZ309" s="68"/>
      <c r="DA309" s="68"/>
      <c r="DB309" s="68"/>
      <c r="DC309" s="68"/>
      <c r="DD309" s="68"/>
      <c r="DE309" s="68"/>
      <c r="DF309" s="68"/>
      <c r="DG309" s="68"/>
      <c r="DH309" s="68"/>
      <c r="DI309" s="68"/>
      <c r="DJ309" s="68"/>
      <c r="DK309" s="68"/>
      <c r="DL309" s="68"/>
      <c r="DM309" s="68"/>
      <c r="DN309" s="68"/>
      <c r="DO309" s="68"/>
      <c r="DP309" s="68"/>
      <c r="DQ309" s="68"/>
      <c r="DR309" s="68"/>
      <c r="DS309" s="68"/>
      <c r="DT309" s="68"/>
      <c r="DU309" s="68"/>
      <c r="DV309" s="68"/>
      <c r="DW309" s="68"/>
      <c r="DX309" s="68"/>
      <c r="DY309" s="68"/>
      <c r="DZ309" s="68"/>
      <c r="EA309" s="68"/>
      <c r="EB309" s="68"/>
      <c r="EC309" s="68"/>
      <c r="ED309" s="68"/>
      <c r="EE309" s="68"/>
      <c r="EF309" s="68"/>
      <c r="EG309" s="68"/>
      <c r="EH309" s="68"/>
      <c r="EI309" s="68"/>
      <c r="EJ309" s="68"/>
      <c r="EK309" s="68"/>
      <c r="EL309" s="68"/>
      <c r="EM309" s="68"/>
      <c r="EN309" s="68"/>
      <c r="EO309" s="68"/>
      <c r="EP309" s="68"/>
    </row>
    <row r="310" spans="1:146" s="78" customFormat="1" ht="11.25">
      <c r="A310" s="87" t="str">
        <f t="shared" si="53"/>
        <v>All RidersTOTAL SECONDARY &gt; 10 kW</v>
      </c>
      <c r="B310" s="83">
        <v>5</v>
      </c>
      <c r="C310" s="96" t="s">
        <v>18</v>
      </c>
      <c r="D310" s="85"/>
      <c r="E310" s="231">
        <f>SUM(E308:E309)</f>
        <v>17225362.109999999</v>
      </c>
      <c r="F310" s="231">
        <f t="shared" ref="F310:P310" si="57">SUM(F308:F309)</f>
        <v>16672692.84</v>
      </c>
      <c r="G310" s="231">
        <f t="shared" si="57"/>
        <v>17122109.990000002</v>
      </c>
      <c r="H310" s="231">
        <f t="shared" si="57"/>
        <v>17264151.59</v>
      </c>
      <c r="I310" s="231">
        <f t="shared" si="57"/>
        <v>17130510.350000001</v>
      </c>
      <c r="J310" s="231">
        <f t="shared" si="57"/>
        <v>15381418.329999998</v>
      </c>
      <c r="K310" s="231">
        <f t="shared" si="57"/>
        <v>15112821.970000001</v>
      </c>
      <c r="L310" s="231">
        <f t="shared" si="57"/>
        <v>15043588.240000002</v>
      </c>
      <c r="M310" s="231">
        <f t="shared" si="57"/>
        <v>15867094.229999999</v>
      </c>
      <c r="N310" s="231">
        <f t="shared" si="57"/>
        <v>16878481.790000003</v>
      </c>
      <c r="O310" s="231">
        <f t="shared" si="57"/>
        <v>17104662.289999999</v>
      </c>
      <c r="P310" s="231">
        <f t="shared" si="57"/>
        <v>19780751.060000002</v>
      </c>
      <c r="Q310" s="94">
        <f>SUM(Q308:Q309)</f>
        <v>200583644.78999999</v>
      </c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  <c r="AO310" s="68"/>
      <c r="AP310" s="68"/>
      <c r="AQ310" s="68"/>
      <c r="AR310" s="68"/>
      <c r="AS310" s="68"/>
      <c r="AT310" s="68"/>
      <c r="AU310" s="68"/>
      <c r="AV310" s="68"/>
      <c r="AW310" s="68"/>
      <c r="AX310" s="68"/>
      <c r="AY310" s="68"/>
      <c r="AZ310" s="68"/>
      <c r="BA310" s="68"/>
      <c r="BB310" s="68"/>
      <c r="BC310" s="68"/>
      <c r="BD310" s="68"/>
      <c r="BE310" s="68"/>
      <c r="BF310" s="68"/>
      <c r="BG310" s="68"/>
      <c r="BH310" s="68"/>
      <c r="BI310" s="68"/>
      <c r="BJ310" s="68"/>
      <c r="BK310" s="68"/>
      <c r="BL310" s="68"/>
      <c r="BM310" s="68"/>
      <c r="BN310" s="68"/>
      <c r="BO310" s="68"/>
      <c r="BP310" s="68"/>
      <c r="BQ310" s="68"/>
      <c r="BR310" s="68"/>
      <c r="BS310" s="68"/>
      <c r="BT310" s="68"/>
      <c r="BU310" s="68"/>
      <c r="BV310" s="68"/>
      <c r="BW310" s="68"/>
      <c r="BX310" s="68"/>
      <c r="BY310" s="68"/>
      <c r="BZ310" s="68"/>
      <c r="CA310" s="68"/>
      <c r="CB310" s="68"/>
      <c r="CC310" s="68"/>
      <c r="CD310" s="68"/>
      <c r="CE310" s="68"/>
      <c r="CF310" s="68"/>
      <c r="CG310" s="68"/>
      <c r="CH310" s="68"/>
      <c r="CI310" s="68"/>
      <c r="CJ310" s="68"/>
      <c r="CK310" s="68"/>
      <c r="CL310" s="68"/>
      <c r="CM310" s="68"/>
      <c r="CN310" s="68"/>
      <c r="CO310" s="68"/>
      <c r="CP310" s="68"/>
      <c r="CQ310" s="68"/>
      <c r="CR310" s="68"/>
      <c r="CS310" s="68"/>
      <c r="CT310" s="68"/>
      <c r="CU310" s="68"/>
      <c r="CV310" s="68"/>
      <c r="CW310" s="68"/>
      <c r="CX310" s="68"/>
      <c r="CY310" s="68"/>
      <c r="CZ310" s="68"/>
      <c r="DA310" s="68"/>
      <c r="DB310" s="68"/>
      <c r="DC310" s="68"/>
      <c r="DD310" s="68"/>
      <c r="DE310" s="68"/>
      <c r="DF310" s="68"/>
      <c r="DG310" s="68"/>
      <c r="DH310" s="68"/>
      <c r="DI310" s="68"/>
      <c r="DJ310" s="68"/>
      <c r="DK310" s="68"/>
      <c r="DL310" s="68"/>
      <c r="DM310" s="68"/>
      <c r="DN310" s="68"/>
      <c r="DO310" s="68"/>
      <c r="DP310" s="68"/>
      <c r="DQ310" s="68"/>
      <c r="DR310" s="68"/>
      <c r="DS310" s="68"/>
      <c r="DT310" s="68"/>
      <c r="DU310" s="68"/>
      <c r="DV310" s="68"/>
      <c r="DW310" s="68"/>
      <c r="DX310" s="68"/>
      <c r="DY310" s="68"/>
      <c r="DZ310" s="68"/>
      <c r="EA310" s="68"/>
      <c r="EB310" s="68"/>
      <c r="EC310" s="68"/>
      <c r="ED310" s="68"/>
      <c r="EE310" s="68"/>
      <c r="EF310" s="68"/>
      <c r="EG310" s="68"/>
      <c r="EH310" s="68"/>
      <c r="EI310" s="68"/>
      <c r="EJ310" s="68"/>
      <c r="EK310" s="68"/>
      <c r="EL310" s="68"/>
      <c r="EM310" s="68"/>
      <c r="EN310" s="68"/>
      <c r="EO310" s="68"/>
      <c r="EP310" s="68"/>
    </row>
    <row r="311" spans="1:146" s="78" customFormat="1" ht="11.25">
      <c r="A311" s="87" t="str">
        <f t="shared" si="53"/>
        <v>All Riders</v>
      </c>
      <c r="C311" s="146"/>
      <c r="D311" s="85"/>
      <c r="E311" s="231"/>
      <c r="F311" s="231"/>
      <c r="G311" s="231"/>
      <c r="H311" s="231"/>
      <c r="I311" s="231"/>
      <c r="J311" s="231"/>
      <c r="K311" s="231"/>
      <c r="L311" s="231"/>
      <c r="M311" s="231"/>
      <c r="N311" s="231"/>
      <c r="O311" s="231"/>
      <c r="P311" s="90"/>
      <c r="Q311" s="71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  <c r="AN311" s="68"/>
      <c r="AO311" s="68"/>
      <c r="AP311" s="68"/>
      <c r="AQ311" s="68"/>
      <c r="AR311" s="68"/>
      <c r="AS311" s="68"/>
      <c r="AT311" s="68"/>
      <c r="AU311" s="68"/>
      <c r="AV311" s="68"/>
      <c r="AW311" s="68"/>
      <c r="AX311" s="68"/>
      <c r="AY311" s="68"/>
      <c r="AZ311" s="68"/>
      <c r="BA311" s="68"/>
      <c r="BB311" s="68"/>
      <c r="BC311" s="68"/>
      <c r="BD311" s="68"/>
      <c r="BE311" s="68"/>
      <c r="BF311" s="68"/>
      <c r="BG311" s="68"/>
      <c r="BH311" s="68"/>
      <c r="BI311" s="68"/>
      <c r="BJ311" s="68"/>
      <c r="BK311" s="68"/>
      <c r="BL311" s="68"/>
      <c r="BM311" s="68"/>
      <c r="BN311" s="68"/>
      <c r="BO311" s="68"/>
      <c r="BP311" s="68"/>
      <c r="BQ311" s="68"/>
      <c r="BR311" s="68"/>
      <c r="BS311" s="68"/>
      <c r="BT311" s="68"/>
      <c r="BU311" s="68"/>
      <c r="BV311" s="68"/>
      <c r="BW311" s="68"/>
      <c r="BX311" s="68"/>
      <c r="BY311" s="68"/>
      <c r="BZ311" s="68"/>
      <c r="CA311" s="68"/>
      <c r="CB311" s="68"/>
      <c r="CC311" s="68"/>
      <c r="CD311" s="68"/>
      <c r="CE311" s="68"/>
      <c r="CF311" s="68"/>
      <c r="CG311" s="68"/>
      <c r="CH311" s="68"/>
      <c r="CI311" s="68"/>
      <c r="CJ311" s="68"/>
      <c r="CK311" s="68"/>
      <c r="CL311" s="68"/>
      <c r="CM311" s="68"/>
      <c r="CN311" s="68"/>
      <c r="CO311" s="68"/>
      <c r="CP311" s="68"/>
      <c r="CQ311" s="68"/>
      <c r="CR311" s="68"/>
      <c r="CS311" s="68"/>
      <c r="CT311" s="68"/>
      <c r="CU311" s="68"/>
      <c r="CV311" s="68"/>
      <c r="CW311" s="68"/>
      <c r="CX311" s="68"/>
      <c r="CY311" s="68"/>
      <c r="CZ311" s="68"/>
      <c r="DA311" s="68"/>
      <c r="DB311" s="68"/>
      <c r="DC311" s="68"/>
      <c r="DD311" s="68"/>
      <c r="DE311" s="68"/>
      <c r="DF311" s="68"/>
      <c r="DG311" s="68"/>
      <c r="DH311" s="68"/>
      <c r="DI311" s="68"/>
      <c r="DJ311" s="68"/>
      <c r="DK311" s="68"/>
      <c r="DL311" s="68"/>
      <c r="DM311" s="68"/>
      <c r="DN311" s="68"/>
      <c r="DO311" s="68"/>
      <c r="DP311" s="68"/>
      <c r="DQ311" s="68"/>
      <c r="DR311" s="68"/>
      <c r="DS311" s="68"/>
      <c r="DT311" s="68"/>
      <c r="DU311" s="68"/>
      <c r="DV311" s="68"/>
      <c r="DW311" s="68"/>
      <c r="DX311" s="68"/>
      <c r="DY311" s="68"/>
      <c r="DZ311" s="68"/>
      <c r="EA311" s="68"/>
      <c r="EB311" s="68"/>
      <c r="EC311" s="68"/>
      <c r="ED311" s="68"/>
      <c r="EE311" s="68"/>
      <c r="EF311" s="68"/>
      <c r="EG311" s="68"/>
      <c r="EH311" s="68"/>
      <c r="EI311" s="68"/>
      <c r="EJ311" s="68"/>
      <c r="EK311" s="68"/>
      <c r="EL311" s="68"/>
      <c r="EM311" s="68"/>
      <c r="EN311" s="68"/>
      <c r="EO311" s="68"/>
      <c r="EP311" s="68"/>
    </row>
    <row r="312" spans="1:146" s="78" customFormat="1" ht="11.25">
      <c r="A312" s="87" t="str">
        <f t="shared" si="53"/>
        <v>All RidersPRIMARY NCP</v>
      </c>
      <c r="B312" s="83">
        <v>6</v>
      </c>
      <c r="C312" s="87" t="s">
        <v>82</v>
      </c>
      <c r="D312" s="74" t="s">
        <v>5</v>
      </c>
      <c r="E312" s="124">
        <f t="shared" ref="E312:P312" si="58">E283+E254+E225+E196+E167+E138+E109+E80+E51+E22</f>
        <v>319379.40000000002</v>
      </c>
      <c r="F312" s="124">
        <f t="shared" si="58"/>
        <v>328824.25</v>
      </c>
      <c r="G312" s="124">
        <f t="shared" si="58"/>
        <v>332810.46000000002</v>
      </c>
      <c r="H312" s="124">
        <f t="shared" si="58"/>
        <v>318590.00999999995</v>
      </c>
      <c r="I312" s="124">
        <f t="shared" si="58"/>
        <v>327104.31000000006</v>
      </c>
      <c r="J312" s="124">
        <f t="shared" si="58"/>
        <v>285150.64999999997</v>
      </c>
      <c r="K312" s="124">
        <f t="shared" si="58"/>
        <v>298822.44</v>
      </c>
      <c r="L312" s="124">
        <f t="shared" si="58"/>
        <v>296921.37000000005</v>
      </c>
      <c r="M312" s="124">
        <f t="shared" si="58"/>
        <v>277670.93</v>
      </c>
      <c r="N312" s="124">
        <f t="shared" si="58"/>
        <v>312793.08999999991</v>
      </c>
      <c r="O312" s="124">
        <f t="shared" si="58"/>
        <v>290724.16000000003</v>
      </c>
      <c r="P312" s="124">
        <f t="shared" si="58"/>
        <v>338219.55999999994</v>
      </c>
      <c r="Q312" s="93">
        <f>SUM(E312:P312)</f>
        <v>3727010.6300000004</v>
      </c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  <c r="AO312" s="68"/>
      <c r="AP312" s="68"/>
      <c r="AQ312" s="68"/>
      <c r="AR312" s="68"/>
      <c r="AS312" s="68"/>
      <c r="AT312" s="68"/>
      <c r="AU312" s="68"/>
      <c r="AV312" s="68"/>
      <c r="AW312" s="68"/>
      <c r="AX312" s="68"/>
      <c r="AY312" s="68"/>
      <c r="AZ312" s="68"/>
      <c r="BA312" s="68"/>
      <c r="BB312" s="68"/>
      <c r="BC312" s="68"/>
      <c r="BD312" s="68"/>
      <c r="BE312" s="68"/>
      <c r="BF312" s="68"/>
      <c r="BG312" s="68"/>
      <c r="BH312" s="68"/>
      <c r="BI312" s="68"/>
      <c r="BJ312" s="68"/>
      <c r="BK312" s="68"/>
      <c r="BL312" s="68"/>
      <c r="BM312" s="68"/>
      <c r="BN312" s="68"/>
      <c r="BO312" s="68"/>
      <c r="BP312" s="68"/>
      <c r="BQ312" s="68"/>
      <c r="BR312" s="68"/>
      <c r="BS312" s="68"/>
      <c r="BT312" s="68"/>
      <c r="BU312" s="68"/>
      <c r="BV312" s="68"/>
      <c r="BW312" s="68"/>
      <c r="BX312" s="68"/>
      <c r="BY312" s="68"/>
      <c r="BZ312" s="68"/>
      <c r="CA312" s="68"/>
      <c r="CB312" s="68"/>
      <c r="CC312" s="68"/>
      <c r="CD312" s="68"/>
      <c r="CE312" s="68"/>
      <c r="CF312" s="68"/>
      <c r="CG312" s="68"/>
      <c r="CH312" s="68"/>
      <c r="CI312" s="68"/>
      <c r="CJ312" s="68"/>
      <c r="CK312" s="68"/>
      <c r="CL312" s="68"/>
      <c r="CM312" s="68"/>
      <c r="CN312" s="68"/>
      <c r="CO312" s="68"/>
      <c r="CP312" s="68"/>
      <c r="CQ312" s="68"/>
      <c r="CR312" s="68"/>
      <c r="CS312" s="68"/>
      <c r="CT312" s="68"/>
      <c r="CU312" s="68"/>
      <c r="CV312" s="68"/>
      <c r="CW312" s="68"/>
      <c r="CX312" s="68"/>
      <c r="CY312" s="68"/>
      <c r="CZ312" s="68"/>
      <c r="DA312" s="68"/>
      <c r="DB312" s="68"/>
      <c r="DC312" s="68"/>
      <c r="DD312" s="68"/>
      <c r="DE312" s="68"/>
      <c r="DF312" s="68"/>
      <c r="DG312" s="68"/>
      <c r="DH312" s="68"/>
      <c r="DI312" s="68"/>
      <c r="DJ312" s="68"/>
      <c r="DK312" s="68"/>
      <c r="DL312" s="68"/>
      <c r="DM312" s="68"/>
      <c r="DN312" s="68"/>
      <c r="DO312" s="68"/>
      <c r="DP312" s="68"/>
      <c r="DQ312" s="68"/>
      <c r="DR312" s="68"/>
      <c r="DS312" s="68"/>
      <c r="DT312" s="68"/>
      <c r="DU312" s="68"/>
      <c r="DV312" s="68"/>
      <c r="DW312" s="68"/>
      <c r="DX312" s="68"/>
      <c r="DY312" s="68"/>
      <c r="DZ312" s="68"/>
      <c r="EA312" s="68"/>
      <c r="EB312" s="68"/>
      <c r="EC312" s="68"/>
      <c r="ED312" s="68"/>
      <c r="EE312" s="68"/>
      <c r="EF312" s="68"/>
      <c r="EG312" s="68"/>
      <c r="EH312" s="68"/>
      <c r="EI312" s="68"/>
      <c r="EJ312" s="68"/>
      <c r="EK312" s="68"/>
      <c r="EL312" s="68"/>
      <c r="EM312" s="68"/>
      <c r="EN312" s="68"/>
      <c r="EO312" s="68"/>
      <c r="EP312" s="68"/>
    </row>
    <row r="313" spans="1:146" s="78" customFormat="1" ht="11.25">
      <c r="A313" s="87" t="str">
        <f t="shared" si="53"/>
        <v>All RidersPRIMARY 4CP</v>
      </c>
      <c r="B313" s="83">
        <v>7</v>
      </c>
      <c r="C313" s="87" t="s">
        <v>83</v>
      </c>
      <c r="D313" s="74" t="s">
        <v>5</v>
      </c>
      <c r="E313" s="124">
        <f t="shared" ref="E313:P313" si="59">E284+E255+E226+E197+E168+E139+E110+E81+E52+E23</f>
        <v>3820757.26</v>
      </c>
      <c r="F313" s="124">
        <f t="shared" si="59"/>
        <v>3870628.3299999996</v>
      </c>
      <c r="G313" s="124">
        <f t="shared" si="59"/>
        <v>3817849.14</v>
      </c>
      <c r="H313" s="124">
        <f t="shared" si="59"/>
        <v>3967829.4999999995</v>
      </c>
      <c r="I313" s="124">
        <f t="shared" si="59"/>
        <v>3944070.32</v>
      </c>
      <c r="J313" s="124">
        <f t="shared" si="59"/>
        <v>3755740.0599999996</v>
      </c>
      <c r="K313" s="124">
        <f t="shared" si="59"/>
        <v>3647780.7699999996</v>
      </c>
      <c r="L313" s="124">
        <f t="shared" si="59"/>
        <v>3887952.8500000006</v>
      </c>
      <c r="M313" s="124">
        <f t="shared" si="59"/>
        <v>3784779.1</v>
      </c>
      <c r="N313" s="124">
        <f t="shared" si="59"/>
        <v>3825530.5299999993</v>
      </c>
      <c r="O313" s="124">
        <f t="shared" si="59"/>
        <v>3844493.53</v>
      </c>
      <c r="P313" s="124">
        <f t="shared" si="59"/>
        <v>3820400.7799999993</v>
      </c>
      <c r="Q313" s="103">
        <f>SUM(E313:P313)</f>
        <v>45987812.170000002</v>
      </c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  <c r="AO313" s="68"/>
      <c r="AP313" s="68"/>
      <c r="AQ313" s="68"/>
      <c r="AR313" s="68"/>
      <c r="AS313" s="68"/>
      <c r="AT313" s="68"/>
      <c r="AU313" s="68"/>
      <c r="AV313" s="68"/>
      <c r="AW313" s="68"/>
      <c r="AX313" s="68"/>
      <c r="AY313" s="68"/>
      <c r="AZ313" s="68"/>
      <c r="BA313" s="68"/>
      <c r="BB313" s="68"/>
      <c r="BC313" s="68"/>
      <c r="BD313" s="68"/>
      <c r="BE313" s="68"/>
      <c r="BF313" s="68"/>
      <c r="BG313" s="68"/>
      <c r="BH313" s="68"/>
      <c r="BI313" s="68"/>
      <c r="BJ313" s="68"/>
      <c r="BK313" s="68"/>
      <c r="BL313" s="68"/>
      <c r="BM313" s="68"/>
      <c r="BN313" s="68"/>
      <c r="BO313" s="68"/>
      <c r="BP313" s="68"/>
      <c r="BQ313" s="68"/>
      <c r="BR313" s="68"/>
      <c r="BS313" s="68"/>
      <c r="BT313" s="68"/>
      <c r="BU313" s="68"/>
      <c r="BV313" s="68"/>
      <c r="BW313" s="68"/>
      <c r="BX313" s="68"/>
      <c r="BY313" s="68"/>
      <c r="BZ313" s="68"/>
      <c r="CA313" s="68"/>
      <c r="CB313" s="68"/>
      <c r="CC313" s="68"/>
      <c r="CD313" s="68"/>
      <c r="CE313" s="68"/>
      <c r="CF313" s="68"/>
      <c r="CG313" s="68"/>
      <c r="CH313" s="68"/>
      <c r="CI313" s="68"/>
      <c r="CJ313" s="68"/>
      <c r="CK313" s="68"/>
      <c r="CL313" s="68"/>
      <c r="CM313" s="68"/>
      <c r="CN313" s="68"/>
      <c r="CO313" s="68"/>
      <c r="CP313" s="68"/>
      <c r="CQ313" s="68"/>
      <c r="CR313" s="68"/>
      <c r="CS313" s="68"/>
      <c r="CT313" s="68"/>
      <c r="CU313" s="68"/>
      <c r="CV313" s="68"/>
      <c r="CW313" s="68"/>
      <c r="CX313" s="68"/>
      <c r="CY313" s="68"/>
      <c r="CZ313" s="68"/>
      <c r="DA313" s="68"/>
      <c r="DB313" s="68"/>
      <c r="DC313" s="68"/>
      <c r="DD313" s="68"/>
      <c r="DE313" s="68"/>
      <c r="DF313" s="68"/>
      <c r="DG313" s="68"/>
      <c r="DH313" s="68"/>
      <c r="DI313" s="68"/>
      <c r="DJ313" s="68"/>
      <c r="DK313" s="68"/>
      <c r="DL313" s="68"/>
      <c r="DM313" s="68"/>
      <c r="DN313" s="68"/>
      <c r="DO313" s="68"/>
      <c r="DP313" s="68"/>
      <c r="DQ313" s="68"/>
      <c r="DR313" s="68"/>
      <c r="DS313" s="68"/>
      <c r="DT313" s="68"/>
      <c r="DU313" s="68"/>
      <c r="DV313" s="68"/>
      <c r="DW313" s="68"/>
      <c r="DX313" s="68"/>
      <c r="DY313" s="68"/>
      <c r="DZ313" s="68"/>
      <c r="EA313" s="68"/>
      <c r="EB313" s="68"/>
      <c r="EC313" s="68"/>
      <c r="ED313" s="68"/>
      <c r="EE313" s="68"/>
      <c r="EF313" s="68"/>
      <c r="EG313" s="68"/>
      <c r="EH313" s="68"/>
      <c r="EI313" s="68"/>
      <c r="EJ313" s="68"/>
      <c r="EK313" s="68"/>
      <c r="EL313" s="68"/>
      <c r="EM313" s="68"/>
      <c r="EN313" s="68"/>
      <c r="EO313" s="68"/>
      <c r="EP313" s="68"/>
    </row>
    <row r="314" spans="1:146" s="78" customFormat="1" ht="11.25">
      <c r="A314" s="87" t="str">
        <f t="shared" si="53"/>
        <v>All RidersPRIMARY SUB NCP</v>
      </c>
      <c r="B314" s="83">
        <v>8</v>
      </c>
      <c r="C314" s="87" t="s">
        <v>148</v>
      </c>
      <c r="D314" s="74" t="s">
        <v>5</v>
      </c>
      <c r="E314" s="124">
        <f t="shared" ref="E314:P314" si="60">E285+E256+E227+E198+E169+E140+E111+E82+E53+E24</f>
        <v>8516.5300000000007</v>
      </c>
      <c r="F314" s="124">
        <f t="shared" si="60"/>
        <v>7125.07</v>
      </c>
      <c r="G314" s="124">
        <f t="shared" si="60"/>
        <v>6678.11</v>
      </c>
      <c r="H314" s="124">
        <f t="shared" si="60"/>
        <v>6518.5</v>
      </c>
      <c r="I314" s="124">
        <f t="shared" si="60"/>
        <v>6580.9699999999993</v>
      </c>
      <c r="J314" s="124">
        <f t="shared" si="60"/>
        <v>5624.6100000000006</v>
      </c>
      <c r="K314" s="124">
        <f t="shared" si="60"/>
        <v>5893.2499999999991</v>
      </c>
      <c r="L314" s="124">
        <f t="shared" si="60"/>
        <v>6551.6800000000012</v>
      </c>
      <c r="M314" s="124">
        <f t="shared" si="60"/>
        <v>6458.7100000000009</v>
      </c>
      <c r="N314" s="124">
        <f t="shared" si="60"/>
        <v>6470.3799999999992</v>
      </c>
      <c r="O314" s="124">
        <f t="shared" si="60"/>
        <v>6393.08</v>
      </c>
      <c r="P314" s="124">
        <f t="shared" si="60"/>
        <v>7519.08</v>
      </c>
      <c r="Q314" s="103">
        <f t="shared" ref="Q314:Q315" si="61">SUM(E314:P314)</f>
        <v>80329.97</v>
      </c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  <c r="AO314" s="68"/>
      <c r="AP314" s="68"/>
      <c r="AQ314" s="68"/>
      <c r="AR314" s="68"/>
      <c r="AS314" s="68"/>
      <c r="AT314" s="68"/>
      <c r="AU314" s="68"/>
      <c r="AV314" s="68"/>
      <c r="AW314" s="68"/>
      <c r="AX314" s="68"/>
      <c r="AY314" s="68"/>
      <c r="AZ314" s="68"/>
      <c r="BA314" s="68"/>
      <c r="BB314" s="68"/>
      <c r="BC314" s="68"/>
      <c r="BD314" s="68"/>
      <c r="BE314" s="68"/>
      <c r="BF314" s="68"/>
      <c r="BG314" s="68"/>
      <c r="BH314" s="68"/>
      <c r="BI314" s="68"/>
      <c r="BJ314" s="68"/>
      <c r="BK314" s="68"/>
      <c r="BL314" s="68"/>
      <c r="BM314" s="68"/>
      <c r="BN314" s="68"/>
      <c r="BO314" s="68"/>
      <c r="BP314" s="68"/>
      <c r="BQ314" s="68"/>
      <c r="BR314" s="68"/>
      <c r="BS314" s="68"/>
      <c r="BT314" s="68"/>
      <c r="BU314" s="68"/>
      <c r="BV314" s="68"/>
      <c r="BW314" s="68"/>
      <c r="BX314" s="68"/>
      <c r="BY314" s="68"/>
      <c r="BZ314" s="68"/>
      <c r="CA314" s="68"/>
      <c r="CB314" s="68"/>
      <c r="CC314" s="68"/>
      <c r="CD314" s="68"/>
      <c r="CE314" s="68"/>
      <c r="CF314" s="68"/>
      <c r="CG314" s="68"/>
      <c r="CH314" s="68"/>
      <c r="CI314" s="68"/>
      <c r="CJ314" s="68"/>
      <c r="CK314" s="68"/>
      <c r="CL314" s="68"/>
      <c r="CM314" s="68"/>
      <c r="CN314" s="68"/>
      <c r="CO314" s="68"/>
      <c r="CP314" s="68"/>
      <c r="CQ314" s="68"/>
      <c r="CR314" s="68"/>
      <c r="CS314" s="68"/>
      <c r="CT314" s="68"/>
      <c r="CU314" s="68"/>
      <c r="CV314" s="68"/>
      <c r="CW314" s="68"/>
      <c r="CX314" s="68"/>
      <c r="CY314" s="68"/>
      <c r="CZ314" s="68"/>
      <c r="DA314" s="68"/>
      <c r="DB314" s="68"/>
      <c r="DC314" s="68"/>
      <c r="DD314" s="68"/>
      <c r="DE314" s="68"/>
      <c r="DF314" s="68"/>
      <c r="DG314" s="68"/>
      <c r="DH314" s="68"/>
      <c r="DI314" s="68"/>
      <c r="DJ314" s="68"/>
      <c r="DK314" s="68"/>
      <c r="DL314" s="68"/>
      <c r="DM314" s="68"/>
      <c r="DN314" s="68"/>
      <c r="DO314" s="68"/>
      <c r="DP314" s="68"/>
      <c r="DQ314" s="68"/>
      <c r="DR314" s="68"/>
      <c r="DS314" s="68"/>
      <c r="DT314" s="68"/>
      <c r="DU314" s="68"/>
      <c r="DV314" s="68"/>
      <c r="DW314" s="68"/>
      <c r="DX314" s="68"/>
      <c r="DY314" s="68"/>
      <c r="DZ314" s="68"/>
      <c r="EA314" s="68"/>
      <c r="EB314" s="68"/>
      <c r="EC314" s="68"/>
      <c r="ED314" s="68"/>
      <c r="EE314" s="68"/>
      <c r="EF314" s="68"/>
      <c r="EG314" s="68"/>
      <c r="EH314" s="68"/>
      <c r="EI314" s="68"/>
      <c r="EJ314" s="68"/>
      <c r="EK314" s="68"/>
      <c r="EL314" s="68"/>
      <c r="EM314" s="68"/>
      <c r="EN314" s="68"/>
      <c r="EO314" s="68"/>
      <c r="EP314" s="68"/>
    </row>
    <row r="315" spans="1:146" s="78" customFormat="1" ht="11.25">
      <c r="A315" s="87" t="str">
        <f t="shared" si="53"/>
        <v>All RidersPRIMARY SUB 4CP</v>
      </c>
      <c r="B315" s="83">
        <v>9</v>
      </c>
      <c r="C315" s="87" t="s">
        <v>149</v>
      </c>
      <c r="D315" s="74" t="s">
        <v>5</v>
      </c>
      <c r="E315" s="124">
        <f t="shared" ref="E315:P315" si="62">E286+E257+E228+E199+E170+E141+E112+E83+E54+E25</f>
        <v>916655.95</v>
      </c>
      <c r="F315" s="124">
        <f t="shared" si="62"/>
        <v>916068.89000000013</v>
      </c>
      <c r="G315" s="124">
        <f t="shared" si="62"/>
        <v>912877.17000000016</v>
      </c>
      <c r="H315" s="124">
        <f t="shared" si="62"/>
        <v>953189.83999999973</v>
      </c>
      <c r="I315" s="124">
        <f t="shared" si="62"/>
        <v>947409.21999999986</v>
      </c>
      <c r="J315" s="124">
        <f t="shared" si="62"/>
        <v>882399.89000000013</v>
      </c>
      <c r="K315" s="124">
        <f t="shared" si="62"/>
        <v>883841.6799999997</v>
      </c>
      <c r="L315" s="124">
        <f t="shared" si="62"/>
        <v>845981.66999999981</v>
      </c>
      <c r="M315" s="124">
        <f t="shared" si="62"/>
        <v>853469.15000000014</v>
      </c>
      <c r="N315" s="124">
        <f t="shared" si="62"/>
        <v>841343.11</v>
      </c>
      <c r="O315" s="124">
        <f t="shared" si="62"/>
        <v>843172.46000000008</v>
      </c>
      <c r="P315" s="124">
        <f t="shared" si="62"/>
        <v>868999.6399999999</v>
      </c>
      <c r="Q315" s="103">
        <f t="shared" si="61"/>
        <v>10665408.670000002</v>
      </c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  <c r="AO315" s="68"/>
      <c r="AP315" s="68"/>
      <c r="AQ315" s="68"/>
      <c r="AR315" s="68"/>
      <c r="AS315" s="68"/>
      <c r="AT315" s="68"/>
      <c r="AU315" s="68"/>
      <c r="AV315" s="68"/>
      <c r="AW315" s="68"/>
      <c r="AX315" s="68"/>
      <c r="AY315" s="68"/>
      <c r="AZ315" s="68"/>
      <c r="BA315" s="68"/>
      <c r="BB315" s="68"/>
      <c r="BC315" s="68"/>
      <c r="BD315" s="68"/>
      <c r="BE315" s="68"/>
      <c r="BF315" s="68"/>
      <c r="BG315" s="68"/>
      <c r="BH315" s="68"/>
      <c r="BI315" s="68"/>
      <c r="BJ315" s="68"/>
      <c r="BK315" s="68"/>
      <c r="BL315" s="68"/>
      <c r="BM315" s="68"/>
      <c r="BN315" s="68"/>
      <c r="BO315" s="68"/>
      <c r="BP315" s="68"/>
      <c r="BQ315" s="68"/>
      <c r="BR315" s="68"/>
      <c r="BS315" s="68"/>
      <c r="BT315" s="68"/>
      <c r="BU315" s="68"/>
      <c r="BV315" s="68"/>
      <c r="BW315" s="68"/>
      <c r="BX315" s="68"/>
      <c r="BY315" s="68"/>
      <c r="BZ315" s="68"/>
      <c r="CA315" s="68"/>
      <c r="CB315" s="68"/>
      <c r="CC315" s="68"/>
      <c r="CD315" s="68"/>
      <c r="CE315" s="68"/>
      <c r="CF315" s="68"/>
      <c r="CG315" s="68"/>
      <c r="CH315" s="68"/>
      <c r="CI315" s="68"/>
      <c r="CJ315" s="68"/>
      <c r="CK315" s="68"/>
      <c r="CL315" s="68"/>
      <c r="CM315" s="68"/>
      <c r="CN315" s="68"/>
      <c r="CO315" s="68"/>
      <c r="CP315" s="68"/>
      <c r="CQ315" s="68"/>
      <c r="CR315" s="68"/>
      <c r="CS315" s="68"/>
      <c r="CT315" s="68"/>
      <c r="CU315" s="68"/>
      <c r="CV315" s="68"/>
      <c r="CW315" s="68"/>
      <c r="CX315" s="68"/>
      <c r="CY315" s="68"/>
      <c r="CZ315" s="68"/>
      <c r="DA315" s="68"/>
      <c r="DB315" s="68"/>
      <c r="DC315" s="68"/>
      <c r="DD315" s="68"/>
      <c r="DE315" s="68"/>
      <c r="DF315" s="68"/>
      <c r="DG315" s="68"/>
      <c r="DH315" s="68"/>
      <c r="DI315" s="68"/>
      <c r="DJ315" s="68"/>
      <c r="DK315" s="68"/>
      <c r="DL315" s="68"/>
      <c r="DM315" s="68"/>
      <c r="DN315" s="68"/>
      <c r="DO315" s="68"/>
      <c r="DP315" s="68"/>
      <c r="DQ315" s="68"/>
      <c r="DR315" s="68"/>
      <c r="DS315" s="68"/>
      <c r="DT315" s="68"/>
      <c r="DU315" s="68"/>
      <c r="DV315" s="68"/>
      <c r="DW315" s="68"/>
      <c r="DX315" s="68"/>
      <c r="DY315" s="68"/>
      <c r="DZ315" s="68"/>
      <c r="EA315" s="68"/>
      <c r="EB315" s="68"/>
      <c r="EC315" s="68"/>
      <c r="ED315" s="68"/>
      <c r="EE315" s="68"/>
      <c r="EF315" s="68"/>
      <c r="EG315" s="68"/>
      <c r="EH315" s="68"/>
      <c r="EI315" s="68"/>
      <c r="EJ315" s="68"/>
      <c r="EK315" s="68"/>
      <c r="EL315" s="68"/>
      <c r="EM315" s="68"/>
      <c r="EN315" s="68"/>
      <c r="EO315" s="68"/>
      <c r="EP315" s="68"/>
    </row>
    <row r="316" spans="1:146" s="78" customFormat="1" ht="11.25">
      <c r="A316" s="87" t="str">
        <f t="shared" si="53"/>
        <v>All RidersTOTAL PRIMARY</v>
      </c>
      <c r="B316" s="83">
        <v>10</v>
      </c>
      <c r="C316" s="78" t="s">
        <v>19</v>
      </c>
      <c r="D316" s="74"/>
      <c r="E316" s="233">
        <f>SUM(E312:E315)</f>
        <v>5065309.1399999997</v>
      </c>
      <c r="F316" s="233">
        <f t="shared" ref="F316" si="63">SUM(F312:F315)</f>
        <v>5122646.540000001</v>
      </c>
      <c r="G316" s="233">
        <f t="shared" ref="G316" si="64">SUM(G312:G315)</f>
        <v>5070214.88</v>
      </c>
      <c r="H316" s="233">
        <f t="shared" ref="H316" si="65">SUM(H312:H315)</f>
        <v>5246127.8499999996</v>
      </c>
      <c r="I316" s="233">
        <f t="shared" ref="I316" si="66">SUM(I312:I315)</f>
        <v>5225164.8199999994</v>
      </c>
      <c r="J316" s="233">
        <f t="shared" ref="J316" si="67">SUM(J312:J315)</f>
        <v>4928915.209999999</v>
      </c>
      <c r="K316" s="233">
        <f t="shared" ref="K316" si="68">SUM(K312:K315)</f>
        <v>4836338.1399999987</v>
      </c>
      <c r="L316" s="233">
        <f t="shared" ref="L316" si="69">SUM(L312:L315)</f>
        <v>5037407.57</v>
      </c>
      <c r="M316" s="233">
        <f t="shared" ref="M316" si="70">SUM(M312:M315)</f>
        <v>4922377.8900000006</v>
      </c>
      <c r="N316" s="233">
        <f t="shared" ref="N316" si="71">SUM(N312:N315)</f>
        <v>4986137.1099999994</v>
      </c>
      <c r="O316" s="233">
        <f t="shared" ref="O316" si="72">SUM(O312:O315)</f>
        <v>4984783.2300000004</v>
      </c>
      <c r="P316" s="233">
        <f t="shared" ref="P316" si="73">SUM(P312:P315)</f>
        <v>5035139.0599999996</v>
      </c>
      <c r="Q316" s="218">
        <f t="shared" ref="Q316" si="74">SUM(Q312:Q315)</f>
        <v>60460561.440000005</v>
      </c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  <c r="AO316" s="68"/>
      <c r="AP316" s="68"/>
      <c r="AQ316" s="68"/>
      <c r="AR316" s="68"/>
      <c r="AS316" s="68"/>
      <c r="AT316" s="68"/>
      <c r="AU316" s="68"/>
      <c r="AV316" s="68"/>
      <c r="AW316" s="68"/>
      <c r="AX316" s="68"/>
      <c r="AY316" s="68"/>
      <c r="AZ316" s="68"/>
      <c r="BA316" s="68"/>
      <c r="BB316" s="68"/>
      <c r="BC316" s="68"/>
      <c r="BD316" s="68"/>
      <c r="BE316" s="68"/>
      <c r="BF316" s="68"/>
      <c r="BG316" s="68"/>
      <c r="BH316" s="68"/>
      <c r="BI316" s="68"/>
      <c r="BJ316" s="68"/>
      <c r="BK316" s="68"/>
      <c r="BL316" s="68"/>
      <c r="BM316" s="68"/>
      <c r="BN316" s="68"/>
      <c r="BO316" s="68"/>
      <c r="BP316" s="68"/>
      <c r="BQ316" s="68"/>
      <c r="BR316" s="68"/>
      <c r="BS316" s="68"/>
      <c r="BT316" s="68"/>
      <c r="BU316" s="68"/>
      <c r="BV316" s="68"/>
      <c r="BW316" s="68"/>
      <c r="BX316" s="68"/>
      <c r="BY316" s="68"/>
      <c r="BZ316" s="68"/>
      <c r="CA316" s="68"/>
      <c r="CB316" s="68"/>
      <c r="CC316" s="68"/>
      <c r="CD316" s="68"/>
      <c r="CE316" s="68"/>
      <c r="CF316" s="68"/>
      <c r="CG316" s="68"/>
      <c r="CH316" s="68"/>
      <c r="CI316" s="68"/>
      <c r="CJ316" s="68"/>
      <c r="CK316" s="68"/>
      <c r="CL316" s="68"/>
      <c r="CM316" s="68"/>
      <c r="CN316" s="68"/>
      <c r="CO316" s="68"/>
      <c r="CP316" s="68"/>
      <c r="CQ316" s="68"/>
      <c r="CR316" s="68"/>
      <c r="CS316" s="68"/>
      <c r="CT316" s="68"/>
      <c r="CU316" s="68"/>
      <c r="CV316" s="68"/>
      <c r="CW316" s="68"/>
      <c r="CX316" s="68"/>
      <c r="CY316" s="68"/>
      <c r="CZ316" s="68"/>
      <c r="DA316" s="68"/>
      <c r="DB316" s="68"/>
      <c r="DC316" s="68"/>
      <c r="DD316" s="68"/>
      <c r="DE316" s="68"/>
      <c r="DF316" s="68"/>
      <c r="DG316" s="68"/>
      <c r="DH316" s="68"/>
      <c r="DI316" s="68"/>
      <c r="DJ316" s="68"/>
      <c r="DK316" s="68"/>
      <c r="DL316" s="68"/>
      <c r="DM316" s="68"/>
      <c r="DN316" s="68"/>
      <c r="DO316" s="68"/>
      <c r="DP316" s="68"/>
      <c r="DQ316" s="68"/>
      <c r="DR316" s="68"/>
      <c r="DS316" s="68"/>
      <c r="DT316" s="68"/>
      <c r="DU316" s="68"/>
      <c r="DV316" s="68"/>
      <c r="DW316" s="68"/>
      <c r="DX316" s="68"/>
      <c r="DY316" s="68"/>
      <c r="DZ316" s="68"/>
      <c r="EA316" s="68"/>
      <c r="EB316" s="68"/>
      <c r="EC316" s="68"/>
      <c r="ED316" s="68"/>
      <c r="EE316" s="68"/>
      <c r="EF316" s="68"/>
      <c r="EG316" s="68"/>
      <c r="EH316" s="68"/>
      <c r="EI316" s="68"/>
      <c r="EJ316" s="68"/>
      <c r="EK316" s="68"/>
      <c r="EL316" s="68"/>
      <c r="EM316" s="68"/>
      <c r="EN316" s="68"/>
      <c r="EO316" s="68"/>
      <c r="EP316" s="68"/>
    </row>
    <row r="317" spans="1:146" s="78" customFormat="1" ht="11.25">
      <c r="A317" s="87" t="str">
        <f t="shared" si="53"/>
        <v>All Riders</v>
      </c>
      <c r="B317" s="83"/>
      <c r="D317" s="74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3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  <c r="AO317" s="68"/>
      <c r="AP317" s="68"/>
      <c r="AQ317" s="68"/>
      <c r="AR317" s="68"/>
      <c r="AS317" s="68"/>
      <c r="AT317" s="68"/>
      <c r="AU317" s="68"/>
      <c r="AV317" s="68"/>
      <c r="AW317" s="68"/>
      <c r="AX317" s="68"/>
      <c r="AY317" s="68"/>
      <c r="AZ317" s="68"/>
      <c r="BA317" s="68"/>
      <c r="BB317" s="68"/>
      <c r="BC317" s="68"/>
      <c r="BD317" s="68"/>
      <c r="BE317" s="68"/>
      <c r="BF317" s="68"/>
      <c r="BG317" s="68"/>
      <c r="BH317" s="68"/>
      <c r="BI317" s="68"/>
      <c r="BJ317" s="68"/>
      <c r="BK317" s="68"/>
      <c r="BL317" s="68"/>
      <c r="BM317" s="68"/>
      <c r="BN317" s="68"/>
      <c r="BO317" s="68"/>
      <c r="BP317" s="68"/>
      <c r="BQ317" s="68"/>
      <c r="BR317" s="68"/>
      <c r="BS317" s="68"/>
      <c r="BT317" s="68"/>
      <c r="BU317" s="68"/>
      <c r="BV317" s="68"/>
      <c r="BW317" s="68"/>
      <c r="BX317" s="68"/>
      <c r="BY317" s="68"/>
      <c r="BZ317" s="68"/>
      <c r="CA317" s="68"/>
      <c r="CB317" s="68"/>
      <c r="CC317" s="68"/>
      <c r="CD317" s="68"/>
      <c r="CE317" s="68"/>
      <c r="CF317" s="68"/>
      <c r="CG317" s="68"/>
      <c r="CH317" s="68"/>
      <c r="CI317" s="68"/>
      <c r="CJ317" s="68"/>
      <c r="CK317" s="68"/>
      <c r="CL317" s="68"/>
      <c r="CM317" s="68"/>
      <c r="CN317" s="68"/>
      <c r="CO317" s="68"/>
      <c r="CP317" s="68"/>
      <c r="CQ317" s="68"/>
      <c r="CR317" s="68"/>
      <c r="CS317" s="68"/>
      <c r="CT317" s="68"/>
      <c r="CU317" s="68"/>
      <c r="CV317" s="68"/>
      <c r="CW317" s="68"/>
      <c r="CX317" s="68"/>
      <c r="CY317" s="68"/>
      <c r="CZ317" s="68"/>
      <c r="DA317" s="68"/>
      <c r="DB317" s="68"/>
      <c r="DC317" s="68"/>
      <c r="DD317" s="68"/>
      <c r="DE317" s="68"/>
      <c r="DF317" s="68"/>
      <c r="DG317" s="68"/>
      <c r="DH317" s="68"/>
      <c r="DI317" s="68"/>
      <c r="DJ317" s="68"/>
      <c r="DK317" s="68"/>
      <c r="DL317" s="68"/>
      <c r="DM317" s="68"/>
      <c r="DN317" s="68"/>
      <c r="DO317" s="68"/>
      <c r="DP317" s="68"/>
      <c r="DQ317" s="68"/>
      <c r="DR317" s="68"/>
      <c r="DS317" s="68"/>
      <c r="DT317" s="68"/>
      <c r="DU317" s="68"/>
      <c r="DV317" s="68"/>
      <c r="DW317" s="68"/>
      <c r="DX317" s="68"/>
      <c r="DY317" s="68"/>
      <c r="DZ317" s="68"/>
      <c r="EA317" s="68"/>
      <c r="EB317" s="68"/>
      <c r="EC317" s="68"/>
      <c r="ED317" s="68"/>
      <c r="EE317" s="68"/>
      <c r="EF317" s="68"/>
      <c r="EG317" s="68"/>
      <c r="EH317" s="68"/>
      <c r="EI317" s="68"/>
      <c r="EJ317" s="68"/>
      <c r="EK317" s="68"/>
      <c r="EL317" s="68"/>
      <c r="EM317" s="68"/>
      <c r="EN317" s="68"/>
      <c r="EO317" s="68"/>
      <c r="EP317" s="68"/>
    </row>
    <row r="318" spans="1:146" s="78" customFormat="1" ht="11.25">
      <c r="A318" s="87" t="str">
        <f t="shared" si="53"/>
        <v xml:space="preserve">All RidersTRANSMISSION </v>
      </c>
      <c r="B318" s="83">
        <v>11</v>
      </c>
      <c r="C318" s="96" t="s">
        <v>86</v>
      </c>
      <c r="D318" s="74" t="s">
        <v>6</v>
      </c>
      <c r="E318" s="90">
        <f t="shared" ref="E318:P318" si="75">E289+E260+E231+E202+E173+E144+E115+E86+E57+E28</f>
        <v>4210158.3899999997</v>
      </c>
      <c r="F318" s="90">
        <f t="shared" si="75"/>
        <v>4643021.1000000006</v>
      </c>
      <c r="G318" s="90">
        <f t="shared" si="75"/>
        <v>5672870.3800000008</v>
      </c>
      <c r="H318" s="90">
        <f t="shared" si="75"/>
        <v>5506484.3799999999</v>
      </c>
      <c r="I318" s="90">
        <f t="shared" si="75"/>
        <v>5601276.0200000005</v>
      </c>
      <c r="J318" s="90">
        <f t="shared" si="75"/>
        <v>5559470.2500000009</v>
      </c>
      <c r="K318" s="90">
        <f t="shared" si="75"/>
        <v>4409260.2200000007</v>
      </c>
      <c r="L318" s="90">
        <f t="shared" si="75"/>
        <v>4771882.91</v>
      </c>
      <c r="M318" s="90">
        <f t="shared" si="75"/>
        <v>4260518.82</v>
      </c>
      <c r="N318" s="90">
        <f t="shared" si="75"/>
        <v>4873989.0500000007</v>
      </c>
      <c r="O318" s="90">
        <f t="shared" si="75"/>
        <v>3902307.21</v>
      </c>
      <c r="P318" s="90">
        <f t="shared" si="75"/>
        <v>3268528.6900000004</v>
      </c>
      <c r="Q318" s="93">
        <f>SUM(E318:P318)</f>
        <v>56679767.420000009</v>
      </c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  <c r="AO318" s="68"/>
      <c r="AP318" s="68"/>
      <c r="AQ318" s="68"/>
      <c r="AR318" s="68"/>
      <c r="AS318" s="68"/>
      <c r="AT318" s="68"/>
      <c r="AU318" s="68"/>
      <c r="AV318" s="68"/>
      <c r="AW318" s="68"/>
      <c r="AX318" s="68"/>
      <c r="AY318" s="68"/>
      <c r="AZ318" s="68"/>
      <c r="BA318" s="68"/>
      <c r="BB318" s="68"/>
      <c r="BC318" s="68"/>
      <c r="BD318" s="68"/>
      <c r="BE318" s="68"/>
      <c r="BF318" s="68"/>
      <c r="BG318" s="68"/>
      <c r="BH318" s="68"/>
      <c r="BI318" s="68"/>
      <c r="BJ318" s="68"/>
      <c r="BK318" s="68"/>
      <c r="BL318" s="68"/>
      <c r="BM318" s="68"/>
      <c r="BN318" s="68"/>
      <c r="BO318" s="68"/>
      <c r="BP318" s="68"/>
      <c r="BQ318" s="68"/>
      <c r="BR318" s="68"/>
      <c r="BS318" s="68"/>
      <c r="BT318" s="68"/>
      <c r="BU318" s="68"/>
      <c r="BV318" s="68"/>
      <c r="BW318" s="68"/>
      <c r="BX318" s="68"/>
      <c r="BY318" s="68"/>
      <c r="BZ318" s="68"/>
      <c r="CA318" s="68"/>
      <c r="CB318" s="68"/>
      <c r="CC318" s="68"/>
      <c r="CD318" s="68"/>
      <c r="CE318" s="68"/>
      <c r="CF318" s="68"/>
      <c r="CG318" s="68"/>
      <c r="CH318" s="68"/>
      <c r="CI318" s="68"/>
      <c r="CJ318" s="68"/>
      <c r="CK318" s="68"/>
      <c r="CL318" s="68"/>
      <c r="CM318" s="68"/>
      <c r="CN318" s="68"/>
      <c r="CO318" s="68"/>
      <c r="CP318" s="68"/>
      <c r="CQ318" s="68"/>
      <c r="CR318" s="68"/>
      <c r="CS318" s="68"/>
      <c r="CT318" s="68"/>
      <c r="CU318" s="68"/>
      <c r="CV318" s="68"/>
      <c r="CW318" s="68"/>
      <c r="CX318" s="68"/>
      <c r="CY318" s="68"/>
      <c r="CZ318" s="68"/>
      <c r="DA318" s="68"/>
      <c r="DB318" s="68"/>
      <c r="DC318" s="68"/>
      <c r="DD318" s="68"/>
      <c r="DE318" s="68"/>
      <c r="DF318" s="68"/>
      <c r="DG318" s="68"/>
      <c r="DH318" s="68"/>
      <c r="DI318" s="68"/>
      <c r="DJ318" s="68"/>
      <c r="DK318" s="68"/>
      <c r="DL318" s="68"/>
      <c r="DM318" s="68"/>
      <c r="DN318" s="68"/>
      <c r="DO318" s="68"/>
      <c r="DP318" s="68"/>
      <c r="DQ318" s="68"/>
      <c r="DR318" s="68"/>
      <c r="DS318" s="68"/>
      <c r="DT318" s="68"/>
      <c r="DU318" s="68"/>
      <c r="DV318" s="68"/>
      <c r="DW318" s="68"/>
      <c r="DX318" s="68"/>
      <c r="DY318" s="68"/>
      <c r="DZ318" s="68"/>
      <c r="EA318" s="68"/>
      <c r="EB318" s="68"/>
      <c r="EC318" s="68"/>
      <c r="ED318" s="68"/>
      <c r="EE318" s="68"/>
      <c r="EF318" s="68"/>
      <c r="EG318" s="68"/>
      <c r="EH318" s="68"/>
      <c r="EI318" s="68"/>
      <c r="EJ318" s="68"/>
      <c r="EK318" s="68"/>
      <c r="EL318" s="68"/>
      <c r="EM318" s="68"/>
      <c r="EN318" s="68"/>
      <c r="EO318" s="68"/>
      <c r="EP318" s="68"/>
    </row>
    <row r="319" spans="1:146" s="78" customFormat="1" ht="11.25">
      <c r="A319" s="87" t="str">
        <f t="shared" si="53"/>
        <v>All Riders</v>
      </c>
      <c r="D319" s="85"/>
      <c r="E319" s="231"/>
      <c r="F319" s="231"/>
      <c r="G319" s="231"/>
      <c r="H319" s="231"/>
      <c r="I319" s="231"/>
      <c r="J319" s="231"/>
      <c r="K319" s="231"/>
      <c r="L319" s="231"/>
      <c r="M319" s="231"/>
      <c r="N319" s="231"/>
      <c r="O319" s="231"/>
      <c r="P319" s="231"/>
      <c r="Q319" s="71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  <c r="AO319" s="68"/>
      <c r="AP319" s="68"/>
      <c r="AQ319" s="68"/>
      <c r="AR319" s="68"/>
      <c r="AS319" s="68"/>
      <c r="AT319" s="68"/>
      <c r="AU319" s="68"/>
      <c r="AV319" s="68"/>
      <c r="AW319" s="68"/>
      <c r="AX319" s="68"/>
      <c r="AY319" s="68"/>
      <c r="AZ319" s="68"/>
      <c r="BA319" s="68"/>
      <c r="BB319" s="68"/>
      <c r="BC319" s="68"/>
      <c r="BD319" s="68"/>
      <c r="BE319" s="68"/>
      <c r="BF319" s="68"/>
      <c r="BG319" s="68"/>
      <c r="BH319" s="68"/>
      <c r="BI319" s="68"/>
      <c r="BJ319" s="68"/>
      <c r="BK319" s="68"/>
      <c r="BL319" s="68"/>
      <c r="BM319" s="68"/>
      <c r="BN319" s="68"/>
      <c r="BO319" s="68"/>
      <c r="BP319" s="68"/>
      <c r="BQ319" s="68"/>
      <c r="BR319" s="68"/>
      <c r="BS319" s="68"/>
      <c r="BT319" s="68"/>
      <c r="BU319" s="68"/>
      <c r="BV319" s="68"/>
      <c r="BW319" s="68"/>
      <c r="BX319" s="68"/>
      <c r="BY319" s="68"/>
      <c r="BZ319" s="68"/>
      <c r="CA319" s="68"/>
      <c r="CB319" s="68"/>
      <c r="CC319" s="68"/>
      <c r="CD319" s="68"/>
      <c r="CE319" s="68"/>
      <c r="CF319" s="68"/>
      <c r="CG319" s="68"/>
      <c r="CH319" s="68"/>
      <c r="CI319" s="68"/>
      <c r="CJ319" s="68"/>
      <c r="CK319" s="68"/>
      <c r="CL319" s="68"/>
      <c r="CM319" s="68"/>
      <c r="CN319" s="68"/>
      <c r="CO319" s="68"/>
      <c r="CP319" s="68"/>
      <c r="CQ319" s="68"/>
      <c r="CR319" s="68"/>
      <c r="CS319" s="68"/>
      <c r="CT319" s="68"/>
      <c r="CU319" s="68"/>
      <c r="CV319" s="68"/>
      <c r="CW319" s="68"/>
      <c r="CX319" s="68"/>
      <c r="CY319" s="68"/>
      <c r="CZ319" s="68"/>
      <c r="DA319" s="68"/>
      <c r="DB319" s="68"/>
      <c r="DC319" s="68"/>
      <c r="DD319" s="68"/>
      <c r="DE319" s="68"/>
      <c r="DF319" s="68"/>
      <c r="DG319" s="68"/>
      <c r="DH319" s="68"/>
      <c r="DI319" s="68"/>
      <c r="DJ319" s="68"/>
      <c r="DK319" s="68"/>
      <c r="DL319" s="68"/>
      <c r="DM319" s="68"/>
      <c r="DN319" s="68"/>
      <c r="DO319" s="68"/>
      <c r="DP319" s="68"/>
      <c r="DQ319" s="68"/>
      <c r="DR319" s="68"/>
      <c r="DS319" s="68"/>
      <c r="DT319" s="68"/>
      <c r="DU319" s="68"/>
      <c r="DV319" s="68"/>
      <c r="DW319" s="68"/>
      <c r="DX319" s="68"/>
      <c r="DY319" s="68"/>
      <c r="DZ319" s="68"/>
      <c r="EA319" s="68"/>
      <c r="EB319" s="68"/>
      <c r="EC319" s="68"/>
      <c r="ED319" s="68"/>
      <c r="EE319" s="68"/>
      <c r="EF319" s="68"/>
      <c r="EG319" s="68"/>
      <c r="EH319" s="68"/>
      <c r="EI319" s="68"/>
      <c r="EJ319" s="68"/>
      <c r="EK319" s="68"/>
      <c r="EL319" s="68"/>
      <c r="EM319" s="68"/>
      <c r="EN319" s="68"/>
      <c r="EO319" s="68"/>
      <c r="EP319" s="68"/>
    </row>
    <row r="320" spans="1:146" s="78" customFormat="1" ht="11.25">
      <c r="A320" s="87" t="str">
        <f t="shared" si="53"/>
        <v>All RidersLIGHTING</v>
      </c>
      <c r="B320" s="83">
        <v>12</v>
      </c>
      <c r="C320" s="68" t="s">
        <v>21</v>
      </c>
      <c r="D320" s="74" t="s">
        <v>4</v>
      </c>
      <c r="E320" s="90">
        <f t="shared" ref="E320:P320" si="76">E291+E262+E233+E204+E175+E146+E117+E88+E59+E30</f>
        <v>615669.23</v>
      </c>
      <c r="F320" s="90">
        <f t="shared" si="76"/>
        <v>618394.71999999986</v>
      </c>
      <c r="G320" s="90">
        <f t="shared" si="76"/>
        <v>613246.87000000034</v>
      </c>
      <c r="H320" s="90">
        <f t="shared" si="76"/>
        <v>614500.94999999995</v>
      </c>
      <c r="I320" s="90">
        <f t="shared" si="76"/>
        <v>610728.23000000021</v>
      </c>
      <c r="J320" s="90">
        <f t="shared" si="76"/>
        <v>595811.3199999996</v>
      </c>
      <c r="K320" s="90">
        <f t="shared" si="76"/>
        <v>595213.66</v>
      </c>
      <c r="L320" s="90">
        <f t="shared" si="76"/>
        <v>595082.65</v>
      </c>
      <c r="M320" s="90">
        <f t="shared" si="76"/>
        <v>592466.43999999994</v>
      </c>
      <c r="N320" s="90">
        <f t="shared" si="76"/>
        <v>594346.65999999968</v>
      </c>
      <c r="O320" s="90">
        <f t="shared" si="76"/>
        <v>590160.47999999975</v>
      </c>
      <c r="P320" s="90">
        <f t="shared" si="76"/>
        <v>732619.84999999963</v>
      </c>
      <c r="Q320" s="93">
        <f>SUM(E320:P320)</f>
        <v>7368241.0599999996</v>
      </c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  <c r="AN320" s="68"/>
      <c r="AO320" s="68"/>
      <c r="AP320" s="68"/>
      <c r="AQ320" s="68"/>
      <c r="AR320" s="68"/>
      <c r="AS320" s="68"/>
      <c r="AT320" s="68"/>
      <c r="AU320" s="68"/>
      <c r="AV320" s="68"/>
      <c r="AW320" s="68"/>
      <c r="AX320" s="68"/>
      <c r="AY320" s="68"/>
      <c r="AZ320" s="68"/>
      <c r="BA320" s="68"/>
      <c r="BB320" s="68"/>
      <c r="BC320" s="68"/>
      <c r="BD320" s="68"/>
      <c r="BE320" s="68"/>
      <c r="BF320" s="68"/>
      <c r="BG320" s="68"/>
      <c r="BH320" s="68"/>
      <c r="BI320" s="68"/>
      <c r="BJ320" s="68"/>
      <c r="BK320" s="68"/>
      <c r="BL320" s="68"/>
      <c r="BM320" s="68"/>
      <c r="BN320" s="68"/>
      <c r="BO320" s="68"/>
      <c r="BP320" s="68"/>
      <c r="BQ320" s="68"/>
      <c r="BR320" s="68"/>
      <c r="BS320" s="68"/>
      <c r="BT320" s="68"/>
      <c r="BU320" s="68"/>
      <c r="BV320" s="68"/>
      <c r="BW320" s="68"/>
      <c r="BX320" s="68"/>
      <c r="BY320" s="68"/>
      <c r="BZ320" s="68"/>
      <c r="CA320" s="68"/>
      <c r="CB320" s="68"/>
      <c r="CC320" s="68"/>
      <c r="CD320" s="68"/>
      <c r="CE320" s="68"/>
      <c r="CF320" s="68"/>
      <c r="CG320" s="68"/>
      <c r="CH320" s="68"/>
      <c r="CI320" s="68"/>
      <c r="CJ320" s="68"/>
      <c r="CK320" s="68"/>
      <c r="CL320" s="68"/>
      <c r="CM320" s="68"/>
      <c r="CN320" s="68"/>
      <c r="CO320" s="68"/>
      <c r="CP320" s="68"/>
      <c r="CQ320" s="68"/>
      <c r="CR320" s="68"/>
      <c r="CS320" s="68"/>
      <c r="CT320" s="68"/>
      <c r="CU320" s="68"/>
      <c r="CV320" s="68"/>
      <c r="CW320" s="68"/>
      <c r="CX320" s="68"/>
      <c r="CY320" s="68"/>
      <c r="CZ320" s="68"/>
      <c r="DA320" s="68"/>
      <c r="DB320" s="68"/>
      <c r="DC320" s="68"/>
      <c r="DD320" s="68"/>
      <c r="DE320" s="68"/>
      <c r="DF320" s="68"/>
      <c r="DG320" s="68"/>
      <c r="DH320" s="68"/>
      <c r="DI320" s="68"/>
      <c r="DJ320" s="68"/>
      <c r="DK320" s="68"/>
      <c r="DL320" s="68"/>
      <c r="DM320" s="68"/>
      <c r="DN320" s="68"/>
      <c r="DO320" s="68"/>
      <c r="DP320" s="68"/>
      <c r="DQ320" s="68"/>
      <c r="DR320" s="68"/>
      <c r="DS320" s="68"/>
      <c r="DT320" s="68"/>
      <c r="DU320" s="68"/>
      <c r="DV320" s="68"/>
      <c r="DW320" s="68"/>
      <c r="DX320" s="68"/>
      <c r="DY320" s="68"/>
      <c r="DZ320" s="68"/>
      <c r="EA320" s="68"/>
      <c r="EB320" s="68"/>
      <c r="EC320" s="68"/>
      <c r="ED320" s="68"/>
      <c r="EE320" s="68"/>
      <c r="EF320" s="68"/>
      <c r="EG320" s="68"/>
      <c r="EH320" s="68"/>
      <c r="EI320" s="68"/>
      <c r="EJ320" s="68"/>
      <c r="EK320" s="68"/>
      <c r="EL320" s="68"/>
      <c r="EM320" s="68"/>
      <c r="EN320" s="68"/>
      <c r="EO320" s="68"/>
      <c r="EP320" s="68"/>
    </row>
    <row r="321" spans="1:146" s="78" customFormat="1" ht="11.25">
      <c r="A321" s="87" t="str">
        <f t="shared" si="53"/>
        <v>All Riders</v>
      </c>
      <c r="B321" s="83"/>
      <c r="D321" s="85"/>
      <c r="E321" s="231"/>
      <c r="F321" s="231"/>
      <c r="G321" s="231"/>
      <c r="H321" s="231"/>
      <c r="I321" s="231"/>
      <c r="J321" s="231"/>
      <c r="K321" s="231"/>
      <c r="L321" s="231"/>
      <c r="M321" s="231"/>
      <c r="N321" s="231"/>
      <c r="O321" s="231"/>
      <c r="P321" s="90"/>
      <c r="Q321" s="71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  <c r="AO321" s="68"/>
      <c r="AP321" s="68"/>
      <c r="AQ321" s="68"/>
      <c r="AR321" s="68"/>
      <c r="AS321" s="68"/>
      <c r="AT321" s="68"/>
      <c r="AU321" s="68"/>
      <c r="AV321" s="68"/>
      <c r="AW321" s="68"/>
      <c r="AX321" s="68"/>
      <c r="AY321" s="68"/>
      <c r="AZ321" s="68"/>
      <c r="BA321" s="68"/>
      <c r="BB321" s="68"/>
      <c r="BC321" s="68"/>
      <c r="BD321" s="68"/>
      <c r="BE321" s="68"/>
      <c r="BF321" s="68"/>
      <c r="BG321" s="68"/>
      <c r="BH321" s="68"/>
      <c r="BI321" s="68"/>
      <c r="BJ321" s="68"/>
      <c r="BK321" s="68"/>
      <c r="BL321" s="68"/>
      <c r="BM321" s="68"/>
      <c r="BN321" s="68"/>
      <c r="BO321" s="68"/>
      <c r="BP321" s="68"/>
      <c r="BQ321" s="68"/>
      <c r="BR321" s="68"/>
      <c r="BS321" s="68"/>
      <c r="BT321" s="68"/>
      <c r="BU321" s="68"/>
      <c r="BV321" s="68"/>
      <c r="BW321" s="68"/>
      <c r="BX321" s="68"/>
      <c r="BY321" s="68"/>
      <c r="BZ321" s="68"/>
      <c r="CA321" s="68"/>
      <c r="CB321" s="68"/>
      <c r="CC321" s="68"/>
      <c r="CD321" s="68"/>
      <c r="CE321" s="68"/>
      <c r="CF321" s="68"/>
      <c r="CG321" s="68"/>
      <c r="CH321" s="68"/>
      <c r="CI321" s="68"/>
      <c r="CJ321" s="68"/>
      <c r="CK321" s="68"/>
      <c r="CL321" s="68"/>
      <c r="CM321" s="68"/>
      <c r="CN321" s="68"/>
      <c r="CO321" s="68"/>
      <c r="CP321" s="68"/>
      <c r="CQ321" s="68"/>
      <c r="CR321" s="68"/>
      <c r="CS321" s="68"/>
      <c r="CT321" s="68"/>
      <c r="CU321" s="68"/>
      <c r="CV321" s="68"/>
      <c r="CW321" s="68"/>
      <c r="CX321" s="68"/>
      <c r="CY321" s="68"/>
      <c r="CZ321" s="68"/>
      <c r="DA321" s="68"/>
      <c r="DB321" s="68"/>
      <c r="DC321" s="68"/>
      <c r="DD321" s="68"/>
      <c r="DE321" s="68"/>
      <c r="DF321" s="68"/>
      <c r="DG321" s="68"/>
      <c r="DH321" s="68"/>
      <c r="DI321" s="68"/>
      <c r="DJ321" s="68"/>
      <c r="DK321" s="68"/>
      <c r="DL321" s="68"/>
      <c r="DM321" s="68"/>
      <c r="DN321" s="68"/>
      <c r="DO321" s="68"/>
      <c r="DP321" s="68"/>
      <c r="DQ321" s="68"/>
      <c r="DR321" s="68"/>
      <c r="DS321" s="68"/>
      <c r="DT321" s="68"/>
      <c r="DU321" s="68"/>
      <c r="DV321" s="68"/>
      <c r="DW321" s="68"/>
      <c r="DX321" s="68"/>
      <c r="DY321" s="68"/>
      <c r="DZ321" s="68"/>
      <c r="EA321" s="68"/>
      <c r="EB321" s="68"/>
      <c r="EC321" s="68"/>
      <c r="ED321" s="68"/>
      <c r="EE321" s="68"/>
      <c r="EF321" s="68"/>
      <c r="EG321" s="68"/>
      <c r="EH321" s="68"/>
      <c r="EI321" s="68"/>
      <c r="EJ321" s="68"/>
      <c r="EK321" s="68"/>
      <c r="EL321" s="68"/>
      <c r="EM321" s="68"/>
      <c r="EN321" s="68"/>
      <c r="EO321" s="68"/>
      <c r="EP321" s="68"/>
    </row>
    <row r="322" spans="1:146" s="78" customFormat="1" ht="11.25">
      <c r="A322" s="87" t="str">
        <f t="shared" si="53"/>
        <v>All RidersTOTAL RETAIL</v>
      </c>
      <c r="B322" s="83">
        <v>13</v>
      </c>
      <c r="C322" s="114" t="s">
        <v>22</v>
      </c>
      <c r="D322" s="212"/>
      <c r="E322" s="234">
        <f>E320+E318+E316+E310+E306+E304</f>
        <v>58205441</v>
      </c>
      <c r="F322" s="234">
        <f t="shared" ref="F322:P322" si="77">F320+F318+F316+F310+F306+F304</f>
        <v>51265409.399999999</v>
      </c>
      <c r="G322" s="234">
        <f t="shared" si="77"/>
        <v>56392773.930000007</v>
      </c>
      <c r="H322" s="234">
        <f t="shared" si="77"/>
        <v>58445664.210000001</v>
      </c>
      <c r="I322" s="234">
        <f t="shared" si="77"/>
        <v>54796417.909999996</v>
      </c>
      <c r="J322" s="234">
        <f t="shared" si="77"/>
        <v>44255830.350000001</v>
      </c>
      <c r="K322" s="234">
        <f t="shared" si="77"/>
        <v>42550577.990000002</v>
      </c>
      <c r="L322" s="234">
        <f t="shared" si="77"/>
        <v>44613705.920000002</v>
      </c>
      <c r="M322" s="234">
        <f t="shared" si="77"/>
        <v>51284561.819999993</v>
      </c>
      <c r="N322" s="234">
        <f t="shared" si="77"/>
        <v>60502434.670000002</v>
      </c>
      <c r="O322" s="234">
        <f t="shared" si="77"/>
        <v>60047022.600000001</v>
      </c>
      <c r="P322" s="234">
        <f t="shared" si="77"/>
        <v>77566542.650000006</v>
      </c>
      <c r="Q322" s="115">
        <f>Q320+Q318+Q316+Q310+Q306+Q304</f>
        <v>659926382.45000005</v>
      </c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  <c r="AO322" s="68"/>
      <c r="AP322" s="68"/>
      <c r="AQ322" s="68"/>
      <c r="AR322" s="68"/>
      <c r="AS322" s="68"/>
      <c r="AT322" s="68"/>
      <c r="AU322" s="68"/>
      <c r="AV322" s="68"/>
      <c r="AW322" s="68"/>
      <c r="AX322" s="68"/>
      <c r="AY322" s="68"/>
      <c r="AZ322" s="68"/>
      <c r="BA322" s="68"/>
      <c r="BB322" s="68"/>
      <c r="BC322" s="68"/>
      <c r="BD322" s="68"/>
      <c r="BE322" s="68"/>
      <c r="BF322" s="68"/>
      <c r="BG322" s="68"/>
      <c r="BH322" s="68"/>
      <c r="BI322" s="68"/>
      <c r="BJ322" s="68"/>
      <c r="BK322" s="68"/>
      <c r="BL322" s="68"/>
      <c r="BM322" s="68"/>
      <c r="BN322" s="68"/>
      <c r="BO322" s="68"/>
      <c r="BP322" s="68"/>
      <c r="BQ322" s="68"/>
      <c r="BR322" s="68"/>
      <c r="BS322" s="68"/>
      <c r="BT322" s="68"/>
      <c r="BU322" s="68"/>
      <c r="BV322" s="68"/>
      <c r="BW322" s="68"/>
      <c r="BX322" s="68"/>
      <c r="BY322" s="68"/>
      <c r="BZ322" s="68"/>
      <c r="CA322" s="68"/>
      <c r="CB322" s="68"/>
      <c r="CC322" s="68"/>
      <c r="CD322" s="68"/>
      <c r="CE322" s="68"/>
      <c r="CF322" s="68"/>
      <c r="CG322" s="68"/>
      <c r="CH322" s="68"/>
      <c r="CI322" s="68"/>
      <c r="CJ322" s="68"/>
      <c r="CK322" s="68"/>
      <c r="CL322" s="68"/>
      <c r="CM322" s="68"/>
      <c r="CN322" s="68"/>
      <c r="CO322" s="68"/>
      <c r="CP322" s="68"/>
      <c r="CQ322" s="68"/>
      <c r="CR322" s="68"/>
      <c r="CS322" s="68"/>
      <c r="CT322" s="68"/>
      <c r="CU322" s="68"/>
      <c r="CV322" s="68"/>
      <c r="CW322" s="68"/>
      <c r="CX322" s="68"/>
      <c r="CY322" s="68"/>
      <c r="CZ322" s="68"/>
      <c r="DA322" s="68"/>
      <c r="DB322" s="68"/>
      <c r="DC322" s="68"/>
      <c r="DD322" s="68"/>
      <c r="DE322" s="68"/>
      <c r="DF322" s="68"/>
      <c r="DG322" s="68"/>
      <c r="DH322" s="68"/>
      <c r="DI322" s="68"/>
      <c r="DJ322" s="68"/>
      <c r="DK322" s="68"/>
      <c r="DL322" s="68"/>
      <c r="DM322" s="68"/>
      <c r="DN322" s="68"/>
      <c r="DO322" s="68"/>
      <c r="DP322" s="68"/>
      <c r="DQ322" s="68"/>
      <c r="DR322" s="68"/>
      <c r="DS322" s="68"/>
      <c r="DT322" s="68"/>
      <c r="DU322" s="68"/>
      <c r="DV322" s="68"/>
      <c r="DW322" s="68"/>
      <c r="DX322" s="68"/>
      <c r="DY322" s="68"/>
      <c r="DZ322" s="68"/>
      <c r="EA322" s="68"/>
      <c r="EB322" s="68"/>
      <c r="EC322" s="68"/>
      <c r="ED322" s="68"/>
      <c r="EE322" s="68"/>
      <c r="EF322" s="68"/>
      <c r="EG322" s="68"/>
      <c r="EH322" s="68"/>
      <c r="EI322" s="68"/>
      <c r="EJ322" s="68"/>
      <c r="EK322" s="68"/>
      <c r="EL322" s="68"/>
      <c r="EM322" s="68"/>
      <c r="EN322" s="68"/>
      <c r="EO322" s="68"/>
      <c r="EP322" s="68"/>
    </row>
    <row r="323" spans="1:146" s="78" customFormat="1" ht="11.25">
      <c r="A323" s="87" t="str">
        <f t="shared" si="53"/>
        <v>All Riders</v>
      </c>
      <c r="C323" s="212"/>
      <c r="D323" s="212"/>
      <c r="E323" s="231"/>
      <c r="F323" s="231"/>
      <c r="G323" s="231"/>
      <c r="H323" s="231"/>
      <c r="I323" s="231"/>
      <c r="J323" s="231"/>
      <c r="K323" s="231"/>
      <c r="L323" s="231"/>
      <c r="M323" s="231"/>
      <c r="N323" s="231"/>
      <c r="O323" s="231"/>
      <c r="P323" s="90"/>
      <c r="Q323" s="93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  <c r="AO323" s="68"/>
      <c r="AP323" s="68"/>
      <c r="AQ323" s="68"/>
      <c r="AR323" s="68"/>
      <c r="AS323" s="68"/>
      <c r="AT323" s="68"/>
      <c r="AU323" s="68"/>
      <c r="AV323" s="68"/>
      <c r="AW323" s="68"/>
      <c r="AX323" s="68"/>
      <c r="AY323" s="68"/>
      <c r="AZ323" s="68"/>
      <c r="BA323" s="68"/>
      <c r="BB323" s="68"/>
      <c r="BC323" s="68"/>
      <c r="BD323" s="68"/>
      <c r="BE323" s="68"/>
      <c r="BF323" s="68"/>
      <c r="BG323" s="68"/>
      <c r="BH323" s="68"/>
      <c r="BI323" s="68"/>
      <c r="BJ323" s="68"/>
      <c r="BK323" s="68"/>
      <c r="BL323" s="68"/>
      <c r="BM323" s="68"/>
      <c r="BN323" s="68"/>
      <c r="BO323" s="68"/>
      <c r="BP323" s="68"/>
      <c r="BQ323" s="68"/>
      <c r="BR323" s="68"/>
      <c r="BS323" s="68"/>
      <c r="BT323" s="68"/>
      <c r="BU323" s="68"/>
      <c r="BV323" s="68"/>
      <c r="BW323" s="68"/>
      <c r="BX323" s="68"/>
      <c r="BY323" s="68"/>
      <c r="BZ323" s="68"/>
      <c r="CA323" s="68"/>
      <c r="CB323" s="68"/>
      <c r="CC323" s="68"/>
      <c r="CD323" s="68"/>
      <c r="CE323" s="68"/>
      <c r="CF323" s="68"/>
      <c r="CG323" s="68"/>
      <c r="CH323" s="68"/>
      <c r="CI323" s="68"/>
      <c r="CJ323" s="68"/>
      <c r="CK323" s="68"/>
      <c r="CL323" s="68"/>
      <c r="CM323" s="68"/>
      <c r="CN323" s="68"/>
      <c r="CO323" s="68"/>
      <c r="CP323" s="68"/>
      <c r="CQ323" s="68"/>
      <c r="CR323" s="68"/>
      <c r="CS323" s="68"/>
      <c r="CT323" s="68"/>
      <c r="CU323" s="68"/>
      <c r="CV323" s="68"/>
      <c r="CW323" s="68"/>
      <c r="CX323" s="68"/>
      <c r="CY323" s="68"/>
      <c r="CZ323" s="68"/>
      <c r="DA323" s="68"/>
      <c r="DB323" s="68"/>
      <c r="DC323" s="68"/>
      <c r="DD323" s="68"/>
      <c r="DE323" s="68"/>
      <c r="DF323" s="68"/>
      <c r="DG323" s="68"/>
      <c r="DH323" s="68"/>
      <c r="DI323" s="68"/>
      <c r="DJ323" s="68"/>
      <c r="DK323" s="68"/>
      <c r="DL323" s="68"/>
      <c r="DM323" s="68"/>
      <c r="DN323" s="68"/>
      <c r="DO323" s="68"/>
      <c r="DP323" s="68"/>
      <c r="DQ323" s="68"/>
      <c r="DR323" s="68"/>
      <c r="DS323" s="68"/>
      <c r="DT323" s="68"/>
      <c r="DU323" s="68"/>
      <c r="DV323" s="68"/>
      <c r="DW323" s="68"/>
      <c r="DX323" s="68"/>
      <c r="DY323" s="68"/>
      <c r="DZ323" s="68"/>
      <c r="EA323" s="68"/>
      <c r="EB323" s="68"/>
      <c r="EC323" s="68"/>
      <c r="ED323" s="68"/>
      <c r="EE323" s="68"/>
      <c r="EF323" s="68"/>
      <c r="EG323" s="68"/>
      <c r="EH323" s="68"/>
      <c r="EI323" s="68"/>
      <c r="EJ323" s="68"/>
      <c r="EK323" s="68"/>
      <c r="EL323" s="68"/>
      <c r="EM323" s="68"/>
      <c r="EN323" s="68"/>
      <c r="EO323" s="68"/>
      <c r="EP323" s="68"/>
    </row>
    <row r="324" spans="1:146" s="78" customFormat="1" ht="11.25">
      <c r="A324" s="87" t="str">
        <f t="shared" si="53"/>
        <v>All Riders</v>
      </c>
      <c r="B324" s="83">
        <v>12</v>
      </c>
      <c r="C324" s="89"/>
      <c r="D324" s="74"/>
      <c r="E324" s="124"/>
      <c r="F324" s="124"/>
      <c r="G324" s="124"/>
      <c r="H324" s="124"/>
      <c r="I324" s="124"/>
      <c r="J324" s="124"/>
      <c r="K324" s="124"/>
      <c r="L324" s="124"/>
      <c r="M324" s="124"/>
      <c r="N324" s="124"/>
      <c r="O324" s="124"/>
      <c r="P324" s="124"/>
      <c r="Q324" s="103"/>
      <c r="R324" s="89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  <c r="AN324" s="68"/>
      <c r="AO324" s="68"/>
      <c r="AP324" s="68"/>
      <c r="AQ324" s="68"/>
      <c r="AR324" s="68"/>
      <c r="AS324" s="68"/>
      <c r="AT324" s="68"/>
      <c r="AU324" s="68"/>
      <c r="AV324" s="68"/>
      <c r="AW324" s="68"/>
      <c r="AX324" s="68"/>
      <c r="AY324" s="68"/>
      <c r="AZ324" s="68"/>
      <c r="BA324" s="68"/>
      <c r="BB324" s="68"/>
      <c r="BC324" s="68"/>
      <c r="BD324" s="68"/>
      <c r="BE324" s="68"/>
      <c r="BF324" s="68"/>
      <c r="BG324" s="68"/>
      <c r="BH324" s="68"/>
      <c r="BI324" s="68"/>
      <c r="BJ324" s="68"/>
      <c r="BK324" s="68"/>
      <c r="BL324" s="68"/>
      <c r="BM324" s="68"/>
      <c r="BN324" s="68"/>
      <c r="BO324" s="68"/>
      <c r="BP324" s="68"/>
      <c r="BQ324" s="68"/>
      <c r="BR324" s="68"/>
      <c r="BS324" s="68"/>
      <c r="BT324" s="68"/>
      <c r="BU324" s="68"/>
      <c r="BV324" s="68"/>
      <c r="BW324" s="68"/>
      <c r="BX324" s="68"/>
      <c r="BY324" s="68"/>
      <c r="BZ324" s="68"/>
      <c r="CA324" s="68"/>
      <c r="CB324" s="68"/>
      <c r="CC324" s="68"/>
      <c r="CD324" s="68"/>
      <c r="CE324" s="68"/>
      <c r="CF324" s="68"/>
      <c r="CG324" s="68"/>
      <c r="CH324" s="68"/>
      <c r="CI324" s="68"/>
      <c r="CJ324" s="68"/>
      <c r="CK324" s="68"/>
      <c r="CL324" s="68"/>
      <c r="CM324" s="68"/>
      <c r="CN324" s="68"/>
      <c r="CO324" s="68"/>
      <c r="CP324" s="68"/>
      <c r="CQ324" s="68"/>
      <c r="CR324" s="68"/>
      <c r="CS324" s="68"/>
      <c r="CT324" s="68"/>
      <c r="CU324" s="68"/>
      <c r="CV324" s="68"/>
      <c r="CW324" s="68"/>
      <c r="CX324" s="68"/>
      <c r="CY324" s="68"/>
      <c r="CZ324" s="68"/>
      <c r="DA324" s="68"/>
      <c r="DB324" s="68"/>
      <c r="DC324" s="68"/>
      <c r="DD324" s="68"/>
      <c r="DE324" s="68"/>
      <c r="DF324" s="68"/>
      <c r="DG324" s="68"/>
      <c r="DH324" s="68"/>
      <c r="DI324" s="68"/>
      <c r="DJ324" s="68"/>
      <c r="DK324" s="68"/>
      <c r="DL324" s="68"/>
      <c r="DM324" s="68"/>
      <c r="DN324" s="68"/>
      <c r="DO324" s="68"/>
      <c r="DP324" s="68"/>
      <c r="DQ324" s="68"/>
      <c r="DR324" s="68"/>
      <c r="DS324" s="68"/>
      <c r="DT324" s="68"/>
      <c r="DU324" s="68"/>
      <c r="DV324" s="68"/>
      <c r="DW324" s="68"/>
      <c r="DX324" s="68"/>
      <c r="DY324" s="68"/>
      <c r="DZ324" s="68"/>
      <c r="EA324" s="68"/>
      <c r="EB324" s="68"/>
      <c r="EC324" s="68"/>
      <c r="ED324" s="68"/>
      <c r="EE324" s="68"/>
      <c r="EF324" s="68"/>
      <c r="EG324" s="68"/>
      <c r="EH324" s="68"/>
      <c r="EI324" s="68"/>
      <c r="EJ324" s="68"/>
      <c r="EK324" s="68"/>
      <c r="EL324" s="68"/>
      <c r="EM324" s="68"/>
      <c r="EN324" s="68"/>
      <c r="EO324" s="68"/>
      <c r="EP324" s="68"/>
    </row>
    <row r="325" spans="1:146" s="78" customFormat="1" ht="11.25">
      <c r="A325" s="87" t="str">
        <f t="shared" si="53"/>
        <v>All Riders</v>
      </c>
      <c r="B325" s="83">
        <v>13</v>
      </c>
      <c r="C325" s="89"/>
      <c r="D325" s="74"/>
      <c r="E325" s="124"/>
      <c r="F325" s="124"/>
      <c r="G325" s="124"/>
      <c r="H325" s="124"/>
      <c r="I325" s="124"/>
      <c r="J325" s="124"/>
      <c r="K325" s="124"/>
      <c r="L325" s="124"/>
      <c r="M325" s="124"/>
      <c r="N325" s="124"/>
      <c r="O325" s="124"/>
      <c r="P325" s="124"/>
      <c r="Q325" s="103"/>
      <c r="R325" s="133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  <c r="AO325" s="68"/>
      <c r="AP325" s="68"/>
      <c r="AQ325" s="68"/>
      <c r="AR325" s="68"/>
      <c r="AS325" s="68"/>
      <c r="AT325" s="68"/>
      <c r="AU325" s="68"/>
      <c r="AV325" s="68"/>
      <c r="AW325" s="68"/>
      <c r="AX325" s="68"/>
      <c r="AY325" s="68"/>
      <c r="AZ325" s="68"/>
      <c r="BA325" s="68"/>
      <c r="BB325" s="68"/>
      <c r="BC325" s="68"/>
      <c r="BD325" s="68"/>
      <c r="BE325" s="68"/>
      <c r="BF325" s="68"/>
      <c r="BG325" s="68"/>
      <c r="BH325" s="68"/>
      <c r="BI325" s="68"/>
      <c r="BJ325" s="68"/>
      <c r="BK325" s="68"/>
      <c r="BL325" s="68"/>
      <c r="BM325" s="68"/>
      <c r="BN325" s="68"/>
      <c r="BO325" s="68"/>
      <c r="BP325" s="68"/>
      <c r="BQ325" s="68"/>
      <c r="BR325" s="68"/>
      <c r="BS325" s="68"/>
      <c r="BT325" s="68"/>
      <c r="BU325" s="68"/>
      <c r="BV325" s="68"/>
      <c r="BW325" s="68"/>
      <c r="BX325" s="68"/>
      <c r="BY325" s="68"/>
      <c r="BZ325" s="68"/>
      <c r="CA325" s="68"/>
      <c r="CB325" s="68"/>
      <c r="CC325" s="68"/>
      <c r="CD325" s="68"/>
      <c r="CE325" s="68"/>
      <c r="CF325" s="68"/>
      <c r="CG325" s="68"/>
      <c r="CH325" s="68"/>
      <c r="CI325" s="68"/>
      <c r="CJ325" s="68"/>
      <c r="CK325" s="68"/>
      <c r="CL325" s="68"/>
      <c r="CM325" s="68"/>
      <c r="CN325" s="68"/>
      <c r="CO325" s="68"/>
      <c r="CP325" s="68"/>
      <c r="CQ325" s="68"/>
      <c r="CR325" s="68"/>
      <c r="CS325" s="68"/>
      <c r="CT325" s="68"/>
      <c r="CU325" s="68"/>
      <c r="CV325" s="68"/>
      <c r="CW325" s="68"/>
      <c r="CX325" s="68"/>
      <c r="CY325" s="68"/>
      <c r="CZ325" s="68"/>
      <c r="DA325" s="68"/>
      <c r="DB325" s="68"/>
      <c r="DC325" s="68"/>
      <c r="DD325" s="68"/>
      <c r="DE325" s="68"/>
      <c r="DF325" s="68"/>
      <c r="DG325" s="68"/>
      <c r="DH325" s="68"/>
      <c r="DI325" s="68"/>
      <c r="DJ325" s="68"/>
      <c r="DK325" s="68"/>
      <c r="DL325" s="68"/>
      <c r="DM325" s="68"/>
      <c r="DN325" s="68"/>
      <c r="DO325" s="68"/>
      <c r="DP325" s="68"/>
      <c r="DQ325" s="68"/>
      <c r="DR325" s="68"/>
      <c r="DS325" s="68"/>
      <c r="DT325" s="68"/>
      <c r="DU325" s="68"/>
      <c r="DV325" s="68"/>
      <c r="DW325" s="68"/>
      <c r="DX325" s="68"/>
      <c r="DY325" s="68"/>
      <c r="DZ325" s="68"/>
      <c r="EA325" s="68"/>
      <c r="EB325" s="68"/>
      <c r="EC325" s="68"/>
      <c r="ED325" s="68"/>
      <c r="EE325" s="68"/>
      <c r="EF325" s="68"/>
      <c r="EG325" s="68"/>
      <c r="EH325" s="68"/>
      <c r="EI325" s="68"/>
      <c r="EJ325" s="68"/>
      <c r="EK325" s="68"/>
      <c r="EL325" s="68"/>
      <c r="EM325" s="68"/>
      <c r="EN325" s="68"/>
      <c r="EO325" s="68"/>
      <c r="EP325" s="68"/>
    </row>
    <row r="326" spans="1:146" s="78" customFormat="1" ht="11.25">
      <c r="A326" s="87" t="str">
        <f t="shared" si="53"/>
        <v>All Riders</v>
      </c>
      <c r="B326" s="83">
        <v>14</v>
      </c>
      <c r="C326" s="114"/>
      <c r="D326" s="212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24"/>
      <c r="Q326" s="103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  <c r="AO326" s="68"/>
      <c r="AP326" s="68"/>
      <c r="AQ326" s="68"/>
      <c r="AR326" s="68"/>
      <c r="AS326" s="68"/>
      <c r="AT326" s="68"/>
      <c r="AU326" s="68"/>
      <c r="AV326" s="68"/>
      <c r="AW326" s="68"/>
      <c r="AX326" s="68"/>
      <c r="AY326" s="68"/>
      <c r="AZ326" s="68"/>
      <c r="BA326" s="68"/>
      <c r="BB326" s="68"/>
      <c r="BC326" s="68"/>
      <c r="BD326" s="68"/>
      <c r="BE326" s="68"/>
      <c r="BF326" s="68"/>
      <c r="BG326" s="68"/>
      <c r="BH326" s="68"/>
      <c r="BI326" s="68"/>
      <c r="BJ326" s="68"/>
      <c r="BK326" s="68"/>
      <c r="BL326" s="68"/>
      <c r="BM326" s="68"/>
      <c r="BN326" s="68"/>
      <c r="BO326" s="68"/>
      <c r="BP326" s="68"/>
      <c r="BQ326" s="68"/>
      <c r="BR326" s="68"/>
      <c r="BS326" s="68"/>
      <c r="BT326" s="68"/>
      <c r="BU326" s="68"/>
      <c r="BV326" s="68"/>
      <c r="BW326" s="68"/>
      <c r="BX326" s="68"/>
      <c r="BY326" s="68"/>
      <c r="BZ326" s="68"/>
      <c r="CA326" s="68"/>
      <c r="CB326" s="68"/>
      <c r="CC326" s="68"/>
      <c r="CD326" s="68"/>
      <c r="CE326" s="68"/>
      <c r="CF326" s="68"/>
      <c r="CG326" s="68"/>
      <c r="CH326" s="68"/>
      <c r="CI326" s="68"/>
      <c r="CJ326" s="68"/>
      <c r="CK326" s="68"/>
      <c r="CL326" s="68"/>
      <c r="CM326" s="68"/>
      <c r="CN326" s="68"/>
      <c r="CO326" s="68"/>
      <c r="CP326" s="68"/>
      <c r="CQ326" s="68"/>
      <c r="CR326" s="68"/>
      <c r="CS326" s="68"/>
      <c r="CT326" s="68"/>
      <c r="CU326" s="68"/>
      <c r="CV326" s="68"/>
      <c r="CW326" s="68"/>
      <c r="CX326" s="68"/>
      <c r="CY326" s="68"/>
      <c r="CZ326" s="68"/>
      <c r="DA326" s="68"/>
      <c r="DB326" s="68"/>
      <c r="DC326" s="68"/>
      <c r="DD326" s="68"/>
      <c r="DE326" s="68"/>
      <c r="DF326" s="68"/>
      <c r="DG326" s="68"/>
      <c r="DH326" s="68"/>
      <c r="DI326" s="68"/>
      <c r="DJ326" s="68"/>
      <c r="DK326" s="68"/>
      <c r="DL326" s="68"/>
      <c r="DM326" s="68"/>
      <c r="DN326" s="68"/>
      <c r="DO326" s="68"/>
      <c r="DP326" s="68"/>
      <c r="DQ326" s="68"/>
      <c r="DR326" s="68"/>
      <c r="DS326" s="68"/>
      <c r="DT326" s="68"/>
      <c r="DU326" s="68"/>
      <c r="DV326" s="68"/>
      <c r="DW326" s="68"/>
      <c r="DX326" s="68"/>
      <c r="DY326" s="68"/>
      <c r="DZ326" s="68"/>
      <c r="EA326" s="68"/>
      <c r="EB326" s="68"/>
      <c r="EC326" s="68"/>
      <c r="ED326" s="68"/>
      <c r="EE326" s="68"/>
      <c r="EF326" s="68"/>
      <c r="EG326" s="68"/>
      <c r="EH326" s="68"/>
      <c r="EI326" s="68"/>
      <c r="EJ326" s="68"/>
      <c r="EK326" s="68"/>
      <c r="EL326" s="68"/>
      <c r="EM326" s="68"/>
      <c r="EN326" s="68"/>
      <c r="EO326" s="68"/>
      <c r="EP326" s="68"/>
    </row>
    <row r="327" spans="1:146" s="78" customFormat="1" ht="11.25">
      <c r="A327" s="87" t="str">
        <f t="shared" si="53"/>
        <v>All Riders</v>
      </c>
      <c r="B327" s="83"/>
      <c r="D327" s="116"/>
      <c r="E327" s="231"/>
      <c r="F327" s="231"/>
      <c r="G327" s="231"/>
      <c r="H327" s="231"/>
      <c r="I327" s="231"/>
      <c r="J327" s="231"/>
      <c r="K327" s="231"/>
      <c r="L327" s="231"/>
      <c r="M327" s="231"/>
      <c r="N327" s="231"/>
      <c r="O327" s="231"/>
      <c r="P327" s="90"/>
      <c r="Q327" s="71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  <c r="AO327" s="68"/>
      <c r="AP327" s="68"/>
      <c r="AQ327" s="68"/>
      <c r="AR327" s="68"/>
      <c r="AS327" s="68"/>
      <c r="AT327" s="68"/>
      <c r="AU327" s="68"/>
      <c r="AV327" s="68"/>
      <c r="AW327" s="68"/>
      <c r="AX327" s="68"/>
      <c r="AY327" s="68"/>
      <c r="AZ327" s="68"/>
      <c r="BA327" s="68"/>
      <c r="BB327" s="68"/>
      <c r="BC327" s="68"/>
      <c r="BD327" s="68"/>
      <c r="BE327" s="68"/>
      <c r="BF327" s="68"/>
      <c r="BG327" s="68"/>
      <c r="BH327" s="68"/>
      <c r="BI327" s="68"/>
      <c r="BJ327" s="68"/>
      <c r="BK327" s="68"/>
      <c r="BL327" s="68"/>
      <c r="BM327" s="68"/>
      <c r="BN327" s="68"/>
      <c r="BO327" s="68"/>
      <c r="BP327" s="68"/>
      <c r="BQ327" s="68"/>
      <c r="BR327" s="68"/>
      <c r="BS327" s="68"/>
      <c r="BT327" s="68"/>
      <c r="BU327" s="68"/>
      <c r="BV327" s="68"/>
      <c r="BW327" s="68"/>
      <c r="BX327" s="68"/>
      <c r="BY327" s="68"/>
      <c r="BZ327" s="68"/>
      <c r="CA327" s="68"/>
      <c r="CB327" s="68"/>
      <c r="CC327" s="68"/>
      <c r="CD327" s="68"/>
      <c r="CE327" s="68"/>
      <c r="CF327" s="68"/>
      <c r="CG327" s="68"/>
      <c r="CH327" s="68"/>
      <c r="CI327" s="68"/>
      <c r="CJ327" s="68"/>
      <c r="CK327" s="68"/>
      <c r="CL327" s="68"/>
      <c r="CM327" s="68"/>
      <c r="CN327" s="68"/>
      <c r="CO327" s="68"/>
      <c r="CP327" s="68"/>
      <c r="CQ327" s="68"/>
      <c r="CR327" s="68"/>
      <c r="CS327" s="68"/>
      <c r="CT327" s="68"/>
      <c r="CU327" s="68"/>
      <c r="CV327" s="68"/>
      <c r="CW327" s="68"/>
      <c r="CX327" s="68"/>
      <c r="CY327" s="68"/>
      <c r="CZ327" s="68"/>
      <c r="DA327" s="68"/>
      <c r="DB327" s="68"/>
      <c r="DC327" s="68"/>
      <c r="DD327" s="68"/>
      <c r="DE327" s="68"/>
      <c r="DF327" s="68"/>
      <c r="DG327" s="68"/>
      <c r="DH327" s="68"/>
      <c r="DI327" s="68"/>
      <c r="DJ327" s="68"/>
      <c r="DK327" s="68"/>
      <c r="DL327" s="68"/>
      <c r="DM327" s="68"/>
      <c r="DN327" s="68"/>
      <c r="DO327" s="68"/>
      <c r="DP327" s="68"/>
      <c r="DQ327" s="68"/>
      <c r="DR327" s="68"/>
      <c r="DS327" s="68"/>
      <c r="DT327" s="68"/>
      <c r="DU327" s="68"/>
      <c r="DV327" s="68"/>
      <c r="DW327" s="68"/>
      <c r="DX327" s="68"/>
      <c r="DY327" s="68"/>
      <c r="DZ327" s="68"/>
      <c r="EA327" s="68"/>
      <c r="EB327" s="68"/>
      <c r="EC327" s="68"/>
      <c r="ED327" s="68"/>
      <c r="EE327" s="68"/>
      <c r="EF327" s="68"/>
      <c r="EG327" s="68"/>
      <c r="EH327" s="68"/>
      <c r="EI327" s="68"/>
      <c r="EJ327" s="68"/>
      <c r="EK327" s="68"/>
      <c r="EL327" s="68"/>
      <c r="EM327" s="68"/>
      <c r="EN327" s="68"/>
      <c r="EO327" s="68"/>
      <c r="EP327" s="68"/>
    </row>
    <row r="328" spans="1:146" s="78" customFormat="1" ht="12" thickBot="1">
      <c r="A328" s="87" t="str">
        <f t="shared" si="53"/>
        <v xml:space="preserve">All RidersTOTAL </v>
      </c>
      <c r="B328" s="83">
        <v>15</v>
      </c>
      <c r="C328" s="147" t="s">
        <v>95</v>
      </c>
      <c r="D328" s="211"/>
      <c r="E328" s="117">
        <f t="shared" ref="E328:P328" si="78">+E326+E322</f>
        <v>58205441</v>
      </c>
      <c r="F328" s="117">
        <f t="shared" si="78"/>
        <v>51265409.399999999</v>
      </c>
      <c r="G328" s="117">
        <f t="shared" si="78"/>
        <v>56392773.930000007</v>
      </c>
      <c r="H328" s="117">
        <f t="shared" si="78"/>
        <v>58445664.210000001</v>
      </c>
      <c r="I328" s="117">
        <f t="shared" si="78"/>
        <v>54796417.909999996</v>
      </c>
      <c r="J328" s="117">
        <f t="shared" si="78"/>
        <v>44255830.350000001</v>
      </c>
      <c r="K328" s="117">
        <f t="shared" si="78"/>
        <v>42550577.990000002</v>
      </c>
      <c r="L328" s="117">
        <f t="shared" si="78"/>
        <v>44613705.920000002</v>
      </c>
      <c r="M328" s="117">
        <f t="shared" si="78"/>
        <v>51284561.819999993</v>
      </c>
      <c r="N328" s="117">
        <f t="shared" si="78"/>
        <v>60502434.670000002</v>
      </c>
      <c r="O328" s="117">
        <f t="shared" si="78"/>
        <v>60047022.600000001</v>
      </c>
      <c r="P328" s="117">
        <f t="shared" si="78"/>
        <v>77566542.650000006</v>
      </c>
      <c r="Q328" s="117">
        <f>+Q326+Q322</f>
        <v>659926382.45000005</v>
      </c>
      <c r="R328" s="12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  <c r="AN328" s="68"/>
      <c r="AO328" s="68"/>
      <c r="AP328" s="68"/>
      <c r="AQ328" s="68"/>
      <c r="AR328" s="68"/>
      <c r="AS328" s="68"/>
      <c r="AT328" s="68"/>
      <c r="AU328" s="68"/>
      <c r="AV328" s="68"/>
      <c r="AW328" s="68"/>
      <c r="AX328" s="68"/>
      <c r="AY328" s="68"/>
      <c r="AZ328" s="68"/>
      <c r="BA328" s="68"/>
      <c r="BB328" s="68"/>
      <c r="BC328" s="68"/>
      <c r="BD328" s="68"/>
      <c r="BE328" s="68"/>
      <c r="BF328" s="68"/>
      <c r="BG328" s="68"/>
      <c r="BH328" s="68"/>
      <c r="BI328" s="68"/>
      <c r="BJ328" s="68"/>
      <c r="BK328" s="68"/>
      <c r="BL328" s="68"/>
      <c r="BM328" s="68"/>
      <c r="BN328" s="68"/>
      <c r="BO328" s="68"/>
      <c r="BP328" s="68"/>
      <c r="BQ328" s="68"/>
      <c r="BR328" s="68"/>
      <c r="BS328" s="68"/>
      <c r="BT328" s="68"/>
      <c r="BU328" s="68"/>
      <c r="BV328" s="68"/>
      <c r="BW328" s="68"/>
      <c r="BX328" s="68"/>
      <c r="BY328" s="68"/>
      <c r="BZ328" s="68"/>
      <c r="CA328" s="68"/>
      <c r="CB328" s="68"/>
      <c r="CC328" s="68"/>
      <c r="CD328" s="68"/>
      <c r="CE328" s="68"/>
      <c r="CF328" s="68"/>
      <c r="CG328" s="68"/>
      <c r="CH328" s="68"/>
      <c r="CI328" s="68"/>
      <c r="CJ328" s="68"/>
      <c r="CK328" s="68"/>
      <c r="CL328" s="68"/>
      <c r="CM328" s="68"/>
      <c r="CN328" s="68"/>
      <c r="CO328" s="68"/>
      <c r="CP328" s="68"/>
      <c r="CQ328" s="68"/>
      <c r="CR328" s="68"/>
      <c r="CS328" s="68"/>
      <c r="CT328" s="68"/>
      <c r="CU328" s="68"/>
      <c r="CV328" s="68"/>
      <c r="CW328" s="68"/>
      <c r="CX328" s="68"/>
      <c r="CY328" s="68"/>
      <c r="CZ328" s="68"/>
      <c r="DA328" s="68"/>
      <c r="DB328" s="68"/>
      <c r="DC328" s="68"/>
      <c r="DD328" s="68"/>
      <c r="DE328" s="68"/>
      <c r="DF328" s="68"/>
      <c r="DG328" s="68"/>
      <c r="DH328" s="68"/>
      <c r="DI328" s="68"/>
      <c r="DJ328" s="68"/>
      <c r="DK328" s="68"/>
      <c r="DL328" s="68"/>
      <c r="DM328" s="68"/>
      <c r="DN328" s="68"/>
      <c r="DO328" s="68"/>
      <c r="DP328" s="68"/>
      <c r="DQ328" s="68"/>
      <c r="DR328" s="68"/>
      <c r="DS328" s="68"/>
      <c r="DT328" s="68"/>
      <c r="DU328" s="68"/>
      <c r="DV328" s="68"/>
      <c r="DW328" s="68"/>
      <c r="DX328" s="68"/>
      <c r="DY328" s="68"/>
      <c r="DZ328" s="68"/>
      <c r="EA328" s="68"/>
      <c r="EB328" s="68"/>
      <c r="EC328" s="68"/>
      <c r="ED328" s="68"/>
      <c r="EE328" s="68"/>
      <c r="EF328" s="68"/>
      <c r="EG328" s="68"/>
      <c r="EH328" s="68"/>
      <c r="EI328" s="68"/>
      <c r="EJ328" s="68"/>
      <c r="EK328" s="68"/>
      <c r="EL328" s="68"/>
      <c r="EM328" s="68"/>
      <c r="EN328" s="68"/>
      <c r="EO328" s="68"/>
      <c r="EP328" s="68"/>
    </row>
    <row r="329" spans="1:146" ht="13.5" thickTop="1"/>
    <row r="330" spans="1:146">
      <c r="A330" s="270"/>
      <c r="B330" s="271"/>
      <c r="C330" s="272" t="s">
        <v>299</v>
      </c>
      <c r="D330" s="273"/>
      <c r="E330" s="274"/>
      <c r="F330" s="275"/>
      <c r="G330" s="275"/>
      <c r="H330" s="276"/>
      <c r="I330" s="277"/>
      <c r="J330" s="277"/>
      <c r="K330" s="277"/>
      <c r="L330" s="277"/>
      <c r="M330" s="277"/>
      <c r="N330" s="277"/>
      <c r="O330" s="277"/>
      <c r="P330" s="233"/>
      <c r="Q330" s="278"/>
      <c r="R330" s="270"/>
    </row>
    <row r="331" spans="1:146">
      <c r="B331" s="214" t="s">
        <v>8</v>
      </c>
      <c r="C331" s="216" t="s">
        <v>0</v>
      </c>
      <c r="D331" s="216" t="s">
        <v>7</v>
      </c>
      <c r="E331" s="232" t="str">
        <f>E$12</f>
        <v>Oct-22</v>
      </c>
      <c r="F331" s="232" t="str">
        <f t="shared" ref="F331:P331" si="79">F$12</f>
        <v>Nov-22</v>
      </c>
      <c r="G331" s="232" t="str">
        <f t="shared" si="79"/>
        <v>Dec-22</v>
      </c>
      <c r="H331" s="232" t="str">
        <f t="shared" si="79"/>
        <v>Jan-23</v>
      </c>
      <c r="I331" s="232" t="str">
        <f t="shared" si="79"/>
        <v>Feb-23</v>
      </c>
      <c r="J331" s="232" t="str">
        <f t="shared" si="79"/>
        <v>Mar-23</v>
      </c>
      <c r="K331" s="232" t="str">
        <f t="shared" si="79"/>
        <v>Apr-23</v>
      </c>
      <c r="L331" s="232" t="str">
        <f t="shared" si="79"/>
        <v>May-23</v>
      </c>
      <c r="M331" s="232" t="str">
        <f t="shared" si="79"/>
        <v>Jun-23</v>
      </c>
      <c r="N331" s="232" t="str">
        <f t="shared" si="79"/>
        <v>Jul-23</v>
      </c>
      <c r="O331" s="232" t="str">
        <f t="shared" si="79"/>
        <v>Aug-23</v>
      </c>
      <c r="P331" s="232" t="str">
        <f t="shared" si="79"/>
        <v>Sep-23</v>
      </c>
      <c r="Q331" s="110" t="s">
        <v>2</v>
      </c>
    </row>
    <row r="332" spans="1:146">
      <c r="B332" s="87"/>
      <c r="C332" s="216"/>
      <c r="D332" s="216"/>
      <c r="E332" s="232"/>
      <c r="F332" s="232"/>
      <c r="G332" s="232"/>
      <c r="H332" s="232"/>
      <c r="I332" s="232"/>
      <c r="J332" s="232"/>
      <c r="K332" s="232"/>
      <c r="L332" s="232"/>
      <c r="M332" s="232"/>
      <c r="N332" s="232"/>
      <c r="O332" s="232"/>
      <c r="P332" s="227"/>
      <c r="Q332" s="110"/>
    </row>
    <row r="333" spans="1:146">
      <c r="B333" s="83" t="s">
        <v>9</v>
      </c>
      <c r="C333" s="78" t="s">
        <v>17</v>
      </c>
      <c r="D333" s="85" t="s">
        <v>4</v>
      </c>
      <c r="E333" s="124">
        <v>3113799.5</v>
      </c>
      <c r="F333" s="124">
        <v>3118423.36</v>
      </c>
      <c r="G333" s="124">
        <v>3121570.9</v>
      </c>
      <c r="H333" s="124">
        <v>3128611.1900000004</v>
      </c>
      <c r="I333" s="124">
        <v>3132885.44</v>
      </c>
      <c r="J333" s="124">
        <v>3130774.72</v>
      </c>
      <c r="K333" s="124">
        <v>3140601.06</v>
      </c>
      <c r="L333" s="124">
        <v>3138706.48</v>
      </c>
      <c r="M333" s="124">
        <v>3142215.35</v>
      </c>
      <c r="N333" s="124">
        <v>3150032.4400000004</v>
      </c>
      <c r="O333" s="124">
        <v>3148742.6799999997</v>
      </c>
      <c r="P333" s="124">
        <v>3156113.24</v>
      </c>
      <c r="Q333" s="90">
        <f>SUM(E333:P333)</f>
        <v>37622476.360000007</v>
      </c>
    </row>
    <row r="334" spans="1:146">
      <c r="B334" s="78"/>
      <c r="C334" s="78"/>
      <c r="D334" s="85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93"/>
    </row>
    <row r="335" spans="1:146">
      <c r="B335" s="83">
        <v>2</v>
      </c>
      <c r="C335" s="78" t="s">
        <v>150</v>
      </c>
      <c r="D335" s="85" t="s">
        <v>4</v>
      </c>
      <c r="E335" s="124">
        <v>423774.98</v>
      </c>
      <c r="F335" s="124">
        <v>424627.17999999993</v>
      </c>
      <c r="G335" s="124">
        <v>424007.69999999995</v>
      </c>
      <c r="H335" s="124">
        <v>419483.67000000004</v>
      </c>
      <c r="I335" s="124">
        <v>416912.09999999992</v>
      </c>
      <c r="J335" s="124">
        <v>417722.20999999996</v>
      </c>
      <c r="K335" s="124">
        <v>420072.34</v>
      </c>
      <c r="L335" s="124">
        <v>421646.45</v>
      </c>
      <c r="M335" s="124">
        <v>422637.19</v>
      </c>
      <c r="N335" s="124">
        <v>422875.08</v>
      </c>
      <c r="O335" s="124">
        <v>423383.15</v>
      </c>
      <c r="P335" s="124">
        <v>424121.59</v>
      </c>
      <c r="Q335" s="93">
        <f>SUM(E335:P335)</f>
        <v>5061263.6399999997</v>
      </c>
    </row>
    <row r="336" spans="1:146">
      <c r="B336" s="83"/>
      <c r="C336" s="78"/>
      <c r="D336" s="85"/>
      <c r="E336" s="124"/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93"/>
    </row>
    <row r="337" spans="2:17">
      <c r="B337" s="83">
        <v>3</v>
      </c>
      <c r="C337" s="87" t="s">
        <v>81</v>
      </c>
      <c r="D337" s="74" t="s">
        <v>4</v>
      </c>
      <c r="E337" s="124">
        <v>896576.87000000011</v>
      </c>
      <c r="F337" s="124">
        <v>894861.81</v>
      </c>
      <c r="G337" s="124">
        <v>895836.32</v>
      </c>
      <c r="H337" s="124">
        <v>910632.30999999994</v>
      </c>
      <c r="I337" s="124">
        <v>915574.62999999989</v>
      </c>
      <c r="J337" s="124">
        <v>915885.77</v>
      </c>
      <c r="K337" s="124">
        <v>908275.24000000011</v>
      </c>
      <c r="L337" s="124">
        <v>906431.72999999986</v>
      </c>
      <c r="M337" s="124">
        <v>905955.60999999987</v>
      </c>
      <c r="N337" s="124">
        <v>906188.72000000009</v>
      </c>
      <c r="O337" s="124">
        <v>908921.83000000007</v>
      </c>
      <c r="P337" s="124">
        <v>909651.94</v>
      </c>
      <c r="Q337" s="93">
        <f>SUM(E337:P337)</f>
        <v>10874792.779999999</v>
      </c>
    </row>
    <row r="338" spans="2:17">
      <c r="B338" s="83">
        <v>4</v>
      </c>
      <c r="C338" s="87" t="s">
        <v>85</v>
      </c>
      <c r="D338" s="74" t="s">
        <v>4</v>
      </c>
      <c r="E338" s="149">
        <v>7057.1900000000005</v>
      </c>
      <c r="F338" s="149">
        <v>7168.869999999999</v>
      </c>
      <c r="G338" s="149">
        <v>7158.8999999999987</v>
      </c>
      <c r="H338" s="149">
        <v>7165.9399999999987</v>
      </c>
      <c r="I338" s="149">
        <v>7174.2799999999988</v>
      </c>
      <c r="J338" s="149">
        <v>7259.1699999999992</v>
      </c>
      <c r="K338" s="149">
        <v>7148.4899999999989</v>
      </c>
      <c r="L338" s="149">
        <v>7239.3899999999994</v>
      </c>
      <c r="M338" s="149">
        <v>7244.6599999999989</v>
      </c>
      <c r="N338" s="149">
        <v>7340.13</v>
      </c>
      <c r="O338" s="149">
        <v>7273.2999999999993</v>
      </c>
      <c r="P338" s="149">
        <v>7311.97</v>
      </c>
      <c r="Q338" s="72">
        <f>SUM(E338:P338)</f>
        <v>86542.29</v>
      </c>
    </row>
    <row r="339" spans="2:17">
      <c r="B339" s="83">
        <v>5</v>
      </c>
      <c r="C339" s="96" t="s">
        <v>18</v>
      </c>
      <c r="D339" s="85"/>
      <c r="E339" s="231">
        <f>SUM(E337:E338)</f>
        <v>903634.06</v>
      </c>
      <c r="F339" s="231">
        <f t="shared" ref="F339:P339" si="80">SUM(F337:F338)</f>
        <v>902030.68</v>
      </c>
      <c r="G339" s="231">
        <f t="shared" si="80"/>
        <v>902995.22</v>
      </c>
      <c r="H339" s="231">
        <f t="shared" si="80"/>
        <v>917798.24999999988</v>
      </c>
      <c r="I339" s="231">
        <f t="shared" si="80"/>
        <v>922748.90999999992</v>
      </c>
      <c r="J339" s="231">
        <f t="shared" si="80"/>
        <v>923144.94000000006</v>
      </c>
      <c r="K339" s="231">
        <f t="shared" si="80"/>
        <v>915423.7300000001</v>
      </c>
      <c r="L339" s="231">
        <f t="shared" si="80"/>
        <v>913671.11999999988</v>
      </c>
      <c r="M339" s="231">
        <f t="shared" si="80"/>
        <v>913200.2699999999</v>
      </c>
      <c r="N339" s="231">
        <f t="shared" si="80"/>
        <v>913528.85000000009</v>
      </c>
      <c r="O339" s="231">
        <f t="shared" si="80"/>
        <v>916195.13000000012</v>
      </c>
      <c r="P339" s="231">
        <f t="shared" si="80"/>
        <v>916963.90999999992</v>
      </c>
      <c r="Q339" s="94">
        <f>SUM(Q337:Q338)</f>
        <v>10961335.069999998</v>
      </c>
    </row>
    <row r="340" spans="2:17">
      <c r="B340" s="78"/>
      <c r="C340" s="146"/>
      <c r="D340" s="85"/>
      <c r="E340" s="231"/>
      <c r="F340" s="231"/>
      <c r="G340" s="231"/>
      <c r="H340" s="231"/>
      <c r="I340" s="231"/>
      <c r="J340" s="231"/>
      <c r="K340" s="231"/>
      <c r="L340" s="231"/>
      <c r="M340" s="231"/>
      <c r="N340" s="231"/>
      <c r="O340" s="231"/>
      <c r="P340" s="90"/>
      <c r="Q340" s="71"/>
    </row>
    <row r="341" spans="2:17">
      <c r="B341" s="83">
        <v>6</v>
      </c>
      <c r="C341" s="87" t="s">
        <v>82</v>
      </c>
      <c r="D341" s="74" t="s">
        <v>5</v>
      </c>
      <c r="E341" s="124">
        <v>70894.09</v>
      </c>
      <c r="F341" s="124">
        <v>71037.119999999995</v>
      </c>
      <c r="G341" s="124">
        <v>71020.159999999989</v>
      </c>
      <c r="H341" s="124">
        <v>71168.209999999992</v>
      </c>
      <c r="I341" s="124">
        <v>70914.759999999995</v>
      </c>
      <c r="J341" s="124">
        <v>70958.28</v>
      </c>
      <c r="K341" s="124">
        <v>70984.28</v>
      </c>
      <c r="L341" s="124">
        <v>71171.8</v>
      </c>
      <c r="M341" s="124">
        <v>70792.759999999995</v>
      </c>
      <c r="N341" s="124">
        <v>70524.819999999992</v>
      </c>
      <c r="O341" s="124">
        <v>70693.440000000002</v>
      </c>
      <c r="P341" s="124">
        <v>71176.160000000003</v>
      </c>
      <c r="Q341" s="93">
        <f>SUM(E341:P341)</f>
        <v>851335.88</v>
      </c>
    </row>
    <row r="342" spans="2:17">
      <c r="B342" s="83">
        <v>7</v>
      </c>
      <c r="C342" s="87" t="s">
        <v>83</v>
      </c>
      <c r="D342" s="74" t="s">
        <v>5</v>
      </c>
      <c r="E342" s="124">
        <v>65005.78</v>
      </c>
      <c r="F342" s="124">
        <v>67835.570000000007</v>
      </c>
      <c r="G342" s="124">
        <v>67340.72</v>
      </c>
      <c r="H342" s="124">
        <v>67469.87</v>
      </c>
      <c r="I342" s="124">
        <v>68450.930000000008</v>
      </c>
      <c r="J342" s="124">
        <v>67724.789999999994</v>
      </c>
      <c r="K342" s="124">
        <v>66688.600000000006</v>
      </c>
      <c r="L342" s="124">
        <v>68675.98</v>
      </c>
      <c r="M342" s="124">
        <v>67429.919999999998</v>
      </c>
      <c r="N342" s="124">
        <v>67139.67</v>
      </c>
      <c r="O342" s="124">
        <v>68305.240000000005</v>
      </c>
      <c r="P342" s="124">
        <v>66606.75</v>
      </c>
      <c r="Q342" s="103">
        <f>SUM(E342:P342)</f>
        <v>808673.82000000007</v>
      </c>
    </row>
    <row r="343" spans="2:17">
      <c r="B343" s="83">
        <v>8</v>
      </c>
      <c r="C343" s="87" t="s">
        <v>148</v>
      </c>
      <c r="D343" s="74" t="s">
        <v>5</v>
      </c>
      <c r="E343" s="124"/>
      <c r="F343" s="124"/>
      <c r="G343" s="124"/>
      <c r="H343" s="124"/>
      <c r="I343" s="124"/>
      <c r="J343" s="124"/>
      <c r="K343" s="124"/>
      <c r="L343" s="124"/>
      <c r="M343" s="124"/>
      <c r="N343" s="124"/>
      <c r="O343" s="124"/>
      <c r="P343" s="124"/>
      <c r="Q343" s="103"/>
    </row>
    <row r="344" spans="2:17">
      <c r="B344" s="83">
        <v>9</v>
      </c>
      <c r="C344" s="87" t="s">
        <v>149</v>
      </c>
      <c r="D344" s="74" t="s">
        <v>5</v>
      </c>
      <c r="E344" s="124"/>
      <c r="F344" s="124"/>
      <c r="G344" s="124"/>
      <c r="H344" s="124"/>
      <c r="I344" s="124"/>
      <c r="J344" s="124"/>
      <c r="K344" s="124"/>
      <c r="L344" s="124"/>
      <c r="M344" s="124"/>
      <c r="N344" s="124"/>
      <c r="O344" s="124"/>
      <c r="P344" s="124"/>
      <c r="Q344" s="103"/>
    </row>
    <row r="345" spans="2:17">
      <c r="B345" s="83">
        <v>10</v>
      </c>
      <c r="C345" s="78" t="s">
        <v>19</v>
      </c>
      <c r="D345" s="74"/>
      <c r="E345" s="233">
        <f>SUM(E341:E344)</f>
        <v>135899.87</v>
      </c>
      <c r="F345" s="233">
        <f t="shared" ref="F345:Q345" si="81">SUM(F341:F344)</f>
        <v>138872.69</v>
      </c>
      <c r="G345" s="233">
        <f t="shared" si="81"/>
        <v>138360.88</v>
      </c>
      <c r="H345" s="233">
        <f t="shared" si="81"/>
        <v>138638.07999999999</v>
      </c>
      <c r="I345" s="233">
        <f t="shared" si="81"/>
        <v>139365.69</v>
      </c>
      <c r="J345" s="233">
        <f t="shared" si="81"/>
        <v>138683.07</v>
      </c>
      <c r="K345" s="233">
        <f t="shared" si="81"/>
        <v>137672.88</v>
      </c>
      <c r="L345" s="233">
        <f t="shared" si="81"/>
        <v>139847.78</v>
      </c>
      <c r="M345" s="233">
        <f t="shared" si="81"/>
        <v>138222.68</v>
      </c>
      <c r="N345" s="233">
        <f t="shared" si="81"/>
        <v>137664.49</v>
      </c>
      <c r="O345" s="233">
        <f t="shared" si="81"/>
        <v>138998.68</v>
      </c>
      <c r="P345" s="233">
        <f t="shared" si="81"/>
        <v>137782.91</v>
      </c>
      <c r="Q345" s="218">
        <f t="shared" si="81"/>
        <v>1660009.7000000002</v>
      </c>
    </row>
    <row r="346" spans="2:17">
      <c r="B346" s="83"/>
      <c r="C346" s="78"/>
      <c r="D346" s="74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3"/>
    </row>
    <row r="347" spans="2:17">
      <c r="B347" s="83">
        <v>11</v>
      </c>
      <c r="C347" s="96" t="s">
        <v>86</v>
      </c>
      <c r="D347" s="74" t="s">
        <v>6</v>
      </c>
      <c r="E347" s="90">
        <v>88746.2</v>
      </c>
      <c r="F347" s="90">
        <v>90318.55</v>
      </c>
      <c r="G347" s="90">
        <v>94633.66</v>
      </c>
      <c r="H347" s="90">
        <v>93040.07</v>
      </c>
      <c r="I347" s="90">
        <v>91217.26999999999</v>
      </c>
      <c r="J347" s="90">
        <v>97655.83</v>
      </c>
      <c r="K347" s="90">
        <v>91176.91</v>
      </c>
      <c r="L347" s="90">
        <v>97753.83</v>
      </c>
      <c r="M347" s="90">
        <v>93062.23000000001</v>
      </c>
      <c r="N347" s="90">
        <v>100281.7</v>
      </c>
      <c r="O347" s="90">
        <v>97306.989999999991</v>
      </c>
      <c r="P347" s="90">
        <v>90163.42</v>
      </c>
      <c r="Q347" s="93">
        <f>SUM(E347:P347)</f>
        <v>1125356.6599999999</v>
      </c>
    </row>
    <row r="348" spans="2:17">
      <c r="B348" s="78"/>
      <c r="C348" s="78"/>
      <c r="D348" s="85"/>
      <c r="E348" s="231"/>
      <c r="F348" s="231"/>
      <c r="G348" s="231"/>
      <c r="H348" s="231"/>
      <c r="I348" s="231"/>
      <c r="J348" s="231"/>
      <c r="K348" s="231"/>
      <c r="L348" s="231"/>
      <c r="M348" s="231"/>
      <c r="N348" s="231"/>
      <c r="O348" s="231"/>
      <c r="P348" s="231"/>
      <c r="Q348" s="71"/>
    </row>
    <row r="349" spans="2:17">
      <c r="B349" s="83">
        <v>12</v>
      </c>
      <c r="C349" s="68" t="s">
        <v>21</v>
      </c>
      <c r="D349" s="74" t="s">
        <v>4</v>
      </c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3">
        <f>SUM(E349:P349)</f>
        <v>0</v>
      </c>
    </row>
    <row r="350" spans="2:17">
      <c r="B350" s="83"/>
      <c r="C350" s="78"/>
      <c r="D350" s="85"/>
      <c r="E350" s="231"/>
      <c r="F350" s="231"/>
      <c r="G350" s="231"/>
      <c r="H350" s="231"/>
      <c r="I350" s="231"/>
      <c r="J350" s="231"/>
      <c r="K350" s="231"/>
      <c r="L350" s="231"/>
      <c r="M350" s="231"/>
      <c r="N350" s="231"/>
      <c r="O350" s="231"/>
      <c r="P350" s="90"/>
      <c r="Q350" s="71"/>
    </row>
    <row r="351" spans="2:17">
      <c r="B351" s="83">
        <v>13</v>
      </c>
      <c r="C351" s="114" t="s">
        <v>22</v>
      </c>
      <c r="D351" s="215"/>
      <c r="E351" s="234">
        <f>E349+E347+E345+E339+E335+E333</f>
        <v>4665854.6100000003</v>
      </c>
      <c r="F351" s="234">
        <f t="shared" ref="F351:P351" si="82">F349+F347+F345+F339+F335+F333</f>
        <v>4674272.46</v>
      </c>
      <c r="G351" s="234">
        <f t="shared" si="82"/>
        <v>4681568.3599999994</v>
      </c>
      <c r="H351" s="234">
        <f t="shared" si="82"/>
        <v>4697571.26</v>
      </c>
      <c r="I351" s="234">
        <f t="shared" si="82"/>
        <v>4703129.41</v>
      </c>
      <c r="J351" s="234">
        <f t="shared" si="82"/>
        <v>4707980.7700000005</v>
      </c>
      <c r="K351" s="234">
        <f t="shared" si="82"/>
        <v>4704946.92</v>
      </c>
      <c r="L351" s="234">
        <f t="shared" si="82"/>
        <v>4711625.66</v>
      </c>
      <c r="M351" s="234">
        <f t="shared" si="82"/>
        <v>4709337.72</v>
      </c>
      <c r="N351" s="234">
        <f t="shared" si="82"/>
        <v>4724382.5600000005</v>
      </c>
      <c r="O351" s="234">
        <f t="shared" si="82"/>
        <v>4724626.63</v>
      </c>
      <c r="P351" s="234">
        <f t="shared" si="82"/>
        <v>4725145.07</v>
      </c>
      <c r="Q351" s="115">
        <f>Q349+Q347+Q345+Q339+Q335+Q333</f>
        <v>56430441.430000007</v>
      </c>
    </row>
    <row r="352" spans="2:17">
      <c r="B352" s="78"/>
      <c r="C352" s="215"/>
      <c r="D352" s="215"/>
      <c r="E352" s="231"/>
      <c r="F352" s="231"/>
      <c r="G352" s="231"/>
      <c r="H352" s="231"/>
      <c r="I352" s="231"/>
      <c r="J352" s="231"/>
      <c r="K352" s="231"/>
      <c r="L352" s="231"/>
      <c r="M352" s="231"/>
      <c r="N352" s="231"/>
      <c r="O352" s="231"/>
      <c r="P352" s="90"/>
      <c r="Q352" s="93"/>
    </row>
    <row r="353" spans="2:17">
      <c r="B353" s="83">
        <v>12</v>
      </c>
      <c r="C353" s="89"/>
      <c r="D353" s="74"/>
      <c r="E353" s="124"/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03"/>
    </row>
    <row r="354" spans="2:17">
      <c r="B354" s="83">
        <v>13</v>
      </c>
      <c r="C354" s="89"/>
      <c r="D354" s="74"/>
      <c r="E354" s="12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03"/>
    </row>
    <row r="355" spans="2:17">
      <c r="B355" s="83">
        <v>14</v>
      </c>
      <c r="C355" s="114"/>
      <c r="D355" s="215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24"/>
      <c r="Q355" s="103"/>
    </row>
    <row r="356" spans="2:17">
      <c r="B356" s="83"/>
      <c r="C356" s="78"/>
      <c r="D356" s="116"/>
      <c r="E356" s="231"/>
      <c r="F356" s="231"/>
      <c r="G356" s="231"/>
      <c r="H356" s="231"/>
      <c r="I356" s="231"/>
      <c r="J356" s="231"/>
      <c r="K356" s="231"/>
      <c r="L356" s="231"/>
      <c r="M356" s="231"/>
      <c r="N356" s="231"/>
      <c r="O356" s="231"/>
      <c r="P356" s="90"/>
      <c r="Q356" s="71"/>
    </row>
    <row r="357" spans="2:17" ht="13.5" thickBot="1">
      <c r="B357" s="83">
        <v>15</v>
      </c>
      <c r="C357" s="147" t="s">
        <v>95</v>
      </c>
      <c r="D357" s="214"/>
      <c r="E357" s="117">
        <f t="shared" ref="E357:Q357" si="83">+E355+E351</f>
        <v>4665854.6100000003</v>
      </c>
      <c r="F357" s="117">
        <f t="shared" si="83"/>
        <v>4674272.46</v>
      </c>
      <c r="G357" s="117">
        <f t="shared" si="83"/>
        <v>4681568.3599999994</v>
      </c>
      <c r="H357" s="117">
        <f t="shared" si="83"/>
        <v>4697571.26</v>
      </c>
      <c r="I357" s="117">
        <f t="shared" si="83"/>
        <v>4703129.41</v>
      </c>
      <c r="J357" s="117">
        <f t="shared" si="83"/>
        <v>4707980.7700000005</v>
      </c>
      <c r="K357" s="117">
        <f t="shared" si="83"/>
        <v>4704946.92</v>
      </c>
      <c r="L357" s="117">
        <f t="shared" si="83"/>
        <v>4711625.66</v>
      </c>
      <c r="M357" s="117">
        <f t="shared" si="83"/>
        <v>4709337.72</v>
      </c>
      <c r="N357" s="117">
        <f t="shared" si="83"/>
        <v>4724382.5600000005</v>
      </c>
      <c r="O357" s="117">
        <f t="shared" si="83"/>
        <v>4724626.63</v>
      </c>
      <c r="P357" s="117">
        <f t="shared" si="83"/>
        <v>4725145.07</v>
      </c>
      <c r="Q357" s="117">
        <f t="shared" si="83"/>
        <v>56430441.430000007</v>
      </c>
    </row>
    <row r="358" spans="2:17" ht="13.5" thickTop="1"/>
  </sheetData>
  <mergeCells count="3">
    <mergeCell ref="C7:P7"/>
    <mergeCell ref="C8:P8"/>
    <mergeCell ref="C9:P9"/>
  </mergeCells>
  <pageMargins left="0.7" right="0.7" top="0.75" bottom="0.75" header="0.3" footer="0.3"/>
  <pageSetup scale="56" orientation="portrait" r:id="rId1"/>
  <headerFooter>
    <oddHeader>&amp;RDocket No 56165
Schedule H
&amp;A
Page &amp;P of &amp;N</oddHeader>
  </headerFooter>
  <rowBreaks count="9" manualBreakCount="9">
    <brk id="39" max="16383" man="1"/>
    <brk id="68" min="1" max="16" man="1"/>
    <brk id="97" min="1" max="16" man="1"/>
    <brk id="126" min="1" max="16" man="1"/>
    <brk id="155" min="1" max="16" man="1"/>
    <brk id="183" min="1" max="16" man="1"/>
    <brk id="241" min="1" max="16" man="1"/>
    <brk id="300" min="1" max="16" man="1"/>
    <brk id="329" min="1" max="16" man="1"/>
  </rowBreaks>
  <colBreaks count="1" manualBreakCount="1">
    <brk id="17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B5A9A-DD0A-4979-81F9-FF14E181238A}">
  <dimension ref="A1:OL79"/>
  <sheetViews>
    <sheetView zoomScaleNormal="100" zoomScaleSheetLayoutView="25" workbookViewId="0">
      <pane xSplit="40" ySplit="2" topLeftCell="AO3" activePane="bottomRight" state="frozen"/>
      <selection activeCell="U32" sqref="U32"/>
      <selection pane="topRight" activeCell="U32" sqref="U32"/>
      <selection pane="bottomLeft" activeCell="U32" sqref="U32"/>
      <selection pane="bottomRight" activeCell="AO1" sqref="AO1"/>
    </sheetView>
  </sheetViews>
  <sheetFormatPr defaultColWidth="9.140625" defaultRowHeight="12.75" customHeight="1"/>
  <cols>
    <col min="1" max="2" width="18.85546875" style="283" bestFit="1" customWidth="1"/>
    <col min="3" max="3" width="32.7109375" style="283" bestFit="1" customWidth="1"/>
    <col min="4" max="4" width="18.85546875" style="283" bestFit="1" customWidth="1"/>
    <col min="5" max="40" width="8.7109375" style="283" hidden="1" customWidth="1"/>
    <col min="41" max="41" width="10.5703125" style="283" customWidth="1"/>
    <col min="42" max="42" width="10.7109375" style="283" customWidth="1"/>
    <col min="43" max="52" width="10" style="283" bestFit="1" customWidth="1"/>
    <col min="53" max="112" width="8.7109375" style="283" hidden="1" customWidth="1"/>
    <col min="113" max="117" width="8.7109375" style="283" bestFit="1" customWidth="1"/>
    <col min="118" max="118" width="8.28515625" style="283" bestFit="1" customWidth="1"/>
    <col min="119" max="136" width="8.7109375" style="283" bestFit="1" customWidth="1"/>
    <col min="137" max="184" width="8.7109375" style="283" hidden="1" customWidth="1"/>
    <col min="185" max="187" width="10" style="283" bestFit="1" customWidth="1"/>
    <col min="188" max="193" width="11.28515625" style="283" bestFit="1" customWidth="1"/>
    <col min="194" max="195" width="10" style="283" bestFit="1" customWidth="1"/>
    <col min="196" max="196" width="11.28515625" style="283" bestFit="1" customWidth="1"/>
    <col min="197" max="207" width="10" style="283" bestFit="1" customWidth="1"/>
    <col min="208" max="220" width="8.7109375" style="283" bestFit="1" customWidth="1"/>
    <col min="221" max="268" width="8.7109375" style="283" hidden="1" customWidth="1"/>
    <col min="269" max="281" width="8.7109375" style="283" bestFit="1" customWidth="1"/>
    <col min="282" max="353" width="8.7109375" style="283" hidden="1" customWidth="1"/>
    <col min="354" max="365" width="8.7109375" style="283" bestFit="1" customWidth="1"/>
    <col min="366" max="401" width="8.7109375" style="283" hidden="1" customWidth="1"/>
    <col min="402" max="402" width="10.42578125" style="283" bestFit="1" customWidth="1"/>
    <col min="403" max="16384" width="9.140625" style="283"/>
  </cols>
  <sheetData>
    <row r="1" spans="1:402" ht="12.75" customHeight="1" thickBot="1">
      <c r="A1" s="319" t="s">
        <v>368</v>
      </c>
      <c r="B1" s="319"/>
      <c r="C1" s="319"/>
      <c r="D1" s="319"/>
      <c r="E1" s="320" t="s">
        <v>369</v>
      </c>
      <c r="F1" s="320" t="s">
        <v>369</v>
      </c>
      <c r="G1" s="320" t="s">
        <v>369</v>
      </c>
      <c r="H1" s="320" t="s">
        <v>369</v>
      </c>
      <c r="I1" s="320" t="s">
        <v>369</v>
      </c>
      <c r="J1" s="320" t="s">
        <v>369</v>
      </c>
      <c r="K1" s="320" t="s">
        <v>369</v>
      </c>
      <c r="L1" s="320" t="s">
        <v>369</v>
      </c>
      <c r="M1" s="320" t="s">
        <v>369</v>
      </c>
      <c r="N1" s="320" t="s">
        <v>369</v>
      </c>
      <c r="O1" s="320" t="s">
        <v>369</v>
      </c>
      <c r="P1" s="320" t="s">
        <v>369</v>
      </c>
      <c r="Q1" s="320" t="s">
        <v>370</v>
      </c>
      <c r="R1" s="320" t="s">
        <v>370</v>
      </c>
      <c r="S1" s="320" t="s">
        <v>370</v>
      </c>
      <c r="T1" s="320" t="s">
        <v>370</v>
      </c>
      <c r="U1" s="320" t="s">
        <v>370</v>
      </c>
      <c r="V1" s="320" t="s">
        <v>370</v>
      </c>
      <c r="W1" s="320" t="s">
        <v>370</v>
      </c>
      <c r="X1" s="320" t="s">
        <v>370</v>
      </c>
      <c r="Y1" s="320" t="s">
        <v>370</v>
      </c>
      <c r="Z1" s="320" t="s">
        <v>370</v>
      </c>
      <c r="AA1" s="320" t="s">
        <v>370</v>
      </c>
      <c r="AB1" s="320" t="s">
        <v>370</v>
      </c>
      <c r="AC1" s="320" t="s">
        <v>371</v>
      </c>
      <c r="AD1" s="320" t="s">
        <v>371</v>
      </c>
      <c r="AE1" s="320" t="s">
        <v>371</v>
      </c>
      <c r="AF1" s="320" t="s">
        <v>371</v>
      </c>
      <c r="AG1" s="320" t="s">
        <v>371</v>
      </c>
      <c r="AH1" s="320" t="s">
        <v>371</v>
      </c>
      <c r="AI1" s="320" t="s">
        <v>371</v>
      </c>
      <c r="AJ1" s="320" t="s">
        <v>371</v>
      </c>
      <c r="AK1" s="320" t="s">
        <v>371</v>
      </c>
      <c r="AL1" s="320" t="s">
        <v>371</v>
      </c>
      <c r="AM1" s="320" t="s">
        <v>371</v>
      </c>
      <c r="AN1" s="320" t="s">
        <v>371</v>
      </c>
      <c r="AO1" s="321" t="s">
        <v>372</v>
      </c>
      <c r="AP1" s="321" t="s">
        <v>372</v>
      </c>
      <c r="AQ1" s="321" t="s">
        <v>372</v>
      </c>
      <c r="AR1" s="321" t="s">
        <v>372</v>
      </c>
      <c r="AS1" s="321" t="s">
        <v>372</v>
      </c>
      <c r="AT1" s="321" t="s">
        <v>372</v>
      </c>
      <c r="AU1" s="321" t="s">
        <v>372</v>
      </c>
      <c r="AV1" s="321" t="s">
        <v>372</v>
      </c>
      <c r="AW1" s="321" t="s">
        <v>372</v>
      </c>
      <c r="AX1" s="321" t="s">
        <v>372</v>
      </c>
      <c r="AY1" s="321" t="s">
        <v>372</v>
      </c>
      <c r="AZ1" s="321" t="s">
        <v>372</v>
      </c>
      <c r="BA1" s="320" t="s">
        <v>373</v>
      </c>
      <c r="BB1" s="320" t="s">
        <v>373</v>
      </c>
      <c r="BC1" s="320" t="s">
        <v>373</v>
      </c>
      <c r="BD1" s="320" t="s">
        <v>373</v>
      </c>
      <c r="BE1" s="320" t="s">
        <v>373</v>
      </c>
      <c r="BF1" s="320" t="s">
        <v>373</v>
      </c>
      <c r="BG1" s="320" t="s">
        <v>373</v>
      </c>
      <c r="BH1" s="320" t="s">
        <v>373</v>
      </c>
      <c r="BI1" s="320" t="s">
        <v>373</v>
      </c>
      <c r="BJ1" s="320" t="s">
        <v>373</v>
      </c>
      <c r="BK1" s="320" t="s">
        <v>373</v>
      </c>
      <c r="BL1" s="320" t="s">
        <v>373</v>
      </c>
      <c r="BM1" s="320" t="s">
        <v>374</v>
      </c>
      <c r="BN1" s="320" t="s">
        <v>374</v>
      </c>
      <c r="BO1" s="320" t="s">
        <v>374</v>
      </c>
      <c r="BP1" s="320" t="s">
        <v>374</v>
      </c>
      <c r="BQ1" s="320" t="s">
        <v>374</v>
      </c>
      <c r="BR1" s="320" t="s">
        <v>374</v>
      </c>
      <c r="BS1" s="320" t="s">
        <v>374</v>
      </c>
      <c r="BT1" s="320" t="s">
        <v>374</v>
      </c>
      <c r="BU1" s="320" t="s">
        <v>374</v>
      </c>
      <c r="BV1" s="320" t="s">
        <v>374</v>
      </c>
      <c r="BW1" s="320" t="s">
        <v>374</v>
      </c>
      <c r="BX1" s="320" t="s">
        <v>374</v>
      </c>
      <c r="BY1" s="320" t="s">
        <v>375</v>
      </c>
      <c r="BZ1" s="320" t="s">
        <v>375</v>
      </c>
      <c r="CA1" s="320" t="s">
        <v>375</v>
      </c>
      <c r="CB1" s="320" t="s">
        <v>375</v>
      </c>
      <c r="CC1" s="320" t="s">
        <v>375</v>
      </c>
      <c r="CD1" s="320" t="s">
        <v>375</v>
      </c>
      <c r="CE1" s="320" t="s">
        <v>375</v>
      </c>
      <c r="CF1" s="320" t="s">
        <v>375</v>
      </c>
      <c r="CG1" s="320" t="s">
        <v>375</v>
      </c>
      <c r="CH1" s="320" t="s">
        <v>375</v>
      </c>
      <c r="CI1" s="320" t="s">
        <v>375</v>
      </c>
      <c r="CJ1" s="320" t="s">
        <v>375</v>
      </c>
      <c r="CK1" s="320" t="s">
        <v>376</v>
      </c>
      <c r="CL1" s="320" t="s">
        <v>376</v>
      </c>
      <c r="CM1" s="320" t="s">
        <v>376</v>
      </c>
      <c r="CN1" s="320" t="s">
        <v>376</v>
      </c>
      <c r="CO1" s="320" t="s">
        <v>376</v>
      </c>
      <c r="CP1" s="320" t="s">
        <v>376</v>
      </c>
      <c r="CQ1" s="320" t="s">
        <v>376</v>
      </c>
      <c r="CR1" s="320" t="s">
        <v>376</v>
      </c>
      <c r="CS1" s="320" t="s">
        <v>376</v>
      </c>
      <c r="CT1" s="320" t="s">
        <v>376</v>
      </c>
      <c r="CU1" s="320" t="s">
        <v>376</v>
      </c>
      <c r="CV1" s="320" t="s">
        <v>376</v>
      </c>
      <c r="CW1" s="320" t="s">
        <v>377</v>
      </c>
      <c r="CX1" s="320" t="s">
        <v>377</v>
      </c>
      <c r="CY1" s="320" t="s">
        <v>377</v>
      </c>
      <c r="CZ1" s="320" t="s">
        <v>377</v>
      </c>
      <c r="DA1" s="320" t="s">
        <v>377</v>
      </c>
      <c r="DB1" s="320" t="s">
        <v>377</v>
      </c>
      <c r="DC1" s="320" t="s">
        <v>377</v>
      </c>
      <c r="DD1" s="320" t="s">
        <v>377</v>
      </c>
      <c r="DE1" s="320" t="s">
        <v>377</v>
      </c>
      <c r="DF1" s="320" t="s">
        <v>377</v>
      </c>
      <c r="DG1" s="320" t="s">
        <v>377</v>
      </c>
      <c r="DH1" s="320" t="s">
        <v>377</v>
      </c>
      <c r="DI1" s="344" t="s">
        <v>378</v>
      </c>
      <c r="DJ1" s="344" t="s">
        <v>378</v>
      </c>
      <c r="DK1" s="344" t="s">
        <v>378</v>
      </c>
      <c r="DL1" s="344" t="s">
        <v>378</v>
      </c>
      <c r="DM1" s="344" t="s">
        <v>378</v>
      </c>
      <c r="DN1" s="344" t="s">
        <v>378</v>
      </c>
      <c r="DO1" s="344" t="s">
        <v>378</v>
      </c>
      <c r="DP1" s="344" t="s">
        <v>378</v>
      </c>
      <c r="DQ1" s="344" t="s">
        <v>378</v>
      </c>
      <c r="DR1" s="344" t="s">
        <v>378</v>
      </c>
      <c r="DS1" s="344" t="s">
        <v>378</v>
      </c>
      <c r="DT1" s="344" t="s">
        <v>378</v>
      </c>
      <c r="DU1" s="322" t="s">
        <v>168</v>
      </c>
      <c r="DV1" s="322" t="s">
        <v>168</v>
      </c>
      <c r="DW1" s="322" t="s">
        <v>168</v>
      </c>
      <c r="DX1" s="322" t="s">
        <v>168</v>
      </c>
      <c r="DY1" s="322" t="s">
        <v>168</v>
      </c>
      <c r="DZ1" s="322" t="s">
        <v>168</v>
      </c>
      <c r="EA1" s="322" t="s">
        <v>168</v>
      </c>
      <c r="EB1" s="322" t="s">
        <v>168</v>
      </c>
      <c r="EC1" s="322" t="s">
        <v>168</v>
      </c>
      <c r="ED1" s="322" t="s">
        <v>168</v>
      </c>
      <c r="EE1" s="322" t="s">
        <v>168</v>
      </c>
      <c r="EF1" s="322" t="s">
        <v>168</v>
      </c>
      <c r="EG1" s="320" t="s">
        <v>379</v>
      </c>
      <c r="EH1" s="320" t="s">
        <v>379</v>
      </c>
      <c r="EI1" s="320" t="s">
        <v>379</v>
      </c>
      <c r="EJ1" s="320" t="s">
        <v>379</v>
      </c>
      <c r="EK1" s="320" t="s">
        <v>379</v>
      </c>
      <c r="EL1" s="320" t="s">
        <v>379</v>
      </c>
      <c r="EM1" s="320" t="s">
        <v>379</v>
      </c>
      <c r="EN1" s="320" t="s">
        <v>379</v>
      </c>
      <c r="EO1" s="320" t="s">
        <v>379</v>
      </c>
      <c r="EP1" s="320" t="s">
        <v>379</v>
      </c>
      <c r="EQ1" s="320" t="s">
        <v>379</v>
      </c>
      <c r="ER1" s="320" t="s">
        <v>379</v>
      </c>
      <c r="ES1" s="320" t="s">
        <v>380</v>
      </c>
      <c r="ET1" s="320" t="s">
        <v>380</v>
      </c>
      <c r="EU1" s="320" t="s">
        <v>380</v>
      </c>
      <c r="EV1" s="320" t="s">
        <v>380</v>
      </c>
      <c r="EW1" s="320" t="s">
        <v>380</v>
      </c>
      <c r="EX1" s="320" t="s">
        <v>380</v>
      </c>
      <c r="EY1" s="320" t="s">
        <v>380</v>
      </c>
      <c r="EZ1" s="320" t="s">
        <v>380</v>
      </c>
      <c r="FA1" s="320" t="s">
        <v>380</v>
      </c>
      <c r="FB1" s="320" t="s">
        <v>380</v>
      </c>
      <c r="FC1" s="320" t="s">
        <v>380</v>
      </c>
      <c r="FD1" s="320" t="s">
        <v>380</v>
      </c>
      <c r="FE1" s="320" t="s">
        <v>381</v>
      </c>
      <c r="FF1" s="320" t="s">
        <v>381</v>
      </c>
      <c r="FG1" s="320" t="s">
        <v>381</v>
      </c>
      <c r="FH1" s="320" t="s">
        <v>381</v>
      </c>
      <c r="FI1" s="320" t="s">
        <v>381</v>
      </c>
      <c r="FJ1" s="320" t="s">
        <v>381</v>
      </c>
      <c r="FK1" s="320" t="s">
        <v>381</v>
      </c>
      <c r="FL1" s="320" t="s">
        <v>381</v>
      </c>
      <c r="FM1" s="320" t="s">
        <v>381</v>
      </c>
      <c r="FN1" s="320" t="s">
        <v>381</v>
      </c>
      <c r="FO1" s="320" t="s">
        <v>381</v>
      </c>
      <c r="FP1" s="320" t="s">
        <v>381</v>
      </c>
      <c r="FQ1" s="320" t="s">
        <v>167</v>
      </c>
      <c r="FR1" s="320" t="s">
        <v>167</v>
      </c>
      <c r="FS1" s="320" t="s">
        <v>167</v>
      </c>
      <c r="FT1" s="320" t="s">
        <v>167</v>
      </c>
      <c r="FU1" s="320" t="s">
        <v>167</v>
      </c>
      <c r="FV1" s="320" t="s">
        <v>167</v>
      </c>
      <c r="FW1" s="320" t="s">
        <v>167</v>
      </c>
      <c r="FX1" s="320" t="s">
        <v>167</v>
      </c>
      <c r="FY1" s="320" t="s">
        <v>167</v>
      </c>
      <c r="FZ1" s="320" t="s">
        <v>167</v>
      </c>
      <c r="GA1" s="320" t="s">
        <v>167</v>
      </c>
      <c r="GB1" s="320" t="s">
        <v>167</v>
      </c>
      <c r="GC1" s="323" t="s">
        <v>382</v>
      </c>
      <c r="GD1" s="323" t="s">
        <v>382</v>
      </c>
      <c r="GE1" s="323" t="s">
        <v>382</v>
      </c>
      <c r="GF1" s="323" t="s">
        <v>382</v>
      </c>
      <c r="GG1" s="323" t="s">
        <v>382</v>
      </c>
      <c r="GH1" s="323" t="s">
        <v>382</v>
      </c>
      <c r="GI1" s="323" t="s">
        <v>382</v>
      </c>
      <c r="GJ1" s="323" t="s">
        <v>382</v>
      </c>
      <c r="GK1" s="323" t="s">
        <v>382</v>
      </c>
      <c r="GL1" s="323" t="s">
        <v>382</v>
      </c>
      <c r="GM1" s="323" t="s">
        <v>382</v>
      </c>
      <c r="GN1" s="323" t="s">
        <v>382</v>
      </c>
      <c r="GO1" s="324" t="s">
        <v>383</v>
      </c>
      <c r="GP1" s="324" t="s">
        <v>383</v>
      </c>
      <c r="GQ1" s="324" t="s">
        <v>383</v>
      </c>
      <c r="GR1" s="324" t="s">
        <v>383</v>
      </c>
      <c r="GS1" s="324" t="s">
        <v>383</v>
      </c>
      <c r="GT1" s="324" t="s">
        <v>383</v>
      </c>
      <c r="GU1" s="324" t="s">
        <v>383</v>
      </c>
      <c r="GV1" s="324" t="s">
        <v>383</v>
      </c>
      <c r="GW1" s="324" t="s">
        <v>383</v>
      </c>
      <c r="GX1" s="324" t="s">
        <v>383</v>
      </c>
      <c r="GY1" s="324" t="s">
        <v>383</v>
      </c>
      <c r="GZ1" s="324" t="s">
        <v>383</v>
      </c>
      <c r="HA1" s="325" t="s">
        <v>384</v>
      </c>
      <c r="HB1" s="325" t="s">
        <v>384</v>
      </c>
      <c r="HC1" s="325" t="s">
        <v>384</v>
      </c>
      <c r="HD1" s="325" t="s">
        <v>384</v>
      </c>
      <c r="HE1" s="325" t="s">
        <v>384</v>
      </c>
      <c r="HF1" s="325" t="s">
        <v>384</v>
      </c>
      <c r="HG1" s="325" t="s">
        <v>384</v>
      </c>
      <c r="HH1" s="325" t="s">
        <v>384</v>
      </c>
      <c r="HI1" s="325" t="s">
        <v>384</v>
      </c>
      <c r="HJ1" s="325" t="s">
        <v>384</v>
      </c>
      <c r="HK1" s="325" t="s">
        <v>384</v>
      </c>
      <c r="HL1" s="325" t="s">
        <v>384</v>
      </c>
      <c r="HM1" s="320" t="s">
        <v>385</v>
      </c>
      <c r="HN1" s="320" t="s">
        <v>385</v>
      </c>
      <c r="HO1" s="320" t="s">
        <v>385</v>
      </c>
      <c r="HP1" s="320" t="s">
        <v>385</v>
      </c>
      <c r="HQ1" s="320" t="s">
        <v>385</v>
      </c>
      <c r="HR1" s="320" t="s">
        <v>385</v>
      </c>
      <c r="HS1" s="320" t="s">
        <v>385</v>
      </c>
      <c r="HT1" s="320" t="s">
        <v>385</v>
      </c>
      <c r="HU1" s="320" t="s">
        <v>385</v>
      </c>
      <c r="HV1" s="320" t="s">
        <v>385</v>
      </c>
      <c r="HW1" s="320" t="s">
        <v>385</v>
      </c>
      <c r="HX1" s="320" t="s">
        <v>385</v>
      </c>
      <c r="HY1" s="320" t="s">
        <v>386</v>
      </c>
      <c r="HZ1" s="320" t="s">
        <v>386</v>
      </c>
      <c r="IA1" s="320" t="s">
        <v>386</v>
      </c>
      <c r="IB1" s="320" t="s">
        <v>386</v>
      </c>
      <c r="IC1" s="320" t="s">
        <v>386</v>
      </c>
      <c r="ID1" s="320" t="s">
        <v>386</v>
      </c>
      <c r="IE1" s="320" t="s">
        <v>386</v>
      </c>
      <c r="IF1" s="320" t="s">
        <v>386</v>
      </c>
      <c r="IG1" s="320" t="s">
        <v>386</v>
      </c>
      <c r="IH1" s="320" t="s">
        <v>386</v>
      </c>
      <c r="II1" s="320" t="s">
        <v>386</v>
      </c>
      <c r="IJ1" s="320" t="s">
        <v>386</v>
      </c>
      <c r="IK1" s="320" t="s">
        <v>387</v>
      </c>
      <c r="IL1" s="320" t="s">
        <v>387</v>
      </c>
      <c r="IM1" s="320" t="s">
        <v>387</v>
      </c>
      <c r="IN1" s="320" t="s">
        <v>387</v>
      </c>
      <c r="IO1" s="320" t="s">
        <v>387</v>
      </c>
      <c r="IP1" s="320" t="s">
        <v>387</v>
      </c>
      <c r="IQ1" s="320" t="s">
        <v>387</v>
      </c>
      <c r="IR1" s="320" t="s">
        <v>387</v>
      </c>
      <c r="IS1" s="320" t="s">
        <v>387</v>
      </c>
      <c r="IT1" s="320" t="s">
        <v>387</v>
      </c>
      <c r="IU1" s="320" t="s">
        <v>387</v>
      </c>
      <c r="IV1" s="320" t="s">
        <v>387</v>
      </c>
      <c r="IW1" s="320" t="s">
        <v>388</v>
      </c>
      <c r="IX1" s="320" t="s">
        <v>388</v>
      </c>
      <c r="IY1" s="320" t="s">
        <v>388</v>
      </c>
      <c r="IZ1" s="320" t="s">
        <v>388</v>
      </c>
      <c r="JA1" s="320" t="s">
        <v>388</v>
      </c>
      <c r="JB1" s="320" t="s">
        <v>388</v>
      </c>
      <c r="JC1" s="320" t="s">
        <v>388</v>
      </c>
      <c r="JD1" s="320" t="s">
        <v>388</v>
      </c>
      <c r="JE1" s="320" t="s">
        <v>388</v>
      </c>
      <c r="JF1" s="320" t="s">
        <v>388</v>
      </c>
      <c r="JG1" s="320" t="s">
        <v>388</v>
      </c>
      <c r="JH1" s="320" t="s">
        <v>388</v>
      </c>
      <c r="JI1" s="321" t="s">
        <v>165</v>
      </c>
      <c r="JJ1" s="326" t="s">
        <v>389</v>
      </c>
      <c r="JK1" s="326" t="s">
        <v>389</v>
      </c>
      <c r="JL1" s="326" t="s">
        <v>389</v>
      </c>
      <c r="JM1" s="326" t="s">
        <v>389</v>
      </c>
      <c r="JN1" s="326" t="s">
        <v>389</v>
      </c>
      <c r="JO1" s="326" t="s">
        <v>389</v>
      </c>
      <c r="JP1" s="326" t="s">
        <v>389</v>
      </c>
      <c r="JQ1" s="326" t="s">
        <v>389</v>
      </c>
      <c r="JR1" s="326" t="s">
        <v>389</v>
      </c>
      <c r="JS1" s="326" t="s">
        <v>389</v>
      </c>
      <c r="JT1" s="326" t="s">
        <v>389</v>
      </c>
      <c r="JU1" s="326" t="s">
        <v>389</v>
      </c>
      <c r="JV1" s="320" t="s">
        <v>390</v>
      </c>
      <c r="JW1" s="320" t="s">
        <v>390</v>
      </c>
      <c r="JX1" s="320" t="s">
        <v>390</v>
      </c>
      <c r="JY1" s="320" t="s">
        <v>390</v>
      </c>
      <c r="JZ1" s="320" t="s">
        <v>390</v>
      </c>
      <c r="KA1" s="320" t="s">
        <v>390</v>
      </c>
      <c r="KB1" s="320" t="s">
        <v>390</v>
      </c>
      <c r="KC1" s="320" t="s">
        <v>390</v>
      </c>
      <c r="KD1" s="320" t="s">
        <v>390</v>
      </c>
      <c r="KE1" s="320" t="s">
        <v>390</v>
      </c>
      <c r="KF1" s="320" t="s">
        <v>390</v>
      </c>
      <c r="KG1" s="320" t="s">
        <v>390</v>
      </c>
      <c r="KH1" s="320" t="s">
        <v>391</v>
      </c>
      <c r="KI1" s="320" t="s">
        <v>391</v>
      </c>
      <c r="KJ1" s="320" t="s">
        <v>391</v>
      </c>
      <c r="KK1" s="320" t="s">
        <v>391</v>
      </c>
      <c r="KL1" s="320" t="s">
        <v>391</v>
      </c>
      <c r="KM1" s="320" t="s">
        <v>391</v>
      </c>
      <c r="KN1" s="320" t="s">
        <v>391</v>
      </c>
      <c r="KO1" s="320" t="s">
        <v>391</v>
      </c>
      <c r="KP1" s="320" t="s">
        <v>391</v>
      </c>
      <c r="KQ1" s="320" t="s">
        <v>391</v>
      </c>
      <c r="KR1" s="320" t="s">
        <v>391</v>
      </c>
      <c r="KS1" s="320" t="s">
        <v>391</v>
      </c>
      <c r="KT1" s="320" t="s">
        <v>392</v>
      </c>
      <c r="KU1" s="320" t="s">
        <v>392</v>
      </c>
      <c r="KV1" s="320" t="s">
        <v>392</v>
      </c>
      <c r="KW1" s="320" t="s">
        <v>392</v>
      </c>
      <c r="KX1" s="320" t="s">
        <v>392</v>
      </c>
      <c r="KY1" s="320" t="s">
        <v>392</v>
      </c>
      <c r="KZ1" s="320" t="s">
        <v>392</v>
      </c>
      <c r="LA1" s="320" t="s">
        <v>392</v>
      </c>
      <c r="LB1" s="320" t="s">
        <v>392</v>
      </c>
      <c r="LC1" s="320" t="s">
        <v>392</v>
      </c>
      <c r="LD1" s="320" t="s">
        <v>392</v>
      </c>
      <c r="LE1" s="320" t="s">
        <v>392</v>
      </c>
      <c r="LF1" s="320" t="s">
        <v>393</v>
      </c>
      <c r="LG1" s="320" t="s">
        <v>393</v>
      </c>
      <c r="LH1" s="320" t="s">
        <v>393</v>
      </c>
      <c r="LI1" s="320" t="s">
        <v>393</v>
      </c>
      <c r="LJ1" s="320" t="s">
        <v>393</v>
      </c>
      <c r="LK1" s="320" t="s">
        <v>393</v>
      </c>
      <c r="LL1" s="320" t="s">
        <v>393</v>
      </c>
      <c r="LM1" s="320" t="s">
        <v>393</v>
      </c>
      <c r="LN1" s="320" t="s">
        <v>393</v>
      </c>
      <c r="LO1" s="320" t="s">
        <v>393</v>
      </c>
      <c r="LP1" s="320" t="s">
        <v>393</v>
      </c>
      <c r="LQ1" s="320" t="s">
        <v>393</v>
      </c>
      <c r="LR1" s="320" t="s">
        <v>394</v>
      </c>
      <c r="LS1" s="320" t="s">
        <v>394</v>
      </c>
      <c r="LT1" s="320" t="s">
        <v>394</v>
      </c>
      <c r="LU1" s="320" t="s">
        <v>394</v>
      </c>
      <c r="LV1" s="320" t="s">
        <v>394</v>
      </c>
      <c r="LW1" s="320" t="s">
        <v>394</v>
      </c>
      <c r="LX1" s="320" t="s">
        <v>394</v>
      </c>
      <c r="LY1" s="320" t="s">
        <v>394</v>
      </c>
      <c r="LZ1" s="320" t="s">
        <v>394</v>
      </c>
      <c r="MA1" s="320" t="s">
        <v>394</v>
      </c>
      <c r="MB1" s="320" t="s">
        <v>394</v>
      </c>
      <c r="MC1" s="320" t="s">
        <v>394</v>
      </c>
      <c r="MD1" s="320" t="s">
        <v>395</v>
      </c>
      <c r="ME1" s="320" t="s">
        <v>395</v>
      </c>
      <c r="MF1" s="320" t="s">
        <v>395</v>
      </c>
      <c r="MG1" s="320" t="s">
        <v>395</v>
      </c>
      <c r="MH1" s="320" t="s">
        <v>395</v>
      </c>
      <c r="MI1" s="320" t="s">
        <v>395</v>
      </c>
      <c r="MJ1" s="320" t="s">
        <v>395</v>
      </c>
      <c r="MK1" s="320" t="s">
        <v>395</v>
      </c>
      <c r="ML1" s="320" t="s">
        <v>395</v>
      </c>
      <c r="MM1" s="320" t="s">
        <v>395</v>
      </c>
      <c r="MN1" s="320" t="s">
        <v>395</v>
      </c>
      <c r="MO1" s="320" t="s">
        <v>395</v>
      </c>
      <c r="MP1" s="327" t="s">
        <v>396</v>
      </c>
      <c r="MQ1" s="327" t="s">
        <v>396</v>
      </c>
      <c r="MR1" s="327" t="s">
        <v>396</v>
      </c>
      <c r="MS1" s="327" t="s">
        <v>396</v>
      </c>
      <c r="MT1" s="327" t="s">
        <v>396</v>
      </c>
      <c r="MU1" s="327" t="s">
        <v>396</v>
      </c>
      <c r="MV1" s="327" t="s">
        <v>396</v>
      </c>
      <c r="MW1" s="327" t="s">
        <v>396</v>
      </c>
      <c r="MX1" s="327" t="s">
        <v>396</v>
      </c>
      <c r="MY1" s="327" t="s">
        <v>396</v>
      </c>
      <c r="MZ1" s="327" t="s">
        <v>396</v>
      </c>
      <c r="NA1" s="327" t="s">
        <v>396</v>
      </c>
      <c r="NB1" s="320" t="s">
        <v>397</v>
      </c>
      <c r="NC1" s="320" t="s">
        <v>397</v>
      </c>
      <c r="ND1" s="320" t="s">
        <v>397</v>
      </c>
      <c r="NE1" s="320" t="s">
        <v>397</v>
      </c>
      <c r="NF1" s="320" t="s">
        <v>397</v>
      </c>
      <c r="NG1" s="320" t="s">
        <v>397</v>
      </c>
      <c r="NH1" s="320" t="s">
        <v>397</v>
      </c>
      <c r="NI1" s="320" t="s">
        <v>397</v>
      </c>
      <c r="NJ1" s="320" t="s">
        <v>397</v>
      </c>
      <c r="NK1" s="320" t="s">
        <v>397</v>
      </c>
      <c r="NL1" s="320" t="s">
        <v>397</v>
      </c>
      <c r="NM1" s="320" t="s">
        <v>397</v>
      </c>
      <c r="NN1" s="320" t="s">
        <v>398</v>
      </c>
      <c r="NO1" s="320" t="s">
        <v>398</v>
      </c>
      <c r="NP1" s="320" t="s">
        <v>398</v>
      </c>
      <c r="NQ1" s="320" t="s">
        <v>398</v>
      </c>
      <c r="NR1" s="320" t="s">
        <v>398</v>
      </c>
      <c r="NS1" s="320" t="s">
        <v>398</v>
      </c>
      <c r="NT1" s="320" t="s">
        <v>398</v>
      </c>
      <c r="NU1" s="320" t="s">
        <v>398</v>
      </c>
      <c r="NV1" s="320" t="s">
        <v>398</v>
      </c>
      <c r="NW1" s="320" t="s">
        <v>398</v>
      </c>
      <c r="NX1" s="320" t="s">
        <v>398</v>
      </c>
      <c r="NY1" s="320" t="s">
        <v>398</v>
      </c>
      <c r="NZ1" s="320" t="s">
        <v>399</v>
      </c>
      <c r="OA1" s="320" t="s">
        <v>399</v>
      </c>
      <c r="OB1" s="320" t="s">
        <v>399</v>
      </c>
      <c r="OC1" s="320" t="s">
        <v>399</v>
      </c>
      <c r="OD1" s="320" t="s">
        <v>399</v>
      </c>
      <c r="OE1" s="320" t="s">
        <v>399</v>
      </c>
      <c r="OF1" s="320" t="s">
        <v>399</v>
      </c>
      <c r="OG1" s="320" t="s">
        <v>399</v>
      </c>
      <c r="OH1" s="320" t="s">
        <v>399</v>
      </c>
      <c r="OI1" s="320" t="s">
        <v>399</v>
      </c>
      <c r="OJ1" s="320" t="s">
        <v>399</v>
      </c>
      <c r="OK1" s="320" t="s">
        <v>399</v>
      </c>
    </row>
    <row r="2" spans="1:402" ht="12.75" customHeight="1" thickBot="1">
      <c r="A2" s="319" t="s">
        <v>400</v>
      </c>
      <c r="B2" s="319" t="s">
        <v>401</v>
      </c>
      <c r="C2" s="319" t="s">
        <v>402</v>
      </c>
      <c r="D2" s="319" t="s">
        <v>403</v>
      </c>
      <c r="E2" s="328" t="s">
        <v>334</v>
      </c>
      <c r="F2" s="328" t="s">
        <v>335</v>
      </c>
      <c r="G2" s="328" t="s">
        <v>336</v>
      </c>
      <c r="H2" s="328" t="s">
        <v>337</v>
      </c>
      <c r="I2" s="328" t="s">
        <v>338</v>
      </c>
      <c r="J2" s="328" t="s">
        <v>339</v>
      </c>
      <c r="K2" s="328" t="s">
        <v>340</v>
      </c>
      <c r="L2" s="328" t="s">
        <v>341</v>
      </c>
      <c r="M2" s="328" t="s">
        <v>342</v>
      </c>
      <c r="N2" s="328" t="s">
        <v>343</v>
      </c>
      <c r="O2" s="328" t="s">
        <v>344</v>
      </c>
      <c r="P2" s="328" t="s">
        <v>345</v>
      </c>
      <c r="Q2" s="328" t="s">
        <v>334</v>
      </c>
      <c r="R2" s="328" t="s">
        <v>335</v>
      </c>
      <c r="S2" s="328" t="s">
        <v>336</v>
      </c>
      <c r="T2" s="328" t="s">
        <v>337</v>
      </c>
      <c r="U2" s="328" t="s">
        <v>338</v>
      </c>
      <c r="V2" s="328" t="s">
        <v>339</v>
      </c>
      <c r="W2" s="328" t="s">
        <v>340</v>
      </c>
      <c r="X2" s="328" t="s">
        <v>341</v>
      </c>
      <c r="Y2" s="328" t="s">
        <v>342</v>
      </c>
      <c r="Z2" s="328" t="s">
        <v>343</v>
      </c>
      <c r="AA2" s="328" t="s">
        <v>344</v>
      </c>
      <c r="AB2" s="328" t="s">
        <v>345</v>
      </c>
      <c r="AC2" s="328" t="s">
        <v>334</v>
      </c>
      <c r="AD2" s="328" t="s">
        <v>335</v>
      </c>
      <c r="AE2" s="328" t="s">
        <v>336</v>
      </c>
      <c r="AF2" s="328" t="s">
        <v>337</v>
      </c>
      <c r="AG2" s="328" t="s">
        <v>338</v>
      </c>
      <c r="AH2" s="328" t="s">
        <v>339</v>
      </c>
      <c r="AI2" s="328" t="s">
        <v>340</v>
      </c>
      <c r="AJ2" s="328" t="s">
        <v>341</v>
      </c>
      <c r="AK2" s="328" t="s">
        <v>342</v>
      </c>
      <c r="AL2" s="328" t="s">
        <v>343</v>
      </c>
      <c r="AM2" s="328" t="s">
        <v>344</v>
      </c>
      <c r="AN2" s="328" t="s">
        <v>345</v>
      </c>
      <c r="AO2" s="328" t="s">
        <v>334</v>
      </c>
      <c r="AP2" s="328" t="s">
        <v>335</v>
      </c>
      <c r="AQ2" s="328" t="s">
        <v>336</v>
      </c>
      <c r="AR2" s="328" t="s">
        <v>337</v>
      </c>
      <c r="AS2" s="328" t="s">
        <v>338</v>
      </c>
      <c r="AT2" s="328" t="s">
        <v>339</v>
      </c>
      <c r="AU2" s="328" t="s">
        <v>340</v>
      </c>
      <c r="AV2" s="328" t="s">
        <v>341</v>
      </c>
      <c r="AW2" s="328" t="s">
        <v>342</v>
      </c>
      <c r="AX2" s="328" t="s">
        <v>343</v>
      </c>
      <c r="AY2" s="328" t="s">
        <v>344</v>
      </c>
      <c r="AZ2" s="328" t="s">
        <v>345</v>
      </c>
      <c r="BA2" s="328" t="s">
        <v>334</v>
      </c>
      <c r="BB2" s="328" t="s">
        <v>335</v>
      </c>
      <c r="BC2" s="328" t="s">
        <v>336</v>
      </c>
      <c r="BD2" s="328" t="s">
        <v>337</v>
      </c>
      <c r="BE2" s="328" t="s">
        <v>338</v>
      </c>
      <c r="BF2" s="328" t="s">
        <v>339</v>
      </c>
      <c r="BG2" s="328" t="s">
        <v>340</v>
      </c>
      <c r="BH2" s="328" t="s">
        <v>341</v>
      </c>
      <c r="BI2" s="328" t="s">
        <v>342</v>
      </c>
      <c r="BJ2" s="328" t="s">
        <v>343</v>
      </c>
      <c r="BK2" s="328" t="s">
        <v>344</v>
      </c>
      <c r="BL2" s="328" t="s">
        <v>345</v>
      </c>
      <c r="BM2" s="328" t="s">
        <v>334</v>
      </c>
      <c r="BN2" s="328" t="s">
        <v>335</v>
      </c>
      <c r="BO2" s="328" t="s">
        <v>336</v>
      </c>
      <c r="BP2" s="328" t="s">
        <v>337</v>
      </c>
      <c r="BQ2" s="328" t="s">
        <v>338</v>
      </c>
      <c r="BR2" s="328" t="s">
        <v>339</v>
      </c>
      <c r="BS2" s="328" t="s">
        <v>340</v>
      </c>
      <c r="BT2" s="328" t="s">
        <v>341</v>
      </c>
      <c r="BU2" s="328" t="s">
        <v>342</v>
      </c>
      <c r="BV2" s="328" t="s">
        <v>343</v>
      </c>
      <c r="BW2" s="328" t="s">
        <v>344</v>
      </c>
      <c r="BX2" s="328" t="s">
        <v>345</v>
      </c>
      <c r="BY2" s="328" t="s">
        <v>334</v>
      </c>
      <c r="BZ2" s="328" t="s">
        <v>335</v>
      </c>
      <c r="CA2" s="328" t="s">
        <v>336</v>
      </c>
      <c r="CB2" s="328" t="s">
        <v>337</v>
      </c>
      <c r="CC2" s="328" t="s">
        <v>338</v>
      </c>
      <c r="CD2" s="328" t="s">
        <v>339</v>
      </c>
      <c r="CE2" s="328" t="s">
        <v>340</v>
      </c>
      <c r="CF2" s="328" t="s">
        <v>341</v>
      </c>
      <c r="CG2" s="328" t="s">
        <v>342</v>
      </c>
      <c r="CH2" s="328" t="s">
        <v>343</v>
      </c>
      <c r="CI2" s="328" t="s">
        <v>344</v>
      </c>
      <c r="CJ2" s="328" t="s">
        <v>345</v>
      </c>
      <c r="CK2" s="328" t="s">
        <v>334</v>
      </c>
      <c r="CL2" s="328" t="s">
        <v>335</v>
      </c>
      <c r="CM2" s="328" t="s">
        <v>336</v>
      </c>
      <c r="CN2" s="328" t="s">
        <v>337</v>
      </c>
      <c r="CO2" s="328" t="s">
        <v>338</v>
      </c>
      <c r="CP2" s="328" t="s">
        <v>339</v>
      </c>
      <c r="CQ2" s="328" t="s">
        <v>340</v>
      </c>
      <c r="CR2" s="328" t="s">
        <v>341</v>
      </c>
      <c r="CS2" s="328" t="s">
        <v>342</v>
      </c>
      <c r="CT2" s="328" t="s">
        <v>343</v>
      </c>
      <c r="CU2" s="328" t="s">
        <v>344</v>
      </c>
      <c r="CV2" s="328" t="s">
        <v>345</v>
      </c>
      <c r="CW2" s="328" t="s">
        <v>334</v>
      </c>
      <c r="CX2" s="328" t="s">
        <v>335</v>
      </c>
      <c r="CY2" s="328" t="s">
        <v>336</v>
      </c>
      <c r="CZ2" s="328" t="s">
        <v>337</v>
      </c>
      <c r="DA2" s="328" t="s">
        <v>338</v>
      </c>
      <c r="DB2" s="328" t="s">
        <v>339</v>
      </c>
      <c r="DC2" s="328" t="s">
        <v>340</v>
      </c>
      <c r="DD2" s="328" t="s">
        <v>341</v>
      </c>
      <c r="DE2" s="328" t="s">
        <v>342</v>
      </c>
      <c r="DF2" s="328" t="s">
        <v>343</v>
      </c>
      <c r="DG2" s="328" t="s">
        <v>344</v>
      </c>
      <c r="DH2" s="328" t="s">
        <v>345</v>
      </c>
      <c r="DI2" s="328" t="s">
        <v>334</v>
      </c>
      <c r="DJ2" s="328" t="s">
        <v>335</v>
      </c>
      <c r="DK2" s="328" t="s">
        <v>336</v>
      </c>
      <c r="DL2" s="328" t="s">
        <v>337</v>
      </c>
      <c r="DM2" s="328" t="s">
        <v>338</v>
      </c>
      <c r="DN2" s="328" t="s">
        <v>339</v>
      </c>
      <c r="DO2" s="328" t="s">
        <v>340</v>
      </c>
      <c r="DP2" s="328" t="s">
        <v>341</v>
      </c>
      <c r="DQ2" s="328" t="s">
        <v>342</v>
      </c>
      <c r="DR2" s="328" t="s">
        <v>343</v>
      </c>
      <c r="DS2" s="328" t="s">
        <v>344</v>
      </c>
      <c r="DT2" s="328" t="s">
        <v>345</v>
      </c>
      <c r="DU2" s="328" t="s">
        <v>334</v>
      </c>
      <c r="DV2" s="328" t="s">
        <v>335</v>
      </c>
      <c r="DW2" s="328" t="s">
        <v>336</v>
      </c>
      <c r="DX2" s="328" t="s">
        <v>337</v>
      </c>
      <c r="DY2" s="328" t="s">
        <v>338</v>
      </c>
      <c r="DZ2" s="328" t="s">
        <v>339</v>
      </c>
      <c r="EA2" s="328" t="s">
        <v>340</v>
      </c>
      <c r="EB2" s="328" t="s">
        <v>341</v>
      </c>
      <c r="EC2" s="328" t="s">
        <v>342</v>
      </c>
      <c r="ED2" s="328" t="s">
        <v>343</v>
      </c>
      <c r="EE2" s="328" t="s">
        <v>344</v>
      </c>
      <c r="EF2" s="328" t="s">
        <v>345</v>
      </c>
      <c r="EG2" s="328" t="s">
        <v>334</v>
      </c>
      <c r="EH2" s="328" t="s">
        <v>335</v>
      </c>
      <c r="EI2" s="328" t="s">
        <v>336</v>
      </c>
      <c r="EJ2" s="328" t="s">
        <v>337</v>
      </c>
      <c r="EK2" s="328" t="s">
        <v>338</v>
      </c>
      <c r="EL2" s="328" t="s">
        <v>339</v>
      </c>
      <c r="EM2" s="328" t="s">
        <v>340</v>
      </c>
      <c r="EN2" s="328" t="s">
        <v>341</v>
      </c>
      <c r="EO2" s="328" t="s">
        <v>342</v>
      </c>
      <c r="EP2" s="328" t="s">
        <v>343</v>
      </c>
      <c r="EQ2" s="328" t="s">
        <v>344</v>
      </c>
      <c r="ER2" s="328" t="s">
        <v>345</v>
      </c>
      <c r="ES2" s="328" t="s">
        <v>334</v>
      </c>
      <c r="ET2" s="328" t="s">
        <v>335</v>
      </c>
      <c r="EU2" s="328" t="s">
        <v>336</v>
      </c>
      <c r="EV2" s="328" t="s">
        <v>337</v>
      </c>
      <c r="EW2" s="328" t="s">
        <v>338</v>
      </c>
      <c r="EX2" s="328" t="s">
        <v>339</v>
      </c>
      <c r="EY2" s="328" t="s">
        <v>340</v>
      </c>
      <c r="EZ2" s="328" t="s">
        <v>341</v>
      </c>
      <c r="FA2" s="328" t="s">
        <v>342</v>
      </c>
      <c r="FB2" s="328" t="s">
        <v>343</v>
      </c>
      <c r="FC2" s="328" t="s">
        <v>344</v>
      </c>
      <c r="FD2" s="328" t="s">
        <v>345</v>
      </c>
      <c r="FE2" s="328" t="s">
        <v>334</v>
      </c>
      <c r="FF2" s="328" t="s">
        <v>335</v>
      </c>
      <c r="FG2" s="328" t="s">
        <v>336</v>
      </c>
      <c r="FH2" s="328" t="s">
        <v>337</v>
      </c>
      <c r="FI2" s="328" t="s">
        <v>338</v>
      </c>
      <c r="FJ2" s="328" t="s">
        <v>339</v>
      </c>
      <c r="FK2" s="328" t="s">
        <v>340</v>
      </c>
      <c r="FL2" s="328" t="s">
        <v>341</v>
      </c>
      <c r="FM2" s="328" t="s">
        <v>342</v>
      </c>
      <c r="FN2" s="328" t="s">
        <v>343</v>
      </c>
      <c r="FO2" s="328" t="s">
        <v>344</v>
      </c>
      <c r="FP2" s="328" t="s">
        <v>345</v>
      </c>
      <c r="FQ2" s="328" t="s">
        <v>334</v>
      </c>
      <c r="FR2" s="328" t="s">
        <v>335</v>
      </c>
      <c r="FS2" s="328" t="s">
        <v>336</v>
      </c>
      <c r="FT2" s="328" t="s">
        <v>337</v>
      </c>
      <c r="FU2" s="328" t="s">
        <v>338</v>
      </c>
      <c r="FV2" s="328" t="s">
        <v>339</v>
      </c>
      <c r="FW2" s="328" t="s">
        <v>340</v>
      </c>
      <c r="FX2" s="328" t="s">
        <v>341</v>
      </c>
      <c r="FY2" s="328" t="s">
        <v>342</v>
      </c>
      <c r="FZ2" s="328" t="s">
        <v>343</v>
      </c>
      <c r="GA2" s="328" t="s">
        <v>344</v>
      </c>
      <c r="GB2" s="328" t="s">
        <v>345</v>
      </c>
      <c r="GC2" s="328" t="s">
        <v>334</v>
      </c>
      <c r="GD2" s="328" t="s">
        <v>335</v>
      </c>
      <c r="GE2" s="328" t="s">
        <v>336</v>
      </c>
      <c r="GF2" s="328" t="s">
        <v>337</v>
      </c>
      <c r="GG2" s="328" t="s">
        <v>338</v>
      </c>
      <c r="GH2" s="328" t="s">
        <v>339</v>
      </c>
      <c r="GI2" s="328" t="s">
        <v>340</v>
      </c>
      <c r="GJ2" s="328" t="s">
        <v>341</v>
      </c>
      <c r="GK2" s="328" t="s">
        <v>342</v>
      </c>
      <c r="GL2" s="328" t="s">
        <v>343</v>
      </c>
      <c r="GM2" s="328" t="s">
        <v>344</v>
      </c>
      <c r="GN2" s="328" t="s">
        <v>345</v>
      </c>
      <c r="GO2" s="328" t="s">
        <v>334</v>
      </c>
      <c r="GP2" s="328" t="s">
        <v>335</v>
      </c>
      <c r="GQ2" s="328" t="s">
        <v>336</v>
      </c>
      <c r="GR2" s="328" t="s">
        <v>337</v>
      </c>
      <c r="GS2" s="328" t="s">
        <v>338</v>
      </c>
      <c r="GT2" s="328" t="s">
        <v>339</v>
      </c>
      <c r="GU2" s="328" t="s">
        <v>340</v>
      </c>
      <c r="GV2" s="328" t="s">
        <v>341</v>
      </c>
      <c r="GW2" s="328" t="s">
        <v>342</v>
      </c>
      <c r="GX2" s="328" t="s">
        <v>343</v>
      </c>
      <c r="GY2" s="328" t="s">
        <v>344</v>
      </c>
      <c r="GZ2" s="328" t="s">
        <v>345</v>
      </c>
      <c r="HA2" s="328" t="s">
        <v>334</v>
      </c>
      <c r="HB2" s="328" t="s">
        <v>335</v>
      </c>
      <c r="HC2" s="328" t="s">
        <v>336</v>
      </c>
      <c r="HD2" s="328" t="s">
        <v>337</v>
      </c>
      <c r="HE2" s="328" t="s">
        <v>338</v>
      </c>
      <c r="HF2" s="328" t="s">
        <v>339</v>
      </c>
      <c r="HG2" s="328" t="s">
        <v>340</v>
      </c>
      <c r="HH2" s="328" t="s">
        <v>341</v>
      </c>
      <c r="HI2" s="328" t="s">
        <v>342</v>
      </c>
      <c r="HJ2" s="328" t="s">
        <v>343</v>
      </c>
      <c r="HK2" s="328" t="s">
        <v>344</v>
      </c>
      <c r="HL2" s="328" t="s">
        <v>345</v>
      </c>
      <c r="HM2" s="328" t="s">
        <v>334</v>
      </c>
      <c r="HN2" s="328" t="s">
        <v>335</v>
      </c>
      <c r="HO2" s="328" t="s">
        <v>336</v>
      </c>
      <c r="HP2" s="328" t="s">
        <v>337</v>
      </c>
      <c r="HQ2" s="328" t="s">
        <v>338</v>
      </c>
      <c r="HR2" s="328" t="s">
        <v>339</v>
      </c>
      <c r="HS2" s="328" t="s">
        <v>340</v>
      </c>
      <c r="HT2" s="328" t="s">
        <v>341</v>
      </c>
      <c r="HU2" s="328" t="s">
        <v>342</v>
      </c>
      <c r="HV2" s="328" t="s">
        <v>343</v>
      </c>
      <c r="HW2" s="328" t="s">
        <v>344</v>
      </c>
      <c r="HX2" s="328" t="s">
        <v>345</v>
      </c>
      <c r="HY2" s="328" t="s">
        <v>334</v>
      </c>
      <c r="HZ2" s="328" t="s">
        <v>335</v>
      </c>
      <c r="IA2" s="328" t="s">
        <v>336</v>
      </c>
      <c r="IB2" s="328" t="s">
        <v>337</v>
      </c>
      <c r="IC2" s="328" t="s">
        <v>338</v>
      </c>
      <c r="ID2" s="328" t="s">
        <v>339</v>
      </c>
      <c r="IE2" s="328" t="s">
        <v>340</v>
      </c>
      <c r="IF2" s="328" t="s">
        <v>341</v>
      </c>
      <c r="IG2" s="328" t="s">
        <v>342</v>
      </c>
      <c r="IH2" s="328" t="s">
        <v>343</v>
      </c>
      <c r="II2" s="328" t="s">
        <v>344</v>
      </c>
      <c r="IJ2" s="328" t="s">
        <v>345</v>
      </c>
      <c r="IK2" s="328" t="s">
        <v>334</v>
      </c>
      <c r="IL2" s="328" t="s">
        <v>335</v>
      </c>
      <c r="IM2" s="328" t="s">
        <v>336</v>
      </c>
      <c r="IN2" s="328" t="s">
        <v>337</v>
      </c>
      <c r="IO2" s="328" t="s">
        <v>338</v>
      </c>
      <c r="IP2" s="328" t="s">
        <v>339</v>
      </c>
      <c r="IQ2" s="328" t="s">
        <v>340</v>
      </c>
      <c r="IR2" s="328" t="s">
        <v>341</v>
      </c>
      <c r="IS2" s="328" t="s">
        <v>342</v>
      </c>
      <c r="IT2" s="328" t="s">
        <v>343</v>
      </c>
      <c r="IU2" s="328" t="s">
        <v>344</v>
      </c>
      <c r="IV2" s="328" t="s">
        <v>345</v>
      </c>
      <c r="IW2" s="328" t="s">
        <v>334</v>
      </c>
      <c r="IX2" s="328" t="s">
        <v>335</v>
      </c>
      <c r="IY2" s="328" t="s">
        <v>336</v>
      </c>
      <c r="IZ2" s="328" t="s">
        <v>337</v>
      </c>
      <c r="JA2" s="328" t="s">
        <v>338</v>
      </c>
      <c r="JB2" s="328" t="s">
        <v>339</v>
      </c>
      <c r="JC2" s="328" t="s">
        <v>340</v>
      </c>
      <c r="JD2" s="328" t="s">
        <v>341</v>
      </c>
      <c r="JE2" s="328" t="s">
        <v>342</v>
      </c>
      <c r="JF2" s="328" t="s">
        <v>343</v>
      </c>
      <c r="JG2" s="328" t="s">
        <v>344</v>
      </c>
      <c r="JH2" s="328" t="s">
        <v>345</v>
      </c>
      <c r="JI2" s="328" t="s">
        <v>345</v>
      </c>
      <c r="JJ2" s="328" t="s">
        <v>334</v>
      </c>
      <c r="JK2" s="328" t="s">
        <v>335</v>
      </c>
      <c r="JL2" s="328" t="s">
        <v>336</v>
      </c>
      <c r="JM2" s="328" t="s">
        <v>337</v>
      </c>
      <c r="JN2" s="328" t="s">
        <v>338</v>
      </c>
      <c r="JO2" s="328" t="s">
        <v>339</v>
      </c>
      <c r="JP2" s="328" t="s">
        <v>340</v>
      </c>
      <c r="JQ2" s="328" t="s">
        <v>341</v>
      </c>
      <c r="JR2" s="328" t="s">
        <v>342</v>
      </c>
      <c r="JS2" s="328" t="s">
        <v>343</v>
      </c>
      <c r="JT2" s="328" t="s">
        <v>344</v>
      </c>
      <c r="JU2" s="328" t="s">
        <v>345</v>
      </c>
      <c r="JV2" s="328" t="s">
        <v>334</v>
      </c>
      <c r="JW2" s="328" t="s">
        <v>335</v>
      </c>
      <c r="JX2" s="328" t="s">
        <v>336</v>
      </c>
      <c r="JY2" s="328" t="s">
        <v>337</v>
      </c>
      <c r="JZ2" s="328" t="s">
        <v>338</v>
      </c>
      <c r="KA2" s="328" t="s">
        <v>339</v>
      </c>
      <c r="KB2" s="328" t="s">
        <v>340</v>
      </c>
      <c r="KC2" s="328" t="s">
        <v>341</v>
      </c>
      <c r="KD2" s="328" t="s">
        <v>342</v>
      </c>
      <c r="KE2" s="328" t="s">
        <v>343</v>
      </c>
      <c r="KF2" s="328" t="s">
        <v>344</v>
      </c>
      <c r="KG2" s="328" t="s">
        <v>345</v>
      </c>
      <c r="KH2" s="328" t="s">
        <v>334</v>
      </c>
      <c r="KI2" s="328" t="s">
        <v>335</v>
      </c>
      <c r="KJ2" s="328" t="s">
        <v>336</v>
      </c>
      <c r="KK2" s="328" t="s">
        <v>337</v>
      </c>
      <c r="KL2" s="328" t="s">
        <v>338</v>
      </c>
      <c r="KM2" s="328" t="s">
        <v>339</v>
      </c>
      <c r="KN2" s="328" t="s">
        <v>340</v>
      </c>
      <c r="KO2" s="328" t="s">
        <v>341</v>
      </c>
      <c r="KP2" s="328" t="s">
        <v>342</v>
      </c>
      <c r="KQ2" s="328" t="s">
        <v>343</v>
      </c>
      <c r="KR2" s="328" t="s">
        <v>344</v>
      </c>
      <c r="KS2" s="328" t="s">
        <v>345</v>
      </c>
      <c r="KT2" s="328" t="s">
        <v>334</v>
      </c>
      <c r="KU2" s="328" t="s">
        <v>335</v>
      </c>
      <c r="KV2" s="328" t="s">
        <v>336</v>
      </c>
      <c r="KW2" s="328" t="s">
        <v>337</v>
      </c>
      <c r="KX2" s="328" t="s">
        <v>338</v>
      </c>
      <c r="KY2" s="328" t="s">
        <v>339</v>
      </c>
      <c r="KZ2" s="328" t="s">
        <v>340</v>
      </c>
      <c r="LA2" s="328" t="s">
        <v>341</v>
      </c>
      <c r="LB2" s="328" t="s">
        <v>342</v>
      </c>
      <c r="LC2" s="328" t="s">
        <v>343</v>
      </c>
      <c r="LD2" s="328" t="s">
        <v>344</v>
      </c>
      <c r="LE2" s="328" t="s">
        <v>345</v>
      </c>
      <c r="LF2" s="328" t="s">
        <v>334</v>
      </c>
      <c r="LG2" s="328" t="s">
        <v>335</v>
      </c>
      <c r="LH2" s="328" t="s">
        <v>336</v>
      </c>
      <c r="LI2" s="328" t="s">
        <v>337</v>
      </c>
      <c r="LJ2" s="328" t="s">
        <v>338</v>
      </c>
      <c r="LK2" s="328" t="s">
        <v>339</v>
      </c>
      <c r="LL2" s="328" t="s">
        <v>340</v>
      </c>
      <c r="LM2" s="328" t="s">
        <v>341</v>
      </c>
      <c r="LN2" s="328" t="s">
        <v>342</v>
      </c>
      <c r="LO2" s="328" t="s">
        <v>343</v>
      </c>
      <c r="LP2" s="328" t="s">
        <v>344</v>
      </c>
      <c r="LQ2" s="328" t="s">
        <v>345</v>
      </c>
      <c r="LR2" s="328" t="s">
        <v>334</v>
      </c>
      <c r="LS2" s="328" t="s">
        <v>335</v>
      </c>
      <c r="LT2" s="328" t="s">
        <v>336</v>
      </c>
      <c r="LU2" s="328" t="s">
        <v>337</v>
      </c>
      <c r="LV2" s="328" t="s">
        <v>338</v>
      </c>
      <c r="LW2" s="328" t="s">
        <v>339</v>
      </c>
      <c r="LX2" s="328" t="s">
        <v>340</v>
      </c>
      <c r="LY2" s="328" t="s">
        <v>341</v>
      </c>
      <c r="LZ2" s="328" t="s">
        <v>342</v>
      </c>
      <c r="MA2" s="328" t="s">
        <v>343</v>
      </c>
      <c r="MB2" s="328" t="s">
        <v>344</v>
      </c>
      <c r="MC2" s="328" t="s">
        <v>345</v>
      </c>
      <c r="MD2" s="328" t="s">
        <v>334</v>
      </c>
      <c r="ME2" s="328" t="s">
        <v>335</v>
      </c>
      <c r="MF2" s="328" t="s">
        <v>336</v>
      </c>
      <c r="MG2" s="328" t="s">
        <v>337</v>
      </c>
      <c r="MH2" s="328" t="s">
        <v>338</v>
      </c>
      <c r="MI2" s="328" t="s">
        <v>339</v>
      </c>
      <c r="MJ2" s="328" t="s">
        <v>340</v>
      </c>
      <c r="MK2" s="328" t="s">
        <v>341</v>
      </c>
      <c r="ML2" s="328" t="s">
        <v>342</v>
      </c>
      <c r="MM2" s="328" t="s">
        <v>343</v>
      </c>
      <c r="MN2" s="328" t="s">
        <v>344</v>
      </c>
      <c r="MO2" s="328" t="s">
        <v>345</v>
      </c>
      <c r="MP2" s="328" t="s">
        <v>334</v>
      </c>
      <c r="MQ2" s="328" t="s">
        <v>335</v>
      </c>
      <c r="MR2" s="328" t="s">
        <v>336</v>
      </c>
      <c r="MS2" s="328" t="s">
        <v>337</v>
      </c>
      <c r="MT2" s="328" t="s">
        <v>338</v>
      </c>
      <c r="MU2" s="328" t="s">
        <v>339</v>
      </c>
      <c r="MV2" s="328" t="s">
        <v>340</v>
      </c>
      <c r="MW2" s="328" t="s">
        <v>341</v>
      </c>
      <c r="MX2" s="328" t="s">
        <v>342</v>
      </c>
      <c r="MY2" s="328" t="s">
        <v>343</v>
      </c>
      <c r="MZ2" s="328" t="s">
        <v>344</v>
      </c>
      <c r="NA2" s="328" t="s">
        <v>345</v>
      </c>
      <c r="NB2" s="328" t="s">
        <v>334</v>
      </c>
      <c r="NC2" s="328" t="s">
        <v>335</v>
      </c>
      <c r="ND2" s="328" t="s">
        <v>336</v>
      </c>
      <c r="NE2" s="328" t="s">
        <v>337</v>
      </c>
      <c r="NF2" s="328" t="s">
        <v>338</v>
      </c>
      <c r="NG2" s="328" t="s">
        <v>339</v>
      </c>
      <c r="NH2" s="328" t="s">
        <v>340</v>
      </c>
      <c r="NI2" s="328" t="s">
        <v>341</v>
      </c>
      <c r="NJ2" s="328" t="s">
        <v>342</v>
      </c>
      <c r="NK2" s="328" t="s">
        <v>343</v>
      </c>
      <c r="NL2" s="328" t="s">
        <v>344</v>
      </c>
      <c r="NM2" s="328" t="s">
        <v>345</v>
      </c>
      <c r="NN2" s="328" t="s">
        <v>334</v>
      </c>
      <c r="NO2" s="328" t="s">
        <v>335</v>
      </c>
      <c r="NP2" s="328" t="s">
        <v>336</v>
      </c>
      <c r="NQ2" s="328" t="s">
        <v>337</v>
      </c>
      <c r="NR2" s="328" t="s">
        <v>338</v>
      </c>
      <c r="NS2" s="328" t="s">
        <v>339</v>
      </c>
      <c r="NT2" s="328" t="s">
        <v>340</v>
      </c>
      <c r="NU2" s="328" t="s">
        <v>341</v>
      </c>
      <c r="NV2" s="328" t="s">
        <v>342</v>
      </c>
      <c r="NW2" s="328" t="s">
        <v>343</v>
      </c>
      <c r="NX2" s="328" t="s">
        <v>344</v>
      </c>
      <c r="NY2" s="328" t="s">
        <v>345</v>
      </c>
      <c r="NZ2" s="328" t="s">
        <v>334</v>
      </c>
      <c r="OA2" s="328" t="s">
        <v>335</v>
      </c>
      <c r="OB2" s="328" t="s">
        <v>336</v>
      </c>
      <c r="OC2" s="328" t="s">
        <v>337</v>
      </c>
      <c r="OD2" s="328" t="s">
        <v>338</v>
      </c>
      <c r="OE2" s="328" t="s">
        <v>339</v>
      </c>
      <c r="OF2" s="328" t="s">
        <v>340</v>
      </c>
      <c r="OG2" s="328" t="s">
        <v>341</v>
      </c>
      <c r="OH2" s="328" t="s">
        <v>342</v>
      </c>
      <c r="OI2" s="328" t="s">
        <v>343</v>
      </c>
      <c r="OJ2" s="328" t="s">
        <v>344</v>
      </c>
      <c r="OK2" s="328" t="s">
        <v>345</v>
      </c>
    </row>
    <row r="3" spans="1:402" ht="12.75" customHeight="1" thickBot="1">
      <c r="A3" s="320" t="s">
        <v>404</v>
      </c>
      <c r="B3" s="320" t="s">
        <v>405</v>
      </c>
      <c r="C3" s="320" t="s">
        <v>406</v>
      </c>
      <c r="D3" s="320" t="s">
        <v>407</v>
      </c>
      <c r="E3" s="329">
        <v>0</v>
      </c>
      <c r="F3" s="329">
        <v>0</v>
      </c>
      <c r="G3" s="329">
        <v>0</v>
      </c>
      <c r="H3" s="329">
        <v>0</v>
      </c>
      <c r="I3" s="329">
        <v>0</v>
      </c>
      <c r="J3" s="329">
        <v>0</v>
      </c>
      <c r="K3" s="329">
        <v>0</v>
      </c>
      <c r="L3" s="329">
        <v>0</v>
      </c>
      <c r="M3" s="329">
        <v>0</v>
      </c>
      <c r="N3" s="329">
        <v>0</v>
      </c>
      <c r="O3" s="329">
        <v>0</v>
      </c>
      <c r="P3" s="329">
        <v>0</v>
      </c>
      <c r="Q3" s="329">
        <v>0</v>
      </c>
      <c r="R3" s="329">
        <v>0</v>
      </c>
      <c r="S3" s="329">
        <v>0</v>
      </c>
      <c r="T3" s="329">
        <v>0</v>
      </c>
      <c r="U3" s="329">
        <v>0</v>
      </c>
      <c r="V3" s="329">
        <v>0</v>
      </c>
      <c r="W3" s="329">
        <v>0</v>
      </c>
      <c r="X3" s="329">
        <v>0</v>
      </c>
      <c r="Y3" s="329">
        <v>0</v>
      </c>
      <c r="Z3" s="329">
        <v>0</v>
      </c>
      <c r="AA3" s="329">
        <v>0</v>
      </c>
      <c r="AB3" s="329">
        <v>0</v>
      </c>
      <c r="AC3" s="329">
        <v>0</v>
      </c>
      <c r="AD3" s="329">
        <v>0</v>
      </c>
      <c r="AE3" s="329">
        <v>0</v>
      </c>
      <c r="AF3" s="329">
        <v>0</v>
      </c>
      <c r="AG3" s="329">
        <v>0</v>
      </c>
      <c r="AH3" s="329">
        <v>0</v>
      </c>
      <c r="AI3" s="329">
        <v>0</v>
      </c>
      <c r="AJ3" s="329">
        <v>0</v>
      </c>
      <c r="AK3" s="329">
        <v>0</v>
      </c>
      <c r="AL3" s="329">
        <v>0</v>
      </c>
      <c r="AM3" s="329">
        <v>0</v>
      </c>
      <c r="AN3" s="329">
        <v>0</v>
      </c>
      <c r="AO3" s="330">
        <v>2782.22</v>
      </c>
      <c r="AP3" s="330">
        <v>2760.44</v>
      </c>
      <c r="AQ3" s="330">
        <v>2808.98</v>
      </c>
      <c r="AR3" s="330">
        <v>2851.31</v>
      </c>
      <c r="AS3" s="330">
        <v>2675.48</v>
      </c>
      <c r="AT3" s="330">
        <v>2598.61</v>
      </c>
      <c r="AU3" s="330">
        <v>2376.42</v>
      </c>
      <c r="AV3" s="330">
        <v>2602.66</v>
      </c>
      <c r="AW3" s="330">
        <v>2642.49</v>
      </c>
      <c r="AX3" s="330">
        <v>2679.21</v>
      </c>
      <c r="AY3" s="330">
        <v>2662.72</v>
      </c>
      <c r="AZ3" s="330">
        <v>2686.06</v>
      </c>
      <c r="BA3" s="329">
        <v>0</v>
      </c>
      <c r="BB3" s="329">
        <v>0</v>
      </c>
      <c r="BC3" s="329">
        <v>0</v>
      </c>
      <c r="BD3" s="329">
        <v>0</v>
      </c>
      <c r="BE3" s="329">
        <v>0</v>
      </c>
      <c r="BF3" s="329">
        <v>0</v>
      </c>
      <c r="BG3" s="329">
        <v>0</v>
      </c>
      <c r="BH3" s="329">
        <v>0</v>
      </c>
      <c r="BI3" s="329">
        <v>0</v>
      </c>
      <c r="BJ3" s="329">
        <v>0</v>
      </c>
      <c r="BK3" s="329">
        <v>0</v>
      </c>
      <c r="BL3" s="329">
        <v>0</v>
      </c>
      <c r="BM3" s="331"/>
      <c r="BN3" s="331"/>
      <c r="BO3" s="331"/>
      <c r="BP3" s="331"/>
      <c r="BQ3" s="331"/>
      <c r="BR3" s="331"/>
      <c r="BS3" s="331"/>
      <c r="BT3" s="331"/>
      <c r="BU3" s="331"/>
      <c r="BV3" s="331"/>
      <c r="BW3" s="331"/>
      <c r="BX3" s="331"/>
      <c r="BY3" s="329">
        <v>0</v>
      </c>
      <c r="BZ3" s="329">
        <v>0</v>
      </c>
      <c r="CA3" s="329">
        <v>0</v>
      </c>
      <c r="CB3" s="329">
        <v>0</v>
      </c>
      <c r="CC3" s="329">
        <v>0</v>
      </c>
      <c r="CD3" s="329">
        <v>0</v>
      </c>
      <c r="CE3" s="329">
        <v>0</v>
      </c>
      <c r="CF3" s="329">
        <v>0</v>
      </c>
      <c r="CG3" s="329">
        <v>0</v>
      </c>
      <c r="CH3" s="329">
        <v>0</v>
      </c>
      <c r="CI3" s="329">
        <v>0</v>
      </c>
      <c r="CJ3" s="329">
        <v>0</v>
      </c>
      <c r="CK3" s="329">
        <v>0</v>
      </c>
      <c r="CL3" s="329">
        <v>0</v>
      </c>
      <c r="CM3" s="329">
        <v>0</v>
      </c>
      <c r="CN3" s="329">
        <v>0</v>
      </c>
      <c r="CO3" s="329">
        <v>0</v>
      </c>
      <c r="CP3" s="329">
        <v>0</v>
      </c>
      <c r="CQ3" s="329">
        <v>0</v>
      </c>
      <c r="CR3" s="329">
        <v>0</v>
      </c>
      <c r="CS3" s="329">
        <v>0</v>
      </c>
      <c r="CT3" s="329">
        <v>0</v>
      </c>
      <c r="CU3" s="329">
        <v>0</v>
      </c>
      <c r="CV3" s="329">
        <v>0</v>
      </c>
      <c r="CW3" s="329">
        <v>0</v>
      </c>
      <c r="CX3" s="329">
        <v>0</v>
      </c>
      <c r="CY3" s="329">
        <v>0</v>
      </c>
      <c r="CZ3" s="329">
        <v>0</v>
      </c>
      <c r="DA3" s="329">
        <v>0</v>
      </c>
      <c r="DB3" s="329">
        <v>0</v>
      </c>
      <c r="DC3" s="329">
        <v>0</v>
      </c>
      <c r="DD3" s="329">
        <v>0</v>
      </c>
      <c r="DE3" s="329">
        <v>0</v>
      </c>
      <c r="DF3" s="329">
        <v>0</v>
      </c>
      <c r="DG3" s="329">
        <v>0</v>
      </c>
      <c r="DH3" s="329">
        <v>0</v>
      </c>
      <c r="DI3" s="331"/>
      <c r="DJ3" s="331"/>
      <c r="DK3" s="331"/>
      <c r="DL3" s="331"/>
      <c r="DM3" s="331"/>
      <c r="DN3" s="331"/>
      <c r="DO3" s="331"/>
      <c r="DP3" s="331"/>
      <c r="DQ3" s="331"/>
      <c r="DR3" s="331"/>
      <c r="DS3" s="331"/>
      <c r="DT3" s="331"/>
      <c r="DU3" s="330">
        <v>37.08</v>
      </c>
      <c r="DV3" s="330">
        <v>36.78</v>
      </c>
      <c r="DW3" s="330">
        <v>37.46</v>
      </c>
      <c r="DX3" s="330">
        <v>38.049999999999997</v>
      </c>
      <c r="DY3" s="330">
        <v>35.590000000000003</v>
      </c>
      <c r="DZ3" s="330">
        <v>34.51</v>
      </c>
      <c r="EA3" s="330">
        <v>31.4</v>
      </c>
      <c r="EB3" s="330">
        <v>34.57</v>
      </c>
      <c r="EC3" s="330">
        <v>35.130000000000003</v>
      </c>
      <c r="ED3" s="330">
        <v>35.64</v>
      </c>
      <c r="EE3" s="330">
        <v>35.409999999999997</v>
      </c>
      <c r="EF3" s="330">
        <v>35.74</v>
      </c>
      <c r="EG3" s="329">
        <v>0</v>
      </c>
      <c r="EH3" s="329">
        <v>0</v>
      </c>
      <c r="EI3" s="329">
        <v>0</v>
      </c>
      <c r="EJ3" s="329">
        <v>0</v>
      </c>
      <c r="EK3" s="329">
        <v>0</v>
      </c>
      <c r="EL3" s="329">
        <v>0</v>
      </c>
      <c r="EM3" s="329">
        <v>0</v>
      </c>
      <c r="EN3" s="329">
        <v>0</v>
      </c>
      <c r="EO3" s="329">
        <v>0</v>
      </c>
      <c r="EP3" s="329">
        <v>0</v>
      </c>
      <c r="EQ3" s="329">
        <v>0</v>
      </c>
      <c r="ER3" s="329">
        <v>0</v>
      </c>
      <c r="ES3" s="331"/>
      <c r="ET3" s="331"/>
      <c r="EU3" s="331"/>
      <c r="EV3" s="331"/>
      <c r="EW3" s="331"/>
      <c r="EX3" s="331"/>
      <c r="EY3" s="331"/>
      <c r="EZ3" s="331"/>
      <c r="FA3" s="331"/>
      <c r="FB3" s="331"/>
      <c r="FC3" s="331"/>
      <c r="FD3" s="331"/>
      <c r="FE3" s="329">
        <v>0</v>
      </c>
      <c r="FF3" s="329">
        <v>0</v>
      </c>
      <c r="FG3" s="329">
        <v>0</v>
      </c>
      <c r="FH3" s="329">
        <v>0</v>
      </c>
      <c r="FI3" s="329">
        <v>0</v>
      </c>
      <c r="FJ3" s="329">
        <v>0</v>
      </c>
      <c r="FK3" s="329">
        <v>0</v>
      </c>
      <c r="FL3" s="329">
        <v>0</v>
      </c>
      <c r="FM3" s="329">
        <v>0</v>
      </c>
      <c r="FN3" s="329">
        <v>0</v>
      </c>
      <c r="FO3" s="329">
        <v>0</v>
      </c>
      <c r="FP3" s="329">
        <v>0</v>
      </c>
      <c r="FQ3" s="329">
        <v>0</v>
      </c>
      <c r="FR3" s="329">
        <v>0</v>
      </c>
      <c r="FS3" s="329">
        <v>0</v>
      </c>
      <c r="FT3" s="329">
        <v>0</v>
      </c>
      <c r="FU3" s="329">
        <v>0</v>
      </c>
      <c r="FV3" s="329">
        <v>0</v>
      </c>
      <c r="FW3" s="329">
        <v>0</v>
      </c>
      <c r="FX3" s="329">
        <v>0</v>
      </c>
      <c r="FY3" s="329">
        <v>0</v>
      </c>
      <c r="FZ3" s="329">
        <v>0</v>
      </c>
      <c r="GA3" s="329">
        <v>0</v>
      </c>
      <c r="GB3" s="329">
        <v>0</v>
      </c>
      <c r="GC3" s="330">
        <v>4252.95</v>
      </c>
      <c r="GD3" s="330">
        <v>4249.09</v>
      </c>
      <c r="GE3" s="330">
        <v>4257.6899999999996</v>
      </c>
      <c r="GF3" s="330">
        <v>4221.9399999999996</v>
      </c>
      <c r="GG3" s="330">
        <v>4190.79</v>
      </c>
      <c r="GH3" s="330">
        <v>3791.93</v>
      </c>
      <c r="GI3" s="330">
        <v>3752.56</v>
      </c>
      <c r="GJ3" s="330">
        <v>3792.65</v>
      </c>
      <c r="GK3" s="330">
        <v>3799.7</v>
      </c>
      <c r="GL3" s="330">
        <v>3806.21</v>
      </c>
      <c r="GM3" s="330">
        <v>3803.29</v>
      </c>
      <c r="GN3" s="330">
        <v>3820.56</v>
      </c>
      <c r="GO3" s="331"/>
      <c r="GP3" s="331"/>
      <c r="GQ3" s="331"/>
      <c r="GR3" s="331"/>
      <c r="GS3" s="331"/>
      <c r="GT3" s="331"/>
      <c r="GU3" s="331"/>
      <c r="GV3" s="331"/>
      <c r="GW3" s="331"/>
      <c r="GX3" s="331"/>
      <c r="GY3" s="331"/>
      <c r="GZ3" s="331"/>
      <c r="HA3" s="330">
        <v>39.979999999999997</v>
      </c>
      <c r="HB3" s="330">
        <v>92.41</v>
      </c>
      <c r="HC3" s="330">
        <v>102.61</v>
      </c>
      <c r="HD3" s="329">
        <v>0</v>
      </c>
      <c r="HE3" s="329">
        <v>0</v>
      </c>
      <c r="HF3" s="329">
        <v>0</v>
      </c>
      <c r="HG3" s="329">
        <v>0</v>
      </c>
      <c r="HH3" s="329">
        <v>0</v>
      </c>
      <c r="HI3" s="329">
        <v>0</v>
      </c>
      <c r="HJ3" s="329">
        <v>0</v>
      </c>
      <c r="HK3" s="329">
        <v>0</v>
      </c>
      <c r="HL3" s="329">
        <v>0</v>
      </c>
      <c r="HM3" s="331"/>
      <c r="HN3" s="331"/>
      <c r="HO3" s="331"/>
      <c r="HP3" s="331"/>
      <c r="HQ3" s="331"/>
      <c r="HR3" s="331"/>
      <c r="HS3" s="331"/>
      <c r="HT3" s="331"/>
      <c r="HU3" s="331"/>
      <c r="HV3" s="331"/>
      <c r="HW3" s="331"/>
      <c r="HX3" s="331"/>
      <c r="HY3" s="329">
        <v>0</v>
      </c>
      <c r="HZ3" s="329">
        <v>0</v>
      </c>
      <c r="IA3" s="329">
        <v>0</v>
      </c>
      <c r="IB3" s="329">
        <v>0</v>
      </c>
      <c r="IC3" s="329">
        <v>0</v>
      </c>
      <c r="ID3" s="329">
        <v>0</v>
      </c>
      <c r="IE3" s="329">
        <v>0</v>
      </c>
      <c r="IF3" s="329">
        <v>0</v>
      </c>
      <c r="IG3" s="329">
        <v>0</v>
      </c>
      <c r="IH3" s="329">
        <v>0</v>
      </c>
      <c r="II3" s="329">
        <v>0</v>
      </c>
      <c r="IJ3" s="329">
        <v>0</v>
      </c>
      <c r="IK3" s="331"/>
      <c r="IL3" s="331"/>
      <c r="IM3" s="331"/>
      <c r="IN3" s="331"/>
      <c r="IO3" s="331"/>
      <c r="IP3" s="331"/>
      <c r="IQ3" s="331"/>
      <c r="IR3" s="331"/>
      <c r="IS3" s="331"/>
      <c r="IT3" s="331"/>
      <c r="IU3" s="331"/>
      <c r="IV3" s="331"/>
      <c r="IW3" s="331"/>
      <c r="IX3" s="331"/>
      <c r="IY3" s="331"/>
      <c r="IZ3" s="331"/>
      <c r="JA3" s="331"/>
      <c r="JB3" s="331"/>
      <c r="JC3" s="331"/>
      <c r="JD3" s="331"/>
      <c r="JE3" s="331"/>
      <c r="JF3" s="331"/>
      <c r="JG3" s="331"/>
      <c r="JH3" s="331"/>
      <c r="JI3" s="330">
        <v>97.5</v>
      </c>
      <c r="JJ3" s="331"/>
      <c r="JK3" s="331"/>
      <c r="JL3" s="331"/>
      <c r="JM3" s="331"/>
      <c r="JN3" s="331"/>
      <c r="JO3" s="331"/>
      <c r="JP3" s="331"/>
      <c r="JQ3" s="331"/>
      <c r="JR3" s="331"/>
      <c r="JS3" s="331"/>
      <c r="JT3" s="331"/>
      <c r="JU3" s="331"/>
      <c r="JV3" s="331"/>
      <c r="JW3" s="331"/>
      <c r="JX3" s="331"/>
      <c r="JY3" s="331"/>
      <c r="JZ3" s="331"/>
      <c r="KA3" s="331"/>
      <c r="KB3" s="331"/>
      <c r="KC3" s="331"/>
      <c r="KD3" s="331"/>
      <c r="KE3" s="331"/>
      <c r="KF3" s="331"/>
      <c r="KG3" s="331"/>
      <c r="KH3" s="331"/>
      <c r="KI3" s="331"/>
      <c r="KJ3" s="331"/>
      <c r="KK3" s="331"/>
      <c r="KL3" s="331"/>
      <c r="KM3" s="331"/>
      <c r="KN3" s="331"/>
      <c r="KO3" s="331"/>
      <c r="KP3" s="331"/>
      <c r="KQ3" s="331"/>
      <c r="KR3" s="331"/>
      <c r="KS3" s="331"/>
      <c r="KT3" s="331"/>
      <c r="KU3" s="331"/>
      <c r="KV3" s="331"/>
      <c r="KW3" s="331"/>
      <c r="KX3" s="331"/>
      <c r="KY3" s="331"/>
      <c r="KZ3" s="331"/>
      <c r="LA3" s="331"/>
      <c r="LB3" s="331"/>
      <c r="LC3" s="331"/>
      <c r="LD3" s="331"/>
      <c r="LE3" s="331"/>
      <c r="LF3" s="331"/>
      <c r="LG3" s="331"/>
      <c r="LH3" s="331"/>
      <c r="LI3" s="331"/>
      <c r="LJ3" s="331"/>
      <c r="LK3" s="331"/>
      <c r="LL3" s="331"/>
      <c r="LM3" s="331"/>
      <c r="LN3" s="331"/>
      <c r="LO3" s="331"/>
      <c r="LP3" s="331"/>
      <c r="LQ3" s="331"/>
      <c r="LR3" s="331"/>
      <c r="LS3" s="331"/>
      <c r="LT3" s="331"/>
      <c r="LU3" s="331"/>
      <c r="LV3" s="331"/>
      <c r="LW3" s="331"/>
      <c r="LX3" s="331"/>
      <c r="LY3" s="331"/>
      <c r="LZ3" s="331"/>
      <c r="MA3" s="331"/>
      <c r="MB3" s="331"/>
      <c r="MC3" s="331"/>
      <c r="MD3" s="331"/>
      <c r="ME3" s="331"/>
      <c r="MF3" s="331"/>
      <c r="MG3" s="331"/>
      <c r="MH3" s="331"/>
      <c r="MI3" s="331"/>
      <c r="MJ3" s="331"/>
      <c r="MK3" s="331"/>
      <c r="ML3" s="331"/>
      <c r="MM3" s="331"/>
      <c r="MN3" s="331"/>
      <c r="MO3" s="331"/>
      <c r="MP3" s="331"/>
      <c r="MQ3" s="331"/>
      <c r="MR3" s="331"/>
      <c r="MS3" s="331"/>
      <c r="MT3" s="331"/>
      <c r="MU3" s="331"/>
      <c r="MV3" s="331"/>
      <c r="MW3" s="331"/>
      <c r="MX3" s="331"/>
      <c r="MY3" s="331"/>
      <c r="MZ3" s="331"/>
      <c r="NA3" s="331"/>
      <c r="NB3" s="331"/>
      <c r="NC3" s="331"/>
      <c r="ND3" s="331"/>
      <c r="NE3" s="331"/>
      <c r="NF3" s="331"/>
      <c r="NG3" s="331"/>
      <c r="NH3" s="331"/>
      <c r="NI3" s="331"/>
      <c r="NJ3" s="331"/>
      <c r="NK3" s="331"/>
      <c r="NL3" s="331"/>
      <c r="NM3" s="331"/>
      <c r="NN3" s="331"/>
      <c r="NO3" s="331"/>
      <c r="NP3" s="331"/>
      <c r="NQ3" s="331"/>
      <c r="NR3" s="331"/>
      <c r="NS3" s="331"/>
      <c r="NT3" s="331"/>
      <c r="NU3" s="331"/>
      <c r="NV3" s="331"/>
      <c r="NW3" s="331"/>
      <c r="NX3" s="331"/>
      <c r="NY3" s="331"/>
      <c r="NZ3" s="331"/>
      <c r="OA3" s="331"/>
      <c r="OB3" s="331"/>
      <c r="OC3" s="331"/>
      <c r="OD3" s="331"/>
      <c r="OE3" s="331"/>
      <c r="OF3" s="331"/>
      <c r="OG3" s="331"/>
      <c r="OH3" s="331"/>
      <c r="OI3" s="331"/>
      <c r="OJ3" s="331"/>
      <c r="OK3" s="331"/>
      <c r="OL3" s="332">
        <f t="shared" ref="OL3:OL34" si="0">SUM(E3:OK3)</f>
        <v>80625.820000000007</v>
      </c>
    </row>
    <row r="4" spans="1:402" ht="12.75" customHeight="1" thickBot="1">
      <c r="A4" s="320" t="s">
        <v>404</v>
      </c>
      <c r="B4" s="320" t="s">
        <v>405</v>
      </c>
      <c r="C4" s="320" t="s">
        <v>406</v>
      </c>
      <c r="D4" s="328" t="s">
        <v>408</v>
      </c>
      <c r="E4" s="329">
        <v>0</v>
      </c>
      <c r="F4" s="329">
        <v>0</v>
      </c>
      <c r="G4" s="329">
        <v>0</v>
      </c>
      <c r="H4" s="329">
        <v>0</v>
      </c>
      <c r="I4" s="329">
        <v>0</v>
      </c>
      <c r="J4" s="329">
        <v>0</v>
      </c>
      <c r="K4" s="329">
        <v>0</v>
      </c>
      <c r="L4" s="329">
        <v>0</v>
      </c>
      <c r="M4" s="329">
        <v>0</v>
      </c>
      <c r="N4" s="329">
        <v>0</v>
      </c>
      <c r="O4" s="329">
        <v>0</v>
      </c>
      <c r="P4" s="329">
        <v>0</v>
      </c>
      <c r="Q4" s="329">
        <v>0</v>
      </c>
      <c r="R4" s="329">
        <v>0</v>
      </c>
      <c r="S4" s="329">
        <v>0</v>
      </c>
      <c r="T4" s="329">
        <v>0</v>
      </c>
      <c r="U4" s="329">
        <v>0</v>
      </c>
      <c r="V4" s="329">
        <v>0</v>
      </c>
      <c r="W4" s="329">
        <v>0</v>
      </c>
      <c r="X4" s="329">
        <v>0</v>
      </c>
      <c r="Y4" s="329">
        <v>0</v>
      </c>
      <c r="Z4" s="329">
        <v>0</v>
      </c>
      <c r="AA4" s="329">
        <v>0</v>
      </c>
      <c r="AB4" s="329">
        <v>0</v>
      </c>
      <c r="AC4" s="329">
        <v>0</v>
      </c>
      <c r="AD4" s="329">
        <v>0</v>
      </c>
      <c r="AE4" s="329">
        <v>0</v>
      </c>
      <c r="AF4" s="329">
        <v>0</v>
      </c>
      <c r="AG4" s="329">
        <v>0</v>
      </c>
      <c r="AH4" s="329">
        <v>0</v>
      </c>
      <c r="AI4" s="329">
        <v>0</v>
      </c>
      <c r="AJ4" s="329">
        <v>0</v>
      </c>
      <c r="AK4" s="329">
        <v>0</v>
      </c>
      <c r="AL4" s="329">
        <v>0</v>
      </c>
      <c r="AM4" s="329">
        <v>0</v>
      </c>
      <c r="AN4" s="329">
        <v>0</v>
      </c>
      <c r="AO4" s="330">
        <v>13918.51</v>
      </c>
      <c r="AP4" s="330">
        <v>13380.76</v>
      </c>
      <c r="AQ4" s="330">
        <v>12789.48</v>
      </c>
      <c r="AR4" s="330">
        <v>12735.64</v>
      </c>
      <c r="AS4" s="330">
        <v>12305.25</v>
      </c>
      <c r="AT4" s="330">
        <v>12108.26</v>
      </c>
      <c r="AU4" s="330">
        <v>12430.98</v>
      </c>
      <c r="AV4" s="330">
        <v>13058.36</v>
      </c>
      <c r="AW4" s="330">
        <v>12914.89</v>
      </c>
      <c r="AX4" s="330">
        <v>14169.65</v>
      </c>
      <c r="AY4" s="330">
        <v>14151.6</v>
      </c>
      <c r="AZ4" s="330">
        <v>14940.49</v>
      </c>
      <c r="BA4" s="329">
        <v>0</v>
      </c>
      <c r="BB4" s="329">
        <v>0</v>
      </c>
      <c r="BC4" s="329">
        <v>0</v>
      </c>
      <c r="BD4" s="329">
        <v>0</v>
      </c>
      <c r="BE4" s="329">
        <v>0</v>
      </c>
      <c r="BF4" s="329">
        <v>0</v>
      </c>
      <c r="BG4" s="329">
        <v>0</v>
      </c>
      <c r="BH4" s="329">
        <v>0</v>
      </c>
      <c r="BI4" s="329">
        <v>0</v>
      </c>
      <c r="BJ4" s="329">
        <v>0</v>
      </c>
      <c r="BK4" s="329">
        <v>0</v>
      </c>
      <c r="BL4" s="329">
        <v>0</v>
      </c>
      <c r="BM4" s="331"/>
      <c r="BN4" s="331"/>
      <c r="BO4" s="331"/>
      <c r="BP4" s="331"/>
      <c r="BQ4" s="331"/>
      <c r="BR4" s="331"/>
      <c r="BS4" s="331"/>
      <c r="BT4" s="331"/>
      <c r="BU4" s="331"/>
      <c r="BV4" s="331"/>
      <c r="BW4" s="331"/>
      <c r="BX4" s="331"/>
      <c r="BY4" s="329">
        <v>0</v>
      </c>
      <c r="BZ4" s="329">
        <v>0</v>
      </c>
      <c r="CA4" s="329">
        <v>0</v>
      </c>
      <c r="CB4" s="329">
        <v>0</v>
      </c>
      <c r="CC4" s="329">
        <v>0</v>
      </c>
      <c r="CD4" s="329">
        <v>0</v>
      </c>
      <c r="CE4" s="329">
        <v>0</v>
      </c>
      <c r="CF4" s="329">
        <v>0</v>
      </c>
      <c r="CG4" s="329">
        <v>0</v>
      </c>
      <c r="CH4" s="329">
        <v>0</v>
      </c>
      <c r="CI4" s="329">
        <v>0</v>
      </c>
      <c r="CJ4" s="329">
        <v>0</v>
      </c>
      <c r="CK4" s="329">
        <v>0</v>
      </c>
      <c r="CL4" s="329">
        <v>0</v>
      </c>
      <c r="CM4" s="329">
        <v>0</v>
      </c>
      <c r="CN4" s="329">
        <v>0</v>
      </c>
      <c r="CO4" s="329">
        <v>0</v>
      </c>
      <c r="CP4" s="329">
        <v>0</v>
      </c>
      <c r="CQ4" s="329">
        <v>0</v>
      </c>
      <c r="CR4" s="329">
        <v>0</v>
      </c>
      <c r="CS4" s="329">
        <v>0</v>
      </c>
      <c r="CT4" s="329">
        <v>0</v>
      </c>
      <c r="CU4" s="329">
        <v>0</v>
      </c>
      <c r="CV4" s="329">
        <v>0</v>
      </c>
      <c r="CW4" s="329">
        <v>0</v>
      </c>
      <c r="CX4" s="329">
        <v>0</v>
      </c>
      <c r="CY4" s="329">
        <v>0</v>
      </c>
      <c r="CZ4" s="329">
        <v>0</v>
      </c>
      <c r="DA4" s="329">
        <v>0</v>
      </c>
      <c r="DB4" s="329">
        <v>0</v>
      </c>
      <c r="DC4" s="329">
        <v>0</v>
      </c>
      <c r="DD4" s="329">
        <v>0</v>
      </c>
      <c r="DE4" s="329">
        <v>0</v>
      </c>
      <c r="DF4" s="329">
        <v>0</v>
      </c>
      <c r="DG4" s="329">
        <v>0</v>
      </c>
      <c r="DH4" s="329">
        <v>0</v>
      </c>
      <c r="DI4" s="331"/>
      <c r="DJ4" s="331"/>
      <c r="DK4" s="331"/>
      <c r="DL4" s="331"/>
      <c r="DM4" s="331"/>
      <c r="DN4" s="331"/>
      <c r="DO4" s="331"/>
      <c r="DP4" s="331"/>
      <c r="DQ4" s="331"/>
      <c r="DR4" s="331"/>
      <c r="DS4" s="331"/>
      <c r="DT4" s="331"/>
      <c r="DU4" s="330">
        <v>193.04</v>
      </c>
      <c r="DV4" s="330">
        <v>185.51</v>
      </c>
      <c r="DW4" s="330">
        <v>177.23</v>
      </c>
      <c r="DX4" s="330">
        <v>176.48</v>
      </c>
      <c r="DY4" s="330">
        <v>170.45</v>
      </c>
      <c r="DZ4" s="330">
        <v>167.69</v>
      </c>
      <c r="EA4" s="330">
        <v>172.21</v>
      </c>
      <c r="EB4" s="329">
        <v>181</v>
      </c>
      <c r="EC4" s="330">
        <v>178.99</v>
      </c>
      <c r="ED4" s="330">
        <v>196.56</v>
      </c>
      <c r="EE4" s="330">
        <v>196.31</v>
      </c>
      <c r="EF4" s="330">
        <v>207.35</v>
      </c>
      <c r="EG4" s="329">
        <v>0</v>
      </c>
      <c r="EH4" s="329">
        <v>0</v>
      </c>
      <c r="EI4" s="329">
        <v>0</v>
      </c>
      <c r="EJ4" s="329">
        <v>0</v>
      </c>
      <c r="EK4" s="329">
        <v>0</v>
      </c>
      <c r="EL4" s="329">
        <v>0</v>
      </c>
      <c r="EM4" s="329">
        <v>0</v>
      </c>
      <c r="EN4" s="329">
        <v>0</v>
      </c>
      <c r="EO4" s="329">
        <v>0</v>
      </c>
      <c r="EP4" s="329">
        <v>0</v>
      </c>
      <c r="EQ4" s="329">
        <v>0</v>
      </c>
      <c r="ER4" s="329">
        <v>0</v>
      </c>
      <c r="ES4" s="331"/>
      <c r="ET4" s="331"/>
      <c r="EU4" s="331"/>
      <c r="EV4" s="331"/>
      <c r="EW4" s="331"/>
      <c r="EX4" s="331"/>
      <c r="EY4" s="331"/>
      <c r="EZ4" s="331"/>
      <c r="FA4" s="331"/>
      <c r="FB4" s="331"/>
      <c r="FC4" s="331"/>
      <c r="FD4" s="331"/>
      <c r="FE4" s="329">
        <v>0</v>
      </c>
      <c r="FF4" s="329">
        <v>0</v>
      </c>
      <c r="FG4" s="329">
        <v>0</v>
      </c>
      <c r="FH4" s="329">
        <v>0</v>
      </c>
      <c r="FI4" s="329">
        <v>0</v>
      </c>
      <c r="FJ4" s="329">
        <v>0</v>
      </c>
      <c r="FK4" s="329">
        <v>0</v>
      </c>
      <c r="FL4" s="329">
        <v>0</v>
      </c>
      <c r="FM4" s="329">
        <v>0</v>
      </c>
      <c r="FN4" s="329">
        <v>0</v>
      </c>
      <c r="FO4" s="329">
        <v>0</v>
      </c>
      <c r="FP4" s="329">
        <v>0</v>
      </c>
      <c r="FQ4" s="329">
        <v>0</v>
      </c>
      <c r="FR4" s="329">
        <v>0</v>
      </c>
      <c r="FS4" s="329">
        <v>0</v>
      </c>
      <c r="FT4" s="329">
        <v>0</v>
      </c>
      <c r="FU4" s="329">
        <v>0</v>
      </c>
      <c r="FV4" s="329">
        <v>0</v>
      </c>
      <c r="FW4" s="329">
        <v>0</v>
      </c>
      <c r="FX4" s="329">
        <v>0</v>
      </c>
      <c r="FY4" s="329">
        <v>0</v>
      </c>
      <c r="FZ4" s="329">
        <v>0</v>
      </c>
      <c r="GA4" s="329">
        <v>0</v>
      </c>
      <c r="GB4" s="329">
        <v>0</v>
      </c>
      <c r="GC4" s="330">
        <v>29291.599999999999</v>
      </c>
      <c r="GD4" s="330">
        <v>29196.31</v>
      </c>
      <c r="GE4" s="330">
        <v>29091.54</v>
      </c>
      <c r="GF4" s="330">
        <v>29042.799999999999</v>
      </c>
      <c r="GG4" s="330">
        <v>28966.54</v>
      </c>
      <c r="GH4" s="330">
        <v>26170.47</v>
      </c>
      <c r="GI4" s="330">
        <v>26227.66</v>
      </c>
      <c r="GJ4" s="330">
        <v>26338.82</v>
      </c>
      <c r="GK4" s="330">
        <v>26313.4</v>
      </c>
      <c r="GL4" s="330">
        <v>26535.73</v>
      </c>
      <c r="GM4" s="330">
        <v>26532.54</v>
      </c>
      <c r="GN4" s="330">
        <v>26525.85</v>
      </c>
      <c r="GO4" s="331"/>
      <c r="GP4" s="331"/>
      <c r="GQ4" s="331"/>
      <c r="GR4" s="331"/>
      <c r="GS4" s="331"/>
      <c r="GT4" s="331"/>
      <c r="GU4" s="331"/>
      <c r="GV4" s="331"/>
      <c r="GW4" s="331"/>
      <c r="GX4" s="331"/>
      <c r="GY4" s="331"/>
      <c r="GZ4" s="331"/>
      <c r="HA4" s="330">
        <v>659.12</v>
      </c>
      <c r="HB4" s="330">
        <v>572.83000000000004</v>
      </c>
      <c r="HC4" s="330">
        <v>593.03</v>
      </c>
      <c r="HD4" s="330">
        <v>615.05999999999995</v>
      </c>
      <c r="HE4" s="330">
        <v>580.17999999999995</v>
      </c>
      <c r="HF4" s="330">
        <v>911.98</v>
      </c>
      <c r="HG4" s="330">
        <v>947.3</v>
      </c>
      <c r="HH4" s="330">
        <v>1034.01</v>
      </c>
      <c r="HI4" s="330">
        <v>1095.02</v>
      </c>
      <c r="HJ4" s="330">
        <v>1104.6500000000001</v>
      </c>
      <c r="HK4" s="330">
        <v>1107.8599999999999</v>
      </c>
      <c r="HL4" s="330">
        <v>1249.1600000000001</v>
      </c>
      <c r="HM4" s="331"/>
      <c r="HN4" s="331"/>
      <c r="HO4" s="331"/>
      <c r="HP4" s="331"/>
      <c r="HQ4" s="331"/>
      <c r="HR4" s="331"/>
      <c r="HS4" s="331"/>
      <c r="HT4" s="331"/>
      <c r="HU4" s="331"/>
      <c r="HV4" s="331"/>
      <c r="HW4" s="331"/>
      <c r="HX4" s="331"/>
      <c r="HY4" s="329">
        <v>0</v>
      </c>
      <c r="HZ4" s="329">
        <v>0</v>
      </c>
      <c r="IA4" s="329">
        <v>0</v>
      </c>
      <c r="IB4" s="329">
        <v>0</v>
      </c>
      <c r="IC4" s="329">
        <v>0</v>
      </c>
      <c r="ID4" s="329">
        <v>0</v>
      </c>
      <c r="IE4" s="329">
        <v>0</v>
      </c>
      <c r="IF4" s="329">
        <v>0</v>
      </c>
      <c r="IG4" s="329">
        <v>0</v>
      </c>
      <c r="IH4" s="329">
        <v>0</v>
      </c>
      <c r="II4" s="329">
        <v>0</v>
      </c>
      <c r="IJ4" s="329">
        <v>0</v>
      </c>
      <c r="IK4" s="331"/>
      <c r="IL4" s="331"/>
      <c r="IM4" s="331"/>
      <c r="IN4" s="331"/>
      <c r="IO4" s="331"/>
      <c r="IP4" s="331"/>
      <c r="IQ4" s="331"/>
      <c r="IR4" s="331"/>
      <c r="IS4" s="331"/>
      <c r="IT4" s="331"/>
      <c r="IU4" s="331"/>
      <c r="IV4" s="331"/>
      <c r="IW4" s="331"/>
      <c r="IX4" s="331"/>
      <c r="IY4" s="331"/>
      <c r="IZ4" s="331"/>
      <c r="JA4" s="331"/>
      <c r="JB4" s="331"/>
      <c r="JC4" s="331"/>
      <c r="JD4" s="331"/>
      <c r="JE4" s="331"/>
      <c r="JF4" s="331"/>
      <c r="JG4" s="331"/>
      <c r="JH4" s="331"/>
      <c r="JI4" s="330">
        <v>565.70000000000005</v>
      </c>
      <c r="JJ4" s="331"/>
      <c r="JK4" s="331"/>
      <c r="JL4" s="331"/>
      <c r="JM4" s="331"/>
      <c r="JN4" s="331"/>
      <c r="JO4" s="331"/>
      <c r="JP4" s="331"/>
      <c r="JQ4" s="331"/>
      <c r="JR4" s="331"/>
      <c r="JS4" s="331"/>
      <c r="JT4" s="331"/>
      <c r="JU4" s="331"/>
      <c r="JV4" s="331"/>
      <c r="JW4" s="331"/>
      <c r="JX4" s="331"/>
      <c r="JY4" s="331"/>
      <c r="JZ4" s="331"/>
      <c r="KA4" s="331"/>
      <c r="KB4" s="331"/>
      <c r="KC4" s="331"/>
      <c r="KD4" s="331"/>
      <c r="KE4" s="331"/>
      <c r="KF4" s="331"/>
      <c r="KG4" s="331"/>
      <c r="KH4" s="331"/>
      <c r="KI4" s="331"/>
      <c r="KJ4" s="331"/>
      <c r="KK4" s="331"/>
      <c r="KL4" s="331"/>
      <c r="KM4" s="331"/>
      <c r="KN4" s="331"/>
      <c r="KO4" s="331"/>
      <c r="KP4" s="331"/>
      <c r="KQ4" s="331"/>
      <c r="KR4" s="331"/>
      <c r="KS4" s="331"/>
      <c r="KT4" s="331"/>
      <c r="KU4" s="331"/>
      <c r="KV4" s="331"/>
      <c r="KW4" s="331"/>
      <c r="KX4" s="331"/>
      <c r="KY4" s="331"/>
      <c r="KZ4" s="331"/>
      <c r="LA4" s="331"/>
      <c r="LB4" s="331"/>
      <c r="LC4" s="331"/>
      <c r="LD4" s="331"/>
      <c r="LE4" s="331"/>
      <c r="LF4" s="331"/>
      <c r="LG4" s="331"/>
      <c r="LH4" s="331"/>
      <c r="LI4" s="331"/>
      <c r="LJ4" s="331"/>
      <c r="LK4" s="331"/>
      <c r="LL4" s="331"/>
      <c r="LM4" s="331"/>
      <c r="LN4" s="331"/>
      <c r="LO4" s="331"/>
      <c r="LP4" s="331"/>
      <c r="LQ4" s="331"/>
      <c r="LR4" s="331"/>
      <c r="LS4" s="331"/>
      <c r="LT4" s="331"/>
      <c r="LU4" s="331"/>
      <c r="LV4" s="331"/>
      <c r="LW4" s="331"/>
      <c r="LX4" s="331"/>
      <c r="LY4" s="331"/>
      <c r="LZ4" s="331"/>
      <c r="MA4" s="331"/>
      <c r="MB4" s="331"/>
      <c r="MC4" s="331"/>
      <c r="MD4" s="331"/>
      <c r="ME4" s="331"/>
      <c r="MF4" s="331"/>
      <c r="MG4" s="331"/>
      <c r="MH4" s="331"/>
      <c r="MI4" s="331"/>
      <c r="MJ4" s="331"/>
      <c r="MK4" s="331"/>
      <c r="ML4" s="331"/>
      <c r="MM4" s="331"/>
      <c r="MN4" s="331"/>
      <c r="MO4" s="331"/>
      <c r="MP4" s="331"/>
      <c r="MQ4" s="331"/>
      <c r="MR4" s="331"/>
      <c r="MS4" s="331"/>
      <c r="MT4" s="331"/>
      <c r="MU4" s="331"/>
      <c r="MV4" s="331"/>
      <c r="MW4" s="331"/>
      <c r="MX4" s="331"/>
      <c r="MY4" s="331"/>
      <c r="MZ4" s="331"/>
      <c r="NA4" s="331"/>
      <c r="NB4" s="331"/>
      <c r="NC4" s="331"/>
      <c r="ND4" s="331"/>
      <c r="NE4" s="331"/>
      <c r="NF4" s="331"/>
      <c r="NG4" s="331"/>
      <c r="NH4" s="331"/>
      <c r="NI4" s="331"/>
      <c r="NJ4" s="331"/>
      <c r="NK4" s="331"/>
      <c r="NL4" s="331"/>
      <c r="NM4" s="331"/>
      <c r="NN4" s="331"/>
      <c r="NO4" s="331"/>
      <c r="NP4" s="331"/>
      <c r="NQ4" s="331"/>
      <c r="NR4" s="331"/>
      <c r="NS4" s="331"/>
      <c r="NT4" s="331"/>
      <c r="NU4" s="331"/>
      <c r="NV4" s="331"/>
      <c r="NW4" s="331"/>
      <c r="NX4" s="331"/>
      <c r="NY4" s="331"/>
      <c r="NZ4" s="331"/>
      <c r="OA4" s="331"/>
      <c r="OB4" s="331"/>
      <c r="OC4" s="331"/>
      <c r="OD4" s="331"/>
      <c r="OE4" s="331"/>
      <c r="OF4" s="331"/>
      <c r="OG4" s="331"/>
      <c r="OH4" s="331"/>
      <c r="OI4" s="331"/>
      <c r="OJ4" s="331"/>
      <c r="OK4" s="331"/>
      <c r="OL4" s="332">
        <f t="shared" si="0"/>
        <v>502375.84999999992</v>
      </c>
    </row>
    <row r="5" spans="1:402" ht="12.75" customHeight="1" thickBot="1">
      <c r="A5" s="320" t="s">
        <v>404</v>
      </c>
      <c r="B5" s="320" t="s">
        <v>405</v>
      </c>
      <c r="C5" s="320" t="s">
        <v>406</v>
      </c>
      <c r="D5" s="328" t="s">
        <v>409</v>
      </c>
      <c r="E5" s="329">
        <v>0</v>
      </c>
      <c r="F5" s="329">
        <v>0</v>
      </c>
      <c r="G5" s="329">
        <v>0</v>
      </c>
      <c r="H5" s="329">
        <v>0</v>
      </c>
      <c r="I5" s="329">
        <v>0</v>
      </c>
      <c r="J5" s="329">
        <v>0</v>
      </c>
      <c r="K5" s="329">
        <v>0</v>
      </c>
      <c r="L5" s="329">
        <v>0</v>
      </c>
      <c r="M5" s="329">
        <v>0</v>
      </c>
      <c r="N5" s="329">
        <v>0</v>
      </c>
      <c r="O5" s="329">
        <v>0</v>
      </c>
      <c r="P5" s="329">
        <v>0</v>
      </c>
      <c r="Q5" s="329">
        <v>0</v>
      </c>
      <c r="R5" s="329">
        <v>0</v>
      </c>
      <c r="S5" s="329">
        <v>0</v>
      </c>
      <c r="T5" s="329">
        <v>0</v>
      </c>
      <c r="U5" s="329">
        <v>0</v>
      </c>
      <c r="V5" s="329">
        <v>0</v>
      </c>
      <c r="W5" s="329">
        <v>0</v>
      </c>
      <c r="X5" s="329">
        <v>0</v>
      </c>
      <c r="Y5" s="329">
        <v>0</v>
      </c>
      <c r="Z5" s="329">
        <v>0</v>
      </c>
      <c r="AA5" s="329">
        <v>0</v>
      </c>
      <c r="AB5" s="329">
        <v>0</v>
      </c>
      <c r="AC5" s="329">
        <v>0</v>
      </c>
      <c r="AD5" s="329">
        <v>0</v>
      </c>
      <c r="AE5" s="329">
        <v>0</v>
      </c>
      <c r="AF5" s="329">
        <v>0</v>
      </c>
      <c r="AG5" s="329">
        <v>0</v>
      </c>
      <c r="AH5" s="329">
        <v>0</v>
      </c>
      <c r="AI5" s="329">
        <v>0</v>
      </c>
      <c r="AJ5" s="329">
        <v>0</v>
      </c>
      <c r="AK5" s="329">
        <v>0</v>
      </c>
      <c r="AL5" s="329">
        <v>0</v>
      </c>
      <c r="AM5" s="329">
        <v>0</v>
      </c>
      <c r="AN5" s="329">
        <v>0</v>
      </c>
      <c r="AO5" s="330">
        <v>671.97</v>
      </c>
      <c r="AP5" s="330">
        <v>636.19000000000005</v>
      </c>
      <c r="AQ5" s="330">
        <v>683.8</v>
      </c>
      <c r="AR5" s="330">
        <v>592.92999999999995</v>
      </c>
      <c r="AS5" s="330">
        <v>630.27</v>
      </c>
      <c r="AT5" s="330">
        <v>821.35</v>
      </c>
      <c r="AU5" s="330">
        <v>863.05</v>
      </c>
      <c r="AV5" s="330">
        <v>875.19</v>
      </c>
      <c r="AW5" s="330">
        <v>727.06</v>
      </c>
      <c r="AX5" s="330">
        <v>727.06</v>
      </c>
      <c r="AY5" s="330">
        <v>727.06</v>
      </c>
      <c r="AZ5" s="330">
        <v>727.06</v>
      </c>
      <c r="BA5" s="329">
        <v>0</v>
      </c>
      <c r="BB5" s="329">
        <v>0</v>
      </c>
      <c r="BC5" s="329">
        <v>0</v>
      </c>
      <c r="BD5" s="329">
        <v>0</v>
      </c>
      <c r="BE5" s="329">
        <v>0</v>
      </c>
      <c r="BF5" s="329">
        <v>0</v>
      </c>
      <c r="BG5" s="329">
        <v>0</v>
      </c>
      <c r="BH5" s="329">
        <v>0</v>
      </c>
      <c r="BI5" s="329">
        <v>0</v>
      </c>
      <c r="BJ5" s="329">
        <v>0</v>
      </c>
      <c r="BK5" s="329">
        <v>0</v>
      </c>
      <c r="BL5" s="329">
        <v>0</v>
      </c>
      <c r="BM5" s="331"/>
      <c r="BN5" s="331"/>
      <c r="BO5" s="331"/>
      <c r="BP5" s="331"/>
      <c r="BQ5" s="331"/>
      <c r="BR5" s="331"/>
      <c r="BS5" s="331"/>
      <c r="BT5" s="331"/>
      <c r="BU5" s="331"/>
      <c r="BV5" s="331"/>
      <c r="BW5" s="331"/>
      <c r="BX5" s="331"/>
      <c r="BY5" s="329">
        <v>0</v>
      </c>
      <c r="BZ5" s="329">
        <v>0</v>
      </c>
      <c r="CA5" s="329">
        <v>0</v>
      </c>
      <c r="CB5" s="329">
        <v>0</v>
      </c>
      <c r="CC5" s="329">
        <v>0</v>
      </c>
      <c r="CD5" s="329">
        <v>0</v>
      </c>
      <c r="CE5" s="329">
        <v>0</v>
      </c>
      <c r="CF5" s="329">
        <v>0</v>
      </c>
      <c r="CG5" s="329">
        <v>0</v>
      </c>
      <c r="CH5" s="329">
        <v>0</v>
      </c>
      <c r="CI5" s="329">
        <v>0</v>
      </c>
      <c r="CJ5" s="329">
        <v>0</v>
      </c>
      <c r="CK5" s="329">
        <v>0</v>
      </c>
      <c r="CL5" s="329">
        <v>0</v>
      </c>
      <c r="CM5" s="329">
        <v>0</v>
      </c>
      <c r="CN5" s="329">
        <v>0</v>
      </c>
      <c r="CO5" s="329">
        <v>0</v>
      </c>
      <c r="CP5" s="329">
        <v>0</v>
      </c>
      <c r="CQ5" s="329">
        <v>0</v>
      </c>
      <c r="CR5" s="329">
        <v>0</v>
      </c>
      <c r="CS5" s="329">
        <v>0</v>
      </c>
      <c r="CT5" s="329">
        <v>0</v>
      </c>
      <c r="CU5" s="329">
        <v>0</v>
      </c>
      <c r="CV5" s="329">
        <v>0</v>
      </c>
      <c r="CW5" s="329">
        <v>0</v>
      </c>
      <c r="CX5" s="329">
        <v>0</v>
      </c>
      <c r="CY5" s="329">
        <v>0</v>
      </c>
      <c r="CZ5" s="329">
        <v>0</v>
      </c>
      <c r="DA5" s="329">
        <v>0</v>
      </c>
      <c r="DB5" s="329">
        <v>0</v>
      </c>
      <c r="DC5" s="329">
        <v>0</v>
      </c>
      <c r="DD5" s="329">
        <v>0</v>
      </c>
      <c r="DE5" s="329">
        <v>0</v>
      </c>
      <c r="DF5" s="329">
        <v>0</v>
      </c>
      <c r="DG5" s="329">
        <v>0</v>
      </c>
      <c r="DH5" s="329">
        <v>0</v>
      </c>
      <c r="DI5" s="331"/>
      <c r="DJ5" s="331"/>
      <c r="DK5" s="331"/>
      <c r="DL5" s="331"/>
      <c r="DM5" s="331"/>
      <c r="DN5" s="331"/>
      <c r="DO5" s="331"/>
      <c r="DP5" s="331"/>
      <c r="DQ5" s="331"/>
      <c r="DR5" s="331"/>
      <c r="DS5" s="331"/>
      <c r="DT5" s="331"/>
      <c r="DU5" s="330">
        <v>7.53</v>
      </c>
      <c r="DV5" s="330">
        <v>7.03</v>
      </c>
      <c r="DW5" s="330">
        <v>7.7</v>
      </c>
      <c r="DX5" s="330">
        <v>6.42</v>
      </c>
      <c r="DY5" s="330">
        <v>6.95</v>
      </c>
      <c r="DZ5" s="330">
        <v>9.6199999999999992</v>
      </c>
      <c r="EA5" s="330">
        <v>10.210000000000001</v>
      </c>
      <c r="EB5" s="330">
        <v>10.38</v>
      </c>
      <c r="EC5" s="330">
        <v>8.3000000000000007</v>
      </c>
      <c r="ED5" s="330">
        <v>8.3000000000000007</v>
      </c>
      <c r="EE5" s="330">
        <v>8.3000000000000007</v>
      </c>
      <c r="EF5" s="330">
        <v>8.3000000000000007</v>
      </c>
      <c r="EG5" s="329">
        <v>0</v>
      </c>
      <c r="EH5" s="329">
        <v>0</v>
      </c>
      <c r="EI5" s="329">
        <v>0</v>
      </c>
      <c r="EJ5" s="329">
        <v>0</v>
      </c>
      <c r="EK5" s="329">
        <v>0</v>
      </c>
      <c r="EL5" s="329">
        <v>0</v>
      </c>
      <c r="EM5" s="329">
        <v>0</v>
      </c>
      <c r="EN5" s="329">
        <v>0</v>
      </c>
      <c r="EO5" s="329">
        <v>0</v>
      </c>
      <c r="EP5" s="329">
        <v>0</v>
      </c>
      <c r="EQ5" s="329">
        <v>0</v>
      </c>
      <c r="ER5" s="329">
        <v>0</v>
      </c>
      <c r="ES5" s="331"/>
      <c r="ET5" s="331"/>
      <c r="EU5" s="331"/>
      <c r="EV5" s="331"/>
      <c r="EW5" s="331"/>
      <c r="EX5" s="331"/>
      <c r="EY5" s="331"/>
      <c r="EZ5" s="331"/>
      <c r="FA5" s="331"/>
      <c r="FB5" s="331"/>
      <c r="FC5" s="331"/>
      <c r="FD5" s="331"/>
      <c r="FE5" s="329">
        <v>0</v>
      </c>
      <c r="FF5" s="329">
        <v>0</v>
      </c>
      <c r="FG5" s="329">
        <v>0</v>
      </c>
      <c r="FH5" s="329">
        <v>0</v>
      </c>
      <c r="FI5" s="329">
        <v>0</v>
      </c>
      <c r="FJ5" s="329">
        <v>0</v>
      </c>
      <c r="FK5" s="329">
        <v>0</v>
      </c>
      <c r="FL5" s="329">
        <v>0</v>
      </c>
      <c r="FM5" s="329">
        <v>0</v>
      </c>
      <c r="FN5" s="329">
        <v>0</v>
      </c>
      <c r="FO5" s="329">
        <v>0</v>
      </c>
      <c r="FP5" s="329">
        <v>0</v>
      </c>
      <c r="FQ5" s="329">
        <v>0</v>
      </c>
      <c r="FR5" s="329">
        <v>0</v>
      </c>
      <c r="FS5" s="329">
        <v>0</v>
      </c>
      <c r="FT5" s="329">
        <v>0</v>
      </c>
      <c r="FU5" s="329">
        <v>0</v>
      </c>
      <c r="FV5" s="329">
        <v>0</v>
      </c>
      <c r="FW5" s="329">
        <v>0</v>
      </c>
      <c r="FX5" s="329">
        <v>0</v>
      </c>
      <c r="FY5" s="329">
        <v>0</v>
      </c>
      <c r="FZ5" s="329">
        <v>0</v>
      </c>
      <c r="GA5" s="329">
        <v>0</v>
      </c>
      <c r="GB5" s="329">
        <v>0</v>
      </c>
      <c r="GC5" s="330">
        <v>125.7</v>
      </c>
      <c r="GD5" s="330">
        <v>119.35</v>
      </c>
      <c r="GE5" s="330">
        <v>127.79</v>
      </c>
      <c r="GF5" s="330">
        <v>512.42999999999995</v>
      </c>
      <c r="GG5" s="330">
        <v>519.04999999999995</v>
      </c>
      <c r="GH5" s="330">
        <v>508.5</v>
      </c>
      <c r="GI5" s="330">
        <v>515.89</v>
      </c>
      <c r="GJ5" s="330">
        <v>518.04</v>
      </c>
      <c r="GK5" s="330">
        <v>491.8</v>
      </c>
      <c r="GL5" s="330">
        <v>491.8</v>
      </c>
      <c r="GM5" s="330">
        <v>491.8</v>
      </c>
      <c r="GN5" s="330">
        <v>513.92999999999995</v>
      </c>
      <c r="GO5" s="331"/>
      <c r="GP5" s="331"/>
      <c r="GQ5" s="331"/>
      <c r="GR5" s="331"/>
      <c r="GS5" s="331"/>
      <c r="GT5" s="331"/>
      <c r="GU5" s="331"/>
      <c r="GV5" s="331"/>
      <c r="GW5" s="331"/>
      <c r="GX5" s="331"/>
      <c r="GY5" s="331"/>
      <c r="GZ5" s="331"/>
      <c r="HA5" s="330">
        <v>11.63</v>
      </c>
      <c r="HB5" s="330">
        <v>9.7899999999999991</v>
      </c>
      <c r="HC5" s="330">
        <v>14.69</v>
      </c>
      <c r="HD5" s="330">
        <v>18.97</v>
      </c>
      <c r="HE5" s="330">
        <v>20.81</v>
      </c>
      <c r="HF5" s="330">
        <v>40.68</v>
      </c>
      <c r="HG5" s="330">
        <v>54.59</v>
      </c>
      <c r="HH5" s="330">
        <v>49.24</v>
      </c>
      <c r="HI5" s="330">
        <v>35.32</v>
      </c>
      <c r="HJ5" s="330">
        <v>29.97</v>
      </c>
      <c r="HK5" s="330">
        <v>26.76</v>
      </c>
      <c r="HL5" s="330">
        <v>31.04</v>
      </c>
      <c r="HM5" s="331"/>
      <c r="HN5" s="331"/>
      <c r="HO5" s="331"/>
      <c r="HP5" s="331"/>
      <c r="HQ5" s="331"/>
      <c r="HR5" s="331"/>
      <c r="HS5" s="331"/>
      <c r="HT5" s="331"/>
      <c r="HU5" s="331"/>
      <c r="HV5" s="331"/>
      <c r="HW5" s="331"/>
      <c r="HX5" s="331"/>
      <c r="HY5" s="329">
        <v>0</v>
      </c>
      <c r="HZ5" s="329">
        <v>0</v>
      </c>
      <c r="IA5" s="329">
        <v>0</v>
      </c>
      <c r="IB5" s="329">
        <v>0</v>
      </c>
      <c r="IC5" s="329">
        <v>0</v>
      </c>
      <c r="ID5" s="329">
        <v>0</v>
      </c>
      <c r="IE5" s="329">
        <v>0</v>
      </c>
      <c r="IF5" s="329">
        <v>0</v>
      </c>
      <c r="IG5" s="329">
        <v>0</v>
      </c>
      <c r="IH5" s="329">
        <v>0</v>
      </c>
      <c r="II5" s="329">
        <v>0</v>
      </c>
      <c r="IJ5" s="329">
        <v>0</v>
      </c>
      <c r="IK5" s="331"/>
      <c r="IL5" s="331"/>
      <c r="IM5" s="331"/>
      <c r="IN5" s="331"/>
      <c r="IO5" s="331"/>
      <c r="IP5" s="331"/>
      <c r="IQ5" s="331"/>
      <c r="IR5" s="331"/>
      <c r="IS5" s="331"/>
      <c r="IT5" s="331"/>
      <c r="IU5" s="331"/>
      <c r="IV5" s="331"/>
      <c r="IW5" s="331"/>
      <c r="IX5" s="331"/>
      <c r="IY5" s="331"/>
      <c r="IZ5" s="331"/>
      <c r="JA5" s="331"/>
      <c r="JB5" s="331"/>
      <c r="JC5" s="331"/>
      <c r="JD5" s="331"/>
      <c r="JE5" s="331"/>
      <c r="JF5" s="331"/>
      <c r="JG5" s="331"/>
      <c r="JH5" s="331"/>
      <c r="JI5" s="330">
        <v>22.65</v>
      </c>
      <c r="JJ5" s="331"/>
      <c r="JK5" s="331"/>
      <c r="JL5" s="331"/>
      <c r="JM5" s="331"/>
      <c r="JN5" s="331"/>
      <c r="JO5" s="331"/>
      <c r="JP5" s="331"/>
      <c r="JQ5" s="331"/>
      <c r="JR5" s="331"/>
      <c r="JS5" s="331"/>
      <c r="JT5" s="331"/>
      <c r="JU5" s="331"/>
      <c r="JV5" s="331"/>
      <c r="JW5" s="331"/>
      <c r="JX5" s="331"/>
      <c r="JY5" s="331"/>
      <c r="JZ5" s="331"/>
      <c r="KA5" s="331"/>
      <c r="KB5" s="331"/>
      <c r="KC5" s="331"/>
      <c r="KD5" s="331"/>
      <c r="KE5" s="331"/>
      <c r="KF5" s="331"/>
      <c r="KG5" s="331"/>
      <c r="KH5" s="331"/>
      <c r="KI5" s="331"/>
      <c r="KJ5" s="331"/>
      <c r="KK5" s="331"/>
      <c r="KL5" s="331"/>
      <c r="KM5" s="331"/>
      <c r="KN5" s="331"/>
      <c r="KO5" s="331"/>
      <c r="KP5" s="331"/>
      <c r="KQ5" s="331"/>
      <c r="KR5" s="331"/>
      <c r="KS5" s="331"/>
      <c r="KT5" s="331"/>
      <c r="KU5" s="331"/>
      <c r="KV5" s="331"/>
      <c r="KW5" s="331"/>
      <c r="KX5" s="331"/>
      <c r="KY5" s="331"/>
      <c r="KZ5" s="331"/>
      <c r="LA5" s="331"/>
      <c r="LB5" s="331"/>
      <c r="LC5" s="331"/>
      <c r="LD5" s="331"/>
      <c r="LE5" s="331"/>
      <c r="LF5" s="331"/>
      <c r="LG5" s="331"/>
      <c r="LH5" s="331"/>
      <c r="LI5" s="331"/>
      <c r="LJ5" s="331"/>
      <c r="LK5" s="331"/>
      <c r="LL5" s="331"/>
      <c r="LM5" s="331"/>
      <c r="LN5" s="331"/>
      <c r="LO5" s="331"/>
      <c r="LP5" s="331"/>
      <c r="LQ5" s="331"/>
      <c r="LR5" s="331"/>
      <c r="LS5" s="331"/>
      <c r="LT5" s="331"/>
      <c r="LU5" s="331"/>
      <c r="LV5" s="331"/>
      <c r="LW5" s="331"/>
      <c r="LX5" s="331"/>
      <c r="LY5" s="331"/>
      <c r="LZ5" s="331"/>
      <c r="MA5" s="331"/>
      <c r="MB5" s="331"/>
      <c r="MC5" s="331"/>
      <c r="MD5" s="331"/>
      <c r="ME5" s="331"/>
      <c r="MF5" s="331"/>
      <c r="MG5" s="331"/>
      <c r="MH5" s="331"/>
      <c r="MI5" s="331"/>
      <c r="MJ5" s="331"/>
      <c r="MK5" s="331"/>
      <c r="ML5" s="331"/>
      <c r="MM5" s="331"/>
      <c r="MN5" s="331"/>
      <c r="MO5" s="331"/>
      <c r="MP5" s="331"/>
      <c r="MQ5" s="331"/>
      <c r="MR5" s="331"/>
      <c r="MS5" s="331"/>
      <c r="MT5" s="331"/>
      <c r="MU5" s="331"/>
      <c r="MV5" s="331"/>
      <c r="MW5" s="331"/>
      <c r="MX5" s="331"/>
      <c r="MY5" s="331"/>
      <c r="MZ5" s="331"/>
      <c r="NA5" s="331"/>
      <c r="NB5" s="331"/>
      <c r="NC5" s="331"/>
      <c r="ND5" s="331"/>
      <c r="NE5" s="331"/>
      <c r="NF5" s="331"/>
      <c r="NG5" s="331"/>
      <c r="NH5" s="331"/>
      <c r="NI5" s="331"/>
      <c r="NJ5" s="331"/>
      <c r="NK5" s="331"/>
      <c r="NL5" s="331"/>
      <c r="NM5" s="331"/>
      <c r="NN5" s="331"/>
      <c r="NO5" s="331"/>
      <c r="NP5" s="331"/>
      <c r="NQ5" s="331"/>
      <c r="NR5" s="331"/>
      <c r="NS5" s="331"/>
      <c r="NT5" s="331"/>
      <c r="NU5" s="331"/>
      <c r="NV5" s="331"/>
      <c r="NW5" s="331"/>
      <c r="NX5" s="331"/>
      <c r="NY5" s="331"/>
      <c r="NZ5" s="331"/>
      <c r="OA5" s="331"/>
      <c r="OB5" s="331"/>
      <c r="OC5" s="331"/>
      <c r="OD5" s="331"/>
      <c r="OE5" s="331"/>
      <c r="OF5" s="331"/>
      <c r="OG5" s="331"/>
      <c r="OH5" s="331"/>
      <c r="OI5" s="331"/>
      <c r="OJ5" s="331"/>
      <c r="OK5" s="331"/>
      <c r="OL5" s="332">
        <f t="shared" si="0"/>
        <v>14084.249999999996</v>
      </c>
    </row>
    <row r="6" spans="1:402" ht="12.75" customHeight="1" thickBot="1">
      <c r="A6" s="320" t="s">
        <v>404</v>
      </c>
      <c r="B6" s="320" t="s">
        <v>405</v>
      </c>
      <c r="C6" s="320" t="s">
        <v>406</v>
      </c>
      <c r="D6" s="328" t="s">
        <v>410</v>
      </c>
      <c r="E6" s="329">
        <v>0</v>
      </c>
      <c r="F6" s="329">
        <v>0</v>
      </c>
      <c r="G6" s="329">
        <v>0</v>
      </c>
      <c r="H6" s="329">
        <v>0</v>
      </c>
      <c r="I6" s="329">
        <v>0</v>
      </c>
      <c r="J6" s="329">
        <v>0</v>
      </c>
      <c r="K6" s="329">
        <v>0</v>
      </c>
      <c r="L6" s="329">
        <v>0</v>
      </c>
      <c r="M6" s="329">
        <v>0</v>
      </c>
      <c r="N6" s="329">
        <v>0</v>
      </c>
      <c r="O6" s="329">
        <v>0</v>
      </c>
      <c r="P6" s="329">
        <v>0</v>
      </c>
      <c r="Q6" s="329">
        <v>0</v>
      </c>
      <c r="R6" s="329">
        <v>0</v>
      </c>
      <c r="S6" s="329">
        <v>0</v>
      </c>
      <c r="T6" s="329">
        <v>0</v>
      </c>
      <c r="U6" s="329">
        <v>0</v>
      </c>
      <c r="V6" s="329">
        <v>0</v>
      </c>
      <c r="W6" s="329">
        <v>0</v>
      </c>
      <c r="X6" s="329">
        <v>0</v>
      </c>
      <c r="Y6" s="329">
        <v>0</v>
      </c>
      <c r="Z6" s="329">
        <v>0</v>
      </c>
      <c r="AA6" s="329">
        <v>0</v>
      </c>
      <c r="AB6" s="329">
        <v>0</v>
      </c>
      <c r="AC6" s="329">
        <v>0</v>
      </c>
      <c r="AD6" s="329">
        <v>0</v>
      </c>
      <c r="AE6" s="329">
        <v>0</v>
      </c>
      <c r="AF6" s="329">
        <v>0</v>
      </c>
      <c r="AG6" s="329">
        <v>0</v>
      </c>
      <c r="AH6" s="329">
        <v>0</v>
      </c>
      <c r="AI6" s="329">
        <v>0</v>
      </c>
      <c r="AJ6" s="329">
        <v>0</v>
      </c>
      <c r="AK6" s="329">
        <v>0</v>
      </c>
      <c r="AL6" s="329">
        <v>0</v>
      </c>
      <c r="AM6" s="329">
        <v>0</v>
      </c>
      <c r="AN6" s="329">
        <v>0</v>
      </c>
      <c r="AO6" s="330">
        <v>8045.24</v>
      </c>
      <c r="AP6" s="330">
        <v>8590.15</v>
      </c>
      <c r="AQ6" s="330">
        <v>8606.9500000000007</v>
      </c>
      <c r="AR6" s="330">
        <v>8457.58</v>
      </c>
      <c r="AS6" s="330">
        <v>8409.65</v>
      </c>
      <c r="AT6" s="330">
        <v>8660.48</v>
      </c>
      <c r="AU6" s="330">
        <v>8104.99</v>
      </c>
      <c r="AV6" s="330">
        <v>8690.35</v>
      </c>
      <c r="AW6" s="330">
        <v>8529.15</v>
      </c>
      <c r="AX6" s="330">
        <v>8857.7800000000007</v>
      </c>
      <c r="AY6" s="330">
        <v>8164.74</v>
      </c>
      <c r="AZ6" s="330">
        <v>7853.85</v>
      </c>
      <c r="BA6" s="329">
        <v>0</v>
      </c>
      <c r="BB6" s="329">
        <v>0</v>
      </c>
      <c r="BC6" s="329">
        <v>0</v>
      </c>
      <c r="BD6" s="329">
        <v>0</v>
      </c>
      <c r="BE6" s="329">
        <v>0</v>
      </c>
      <c r="BF6" s="329">
        <v>0</v>
      </c>
      <c r="BG6" s="329">
        <v>0</v>
      </c>
      <c r="BH6" s="329">
        <v>0</v>
      </c>
      <c r="BI6" s="329">
        <v>0</v>
      </c>
      <c r="BJ6" s="329">
        <v>0</v>
      </c>
      <c r="BK6" s="329">
        <v>0</v>
      </c>
      <c r="BL6" s="329">
        <v>0</v>
      </c>
      <c r="BM6" s="331"/>
      <c r="BN6" s="331"/>
      <c r="BO6" s="331"/>
      <c r="BP6" s="331"/>
      <c r="BQ6" s="331"/>
      <c r="BR6" s="331"/>
      <c r="BS6" s="331"/>
      <c r="BT6" s="331"/>
      <c r="BU6" s="331"/>
      <c r="BV6" s="331"/>
      <c r="BW6" s="331"/>
      <c r="BX6" s="331"/>
      <c r="BY6" s="329">
        <v>0</v>
      </c>
      <c r="BZ6" s="329">
        <v>0</v>
      </c>
      <c r="CA6" s="329">
        <v>0</v>
      </c>
      <c r="CB6" s="329">
        <v>0</v>
      </c>
      <c r="CC6" s="329">
        <v>0</v>
      </c>
      <c r="CD6" s="329">
        <v>0</v>
      </c>
      <c r="CE6" s="329">
        <v>0</v>
      </c>
      <c r="CF6" s="329">
        <v>0</v>
      </c>
      <c r="CG6" s="329">
        <v>0</v>
      </c>
      <c r="CH6" s="329">
        <v>0</v>
      </c>
      <c r="CI6" s="329">
        <v>0</v>
      </c>
      <c r="CJ6" s="329">
        <v>0</v>
      </c>
      <c r="CK6" s="329">
        <v>0</v>
      </c>
      <c r="CL6" s="329">
        <v>0</v>
      </c>
      <c r="CM6" s="329">
        <v>0</v>
      </c>
      <c r="CN6" s="329">
        <v>0</v>
      </c>
      <c r="CO6" s="329">
        <v>0</v>
      </c>
      <c r="CP6" s="329">
        <v>0</v>
      </c>
      <c r="CQ6" s="329">
        <v>0</v>
      </c>
      <c r="CR6" s="329">
        <v>0</v>
      </c>
      <c r="CS6" s="329">
        <v>0</v>
      </c>
      <c r="CT6" s="329">
        <v>0</v>
      </c>
      <c r="CU6" s="329">
        <v>0</v>
      </c>
      <c r="CV6" s="329">
        <v>0</v>
      </c>
      <c r="CW6" s="329">
        <v>0</v>
      </c>
      <c r="CX6" s="329">
        <v>0</v>
      </c>
      <c r="CY6" s="329">
        <v>0</v>
      </c>
      <c r="CZ6" s="329">
        <v>0</v>
      </c>
      <c r="DA6" s="329">
        <v>0</v>
      </c>
      <c r="DB6" s="329">
        <v>0</v>
      </c>
      <c r="DC6" s="329">
        <v>0</v>
      </c>
      <c r="DD6" s="329">
        <v>0</v>
      </c>
      <c r="DE6" s="329">
        <v>0</v>
      </c>
      <c r="DF6" s="329">
        <v>0</v>
      </c>
      <c r="DG6" s="329">
        <v>0</v>
      </c>
      <c r="DH6" s="329">
        <v>0</v>
      </c>
      <c r="DI6" s="331"/>
      <c r="DJ6" s="331"/>
      <c r="DK6" s="331"/>
      <c r="DL6" s="331"/>
      <c r="DM6" s="331"/>
      <c r="DN6" s="331"/>
      <c r="DO6" s="331"/>
      <c r="DP6" s="331"/>
      <c r="DQ6" s="331"/>
      <c r="DR6" s="331"/>
      <c r="DS6" s="331"/>
      <c r="DT6" s="331"/>
      <c r="DU6" s="330">
        <v>110.79</v>
      </c>
      <c r="DV6" s="330">
        <v>118.42</v>
      </c>
      <c r="DW6" s="330">
        <v>118.66</v>
      </c>
      <c r="DX6" s="330">
        <v>116.56</v>
      </c>
      <c r="DY6" s="330">
        <v>115.89</v>
      </c>
      <c r="DZ6" s="330">
        <v>119.41</v>
      </c>
      <c r="EA6" s="330">
        <v>111.63</v>
      </c>
      <c r="EB6" s="330">
        <v>119.82</v>
      </c>
      <c r="EC6" s="330">
        <v>117.57</v>
      </c>
      <c r="ED6" s="330">
        <v>122.17</v>
      </c>
      <c r="EE6" s="330">
        <v>112.46</v>
      </c>
      <c r="EF6" s="330">
        <v>108.11</v>
      </c>
      <c r="EG6" s="329">
        <v>0</v>
      </c>
      <c r="EH6" s="329">
        <v>0</v>
      </c>
      <c r="EI6" s="329">
        <v>0</v>
      </c>
      <c r="EJ6" s="329">
        <v>0</v>
      </c>
      <c r="EK6" s="329">
        <v>0</v>
      </c>
      <c r="EL6" s="329">
        <v>0</v>
      </c>
      <c r="EM6" s="329">
        <v>0</v>
      </c>
      <c r="EN6" s="329">
        <v>0</v>
      </c>
      <c r="EO6" s="329">
        <v>0</v>
      </c>
      <c r="EP6" s="329">
        <v>0</v>
      </c>
      <c r="EQ6" s="329">
        <v>0</v>
      </c>
      <c r="ER6" s="329">
        <v>0</v>
      </c>
      <c r="ES6" s="331"/>
      <c r="ET6" s="331"/>
      <c r="EU6" s="331"/>
      <c r="EV6" s="331"/>
      <c r="EW6" s="331"/>
      <c r="EX6" s="331"/>
      <c r="EY6" s="331"/>
      <c r="EZ6" s="331"/>
      <c r="FA6" s="331"/>
      <c r="FB6" s="331"/>
      <c r="FC6" s="331"/>
      <c r="FD6" s="331"/>
      <c r="FE6" s="329">
        <v>0</v>
      </c>
      <c r="FF6" s="329">
        <v>0</v>
      </c>
      <c r="FG6" s="329">
        <v>0</v>
      </c>
      <c r="FH6" s="329">
        <v>0</v>
      </c>
      <c r="FI6" s="329">
        <v>0</v>
      </c>
      <c r="FJ6" s="329">
        <v>0</v>
      </c>
      <c r="FK6" s="329">
        <v>0</v>
      </c>
      <c r="FL6" s="329">
        <v>0</v>
      </c>
      <c r="FM6" s="329">
        <v>0</v>
      </c>
      <c r="FN6" s="329">
        <v>0</v>
      </c>
      <c r="FO6" s="329">
        <v>0</v>
      </c>
      <c r="FP6" s="329">
        <v>0</v>
      </c>
      <c r="FQ6" s="329">
        <v>0</v>
      </c>
      <c r="FR6" s="329">
        <v>0</v>
      </c>
      <c r="FS6" s="329">
        <v>0</v>
      </c>
      <c r="FT6" s="329">
        <v>0</v>
      </c>
      <c r="FU6" s="329">
        <v>0</v>
      </c>
      <c r="FV6" s="329">
        <v>0</v>
      </c>
      <c r="FW6" s="329">
        <v>0</v>
      </c>
      <c r="FX6" s="329">
        <v>0</v>
      </c>
      <c r="FY6" s="329">
        <v>0</v>
      </c>
      <c r="FZ6" s="329">
        <v>0</v>
      </c>
      <c r="GA6" s="329">
        <v>0</v>
      </c>
      <c r="GB6" s="329">
        <v>0</v>
      </c>
      <c r="GC6" s="330">
        <v>16321.85</v>
      </c>
      <c r="GD6" s="330">
        <v>16418.41</v>
      </c>
      <c r="GE6" s="330">
        <v>16421.38</v>
      </c>
      <c r="GF6" s="330">
        <v>17080.849999999999</v>
      </c>
      <c r="GG6" s="330">
        <v>17072.349999999999</v>
      </c>
      <c r="GH6" s="330">
        <v>15509.53</v>
      </c>
      <c r="GI6" s="330">
        <v>15411.1</v>
      </c>
      <c r="GJ6" s="330">
        <v>15514.82</v>
      </c>
      <c r="GK6" s="330">
        <v>15486.26</v>
      </c>
      <c r="GL6" s="330">
        <v>15544.49</v>
      </c>
      <c r="GM6" s="330">
        <v>15421.69</v>
      </c>
      <c r="GN6" s="330">
        <v>15219.26</v>
      </c>
      <c r="GO6" s="331"/>
      <c r="GP6" s="331"/>
      <c r="GQ6" s="331"/>
      <c r="GR6" s="331"/>
      <c r="GS6" s="331"/>
      <c r="GT6" s="331"/>
      <c r="GU6" s="331"/>
      <c r="GV6" s="331"/>
      <c r="GW6" s="331"/>
      <c r="GX6" s="331"/>
      <c r="GY6" s="331"/>
      <c r="GZ6" s="331"/>
      <c r="HA6" s="330">
        <v>451.04</v>
      </c>
      <c r="HB6" s="330">
        <v>428.4</v>
      </c>
      <c r="HC6" s="330">
        <v>494.5</v>
      </c>
      <c r="HD6" s="330">
        <v>476.14</v>
      </c>
      <c r="HE6" s="330">
        <v>456.55</v>
      </c>
      <c r="HF6" s="330">
        <v>697.9</v>
      </c>
      <c r="HG6" s="330">
        <v>692.55</v>
      </c>
      <c r="HH6" s="330">
        <v>727.87</v>
      </c>
      <c r="HI6" s="330">
        <v>784.6</v>
      </c>
      <c r="HJ6" s="330">
        <v>749.28</v>
      </c>
      <c r="HK6" s="330">
        <v>713.96</v>
      </c>
      <c r="HL6" s="330">
        <v>754.63</v>
      </c>
      <c r="HM6" s="331"/>
      <c r="HN6" s="331"/>
      <c r="HO6" s="331"/>
      <c r="HP6" s="331"/>
      <c r="HQ6" s="331"/>
      <c r="HR6" s="331"/>
      <c r="HS6" s="331"/>
      <c r="HT6" s="331"/>
      <c r="HU6" s="331"/>
      <c r="HV6" s="331"/>
      <c r="HW6" s="331"/>
      <c r="HX6" s="331"/>
      <c r="HY6" s="329">
        <v>0</v>
      </c>
      <c r="HZ6" s="329">
        <v>0</v>
      </c>
      <c r="IA6" s="329">
        <v>0</v>
      </c>
      <c r="IB6" s="329">
        <v>0</v>
      </c>
      <c r="IC6" s="329">
        <v>0</v>
      </c>
      <c r="ID6" s="329">
        <v>0</v>
      </c>
      <c r="IE6" s="329">
        <v>0</v>
      </c>
      <c r="IF6" s="329">
        <v>0</v>
      </c>
      <c r="IG6" s="329">
        <v>0</v>
      </c>
      <c r="IH6" s="329">
        <v>0</v>
      </c>
      <c r="II6" s="329">
        <v>0</v>
      </c>
      <c r="IJ6" s="329">
        <v>0</v>
      </c>
      <c r="IK6" s="331"/>
      <c r="IL6" s="331"/>
      <c r="IM6" s="331"/>
      <c r="IN6" s="331"/>
      <c r="IO6" s="331"/>
      <c r="IP6" s="331"/>
      <c r="IQ6" s="331"/>
      <c r="IR6" s="331"/>
      <c r="IS6" s="331"/>
      <c r="IT6" s="331"/>
      <c r="IU6" s="331"/>
      <c r="IV6" s="331"/>
      <c r="IW6" s="331"/>
      <c r="IX6" s="331"/>
      <c r="IY6" s="331"/>
      <c r="IZ6" s="331"/>
      <c r="JA6" s="331"/>
      <c r="JB6" s="331"/>
      <c r="JC6" s="331"/>
      <c r="JD6" s="331"/>
      <c r="JE6" s="331"/>
      <c r="JF6" s="331"/>
      <c r="JG6" s="331"/>
      <c r="JH6" s="331"/>
      <c r="JI6" s="330">
        <v>294.94</v>
      </c>
      <c r="JJ6" s="331"/>
      <c r="JK6" s="331"/>
      <c r="JL6" s="331"/>
      <c r="JM6" s="331"/>
      <c r="JN6" s="331"/>
      <c r="JO6" s="331"/>
      <c r="JP6" s="331"/>
      <c r="JQ6" s="331"/>
      <c r="JR6" s="331"/>
      <c r="JS6" s="331"/>
      <c r="JT6" s="331"/>
      <c r="JU6" s="331"/>
      <c r="JV6" s="331"/>
      <c r="JW6" s="331"/>
      <c r="JX6" s="331"/>
      <c r="JY6" s="331"/>
      <c r="JZ6" s="331"/>
      <c r="KA6" s="331"/>
      <c r="KB6" s="331"/>
      <c r="KC6" s="331"/>
      <c r="KD6" s="331"/>
      <c r="KE6" s="331"/>
      <c r="KF6" s="331"/>
      <c r="KG6" s="331"/>
      <c r="KH6" s="331"/>
      <c r="KI6" s="331"/>
      <c r="KJ6" s="331"/>
      <c r="KK6" s="331"/>
      <c r="KL6" s="331"/>
      <c r="KM6" s="331"/>
      <c r="KN6" s="331"/>
      <c r="KO6" s="331"/>
      <c r="KP6" s="331"/>
      <c r="KQ6" s="331"/>
      <c r="KR6" s="331"/>
      <c r="KS6" s="331"/>
      <c r="KT6" s="331"/>
      <c r="KU6" s="331"/>
      <c r="KV6" s="331"/>
      <c r="KW6" s="331"/>
      <c r="KX6" s="331"/>
      <c r="KY6" s="331"/>
      <c r="KZ6" s="331"/>
      <c r="LA6" s="331"/>
      <c r="LB6" s="331"/>
      <c r="LC6" s="331"/>
      <c r="LD6" s="331"/>
      <c r="LE6" s="331"/>
      <c r="LF6" s="331"/>
      <c r="LG6" s="331"/>
      <c r="LH6" s="331"/>
      <c r="LI6" s="331"/>
      <c r="LJ6" s="331"/>
      <c r="LK6" s="331"/>
      <c r="LL6" s="331"/>
      <c r="LM6" s="331"/>
      <c r="LN6" s="331"/>
      <c r="LO6" s="331"/>
      <c r="LP6" s="331"/>
      <c r="LQ6" s="331"/>
      <c r="LR6" s="331"/>
      <c r="LS6" s="331"/>
      <c r="LT6" s="331"/>
      <c r="LU6" s="331"/>
      <c r="LV6" s="331"/>
      <c r="LW6" s="331"/>
      <c r="LX6" s="331"/>
      <c r="LY6" s="331"/>
      <c r="LZ6" s="331"/>
      <c r="MA6" s="331"/>
      <c r="MB6" s="331"/>
      <c r="MC6" s="331"/>
      <c r="MD6" s="331"/>
      <c r="ME6" s="331"/>
      <c r="MF6" s="331"/>
      <c r="MG6" s="331"/>
      <c r="MH6" s="331"/>
      <c r="MI6" s="331"/>
      <c r="MJ6" s="331"/>
      <c r="MK6" s="331"/>
      <c r="ML6" s="331"/>
      <c r="MM6" s="331"/>
      <c r="MN6" s="331"/>
      <c r="MO6" s="331"/>
      <c r="MP6" s="331"/>
      <c r="MQ6" s="331"/>
      <c r="MR6" s="331"/>
      <c r="MS6" s="331"/>
      <c r="MT6" s="331"/>
      <c r="MU6" s="331"/>
      <c r="MV6" s="331"/>
      <c r="MW6" s="331"/>
      <c r="MX6" s="331"/>
      <c r="MY6" s="331"/>
      <c r="MZ6" s="331"/>
      <c r="NA6" s="331"/>
      <c r="NB6" s="331"/>
      <c r="NC6" s="331"/>
      <c r="ND6" s="331"/>
      <c r="NE6" s="331"/>
      <c r="NF6" s="331"/>
      <c r="NG6" s="331"/>
      <c r="NH6" s="331"/>
      <c r="NI6" s="331"/>
      <c r="NJ6" s="331"/>
      <c r="NK6" s="331"/>
      <c r="NL6" s="331"/>
      <c r="NM6" s="331"/>
      <c r="NN6" s="331"/>
      <c r="NO6" s="331"/>
      <c r="NP6" s="331"/>
      <c r="NQ6" s="331"/>
      <c r="NR6" s="331"/>
      <c r="NS6" s="331"/>
      <c r="NT6" s="331"/>
      <c r="NU6" s="331"/>
      <c r="NV6" s="331"/>
      <c r="NW6" s="331"/>
      <c r="NX6" s="331"/>
      <c r="NY6" s="331"/>
      <c r="NZ6" s="331"/>
      <c r="OA6" s="331"/>
      <c r="OB6" s="331"/>
      <c r="OC6" s="331"/>
      <c r="OD6" s="331"/>
      <c r="OE6" s="331"/>
      <c r="OF6" s="331"/>
      <c r="OG6" s="331"/>
      <c r="OH6" s="331"/>
      <c r="OI6" s="331"/>
      <c r="OJ6" s="331"/>
      <c r="OK6" s="331"/>
      <c r="OL6" s="332">
        <f t="shared" si="0"/>
        <v>301506.75000000012</v>
      </c>
    </row>
    <row r="7" spans="1:402" ht="12.75" customHeight="1" thickBot="1">
      <c r="A7" s="320" t="s">
        <v>404</v>
      </c>
      <c r="B7" s="320" t="s">
        <v>405</v>
      </c>
      <c r="C7" s="320" t="s">
        <v>406</v>
      </c>
      <c r="D7" s="328" t="s">
        <v>411</v>
      </c>
      <c r="E7" s="329">
        <v>0</v>
      </c>
      <c r="F7" s="329">
        <v>0</v>
      </c>
      <c r="G7" s="329">
        <v>0</v>
      </c>
      <c r="H7" s="329">
        <v>0</v>
      </c>
      <c r="I7" s="329">
        <v>0</v>
      </c>
      <c r="J7" s="329">
        <v>0</v>
      </c>
      <c r="K7" s="329">
        <v>0</v>
      </c>
      <c r="L7" s="329">
        <v>0</v>
      </c>
      <c r="M7" s="329">
        <v>0</v>
      </c>
      <c r="N7" s="329">
        <v>0</v>
      </c>
      <c r="O7" s="329">
        <v>0</v>
      </c>
      <c r="P7" s="329">
        <v>0</v>
      </c>
      <c r="Q7" s="329">
        <v>0</v>
      </c>
      <c r="R7" s="329">
        <v>0</v>
      </c>
      <c r="S7" s="329">
        <v>0</v>
      </c>
      <c r="T7" s="329">
        <v>0</v>
      </c>
      <c r="U7" s="329">
        <v>0</v>
      </c>
      <c r="V7" s="329">
        <v>0</v>
      </c>
      <c r="W7" s="329">
        <v>0</v>
      </c>
      <c r="X7" s="329">
        <v>0</v>
      </c>
      <c r="Y7" s="329">
        <v>0</v>
      </c>
      <c r="Z7" s="329">
        <v>0</v>
      </c>
      <c r="AA7" s="329">
        <v>0</v>
      </c>
      <c r="AB7" s="329">
        <v>0</v>
      </c>
      <c r="AC7" s="329">
        <v>0</v>
      </c>
      <c r="AD7" s="329">
        <v>0</v>
      </c>
      <c r="AE7" s="329">
        <v>0</v>
      </c>
      <c r="AF7" s="329">
        <v>0</v>
      </c>
      <c r="AG7" s="329">
        <v>0</v>
      </c>
      <c r="AH7" s="329">
        <v>0</v>
      </c>
      <c r="AI7" s="329">
        <v>0</v>
      </c>
      <c r="AJ7" s="329">
        <v>0</v>
      </c>
      <c r="AK7" s="329">
        <v>0</v>
      </c>
      <c r="AL7" s="329">
        <v>0</v>
      </c>
      <c r="AM7" s="329">
        <v>0</v>
      </c>
      <c r="AN7" s="329">
        <v>0</v>
      </c>
      <c r="AO7" s="330">
        <v>9206.94</v>
      </c>
      <c r="AP7" s="330">
        <v>11193.96</v>
      </c>
      <c r="AQ7" s="330">
        <v>10960.87</v>
      </c>
      <c r="AR7" s="330">
        <v>11522.58</v>
      </c>
      <c r="AS7" s="330">
        <v>11462.83</v>
      </c>
      <c r="AT7" s="330">
        <v>10996.97</v>
      </c>
      <c r="AU7" s="330">
        <v>11319.37</v>
      </c>
      <c r="AV7" s="330">
        <v>11122.38</v>
      </c>
      <c r="AW7" s="330">
        <v>9622.7099999999991</v>
      </c>
      <c r="AX7" s="330">
        <v>11241.88</v>
      </c>
      <c r="AY7" s="330">
        <v>10339.709999999999</v>
      </c>
      <c r="AZ7" s="330">
        <v>9694.2800000000007</v>
      </c>
      <c r="BA7" s="329">
        <v>0</v>
      </c>
      <c r="BB7" s="329">
        <v>0</v>
      </c>
      <c r="BC7" s="329">
        <v>0</v>
      </c>
      <c r="BD7" s="329">
        <v>0</v>
      </c>
      <c r="BE7" s="329">
        <v>0</v>
      </c>
      <c r="BF7" s="329">
        <v>0</v>
      </c>
      <c r="BG7" s="329">
        <v>0</v>
      </c>
      <c r="BH7" s="329">
        <v>0</v>
      </c>
      <c r="BI7" s="329">
        <v>0</v>
      </c>
      <c r="BJ7" s="329">
        <v>0</v>
      </c>
      <c r="BK7" s="329">
        <v>0</v>
      </c>
      <c r="BL7" s="329">
        <v>0</v>
      </c>
      <c r="BM7" s="331"/>
      <c r="BN7" s="331"/>
      <c r="BO7" s="331"/>
      <c r="BP7" s="331"/>
      <c r="BQ7" s="331"/>
      <c r="BR7" s="331"/>
      <c r="BS7" s="331"/>
      <c r="BT7" s="331"/>
      <c r="BU7" s="331"/>
      <c r="BV7" s="331"/>
      <c r="BW7" s="331"/>
      <c r="BX7" s="331"/>
      <c r="BY7" s="329">
        <v>0</v>
      </c>
      <c r="BZ7" s="329">
        <v>0</v>
      </c>
      <c r="CA7" s="329">
        <v>0</v>
      </c>
      <c r="CB7" s="329">
        <v>0</v>
      </c>
      <c r="CC7" s="329">
        <v>0</v>
      </c>
      <c r="CD7" s="329">
        <v>0</v>
      </c>
      <c r="CE7" s="329">
        <v>0</v>
      </c>
      <c r="CF7" s="329">
        <v>0</v>
      </c>
      <c r="CG7" s="329">
        <v>0</v>
      </c>
      <c r="CH7" s="329">
        <v>0</v>
      </c>
      <c r="CI7" s="329">
        <v>0</v>
      </c>
      <c r="CJ7" s="329">
        <v>0</v>
      </c>
      <c r="CK7" s="329">
        <v>0</v>
      </c>
      <c r="CL7" s="329">
        <v>0</v>
      </c>
      <c r="CM7" s="329">
        <v>0</v>
      </c>
      <c r="CN7" s="329">
        <v>0</v>
      </c>
      <c r="CO7" s="329">
        <v>0</v>
      </c>
      <c r="CP7" s="329">
        <v>0</v>
      </c>
      <c r="CQ7" s="329">
        <v>0</v>
      </c>
      <c r="CR7" s="329">
        <v>0</v>
      </c>
      <c r="CS7" s="329">
        <v>0</v>
      </c>
      <c r="CT7" s="329">
        <v>0</v>
      </c>
      <c r="CU7" s="329">
        <v>0</v>
      </c>
      <c r="CV7" s="329">
        <v>0</v>
      </c>
      <c r="CW7" s="329">
        <v>0</v>
      </c>
      <c r="CX7" s="329">
        <v>0</v>
      </c>
      <c r="CY7" s="329">
        <v>0</v>
      </c>
      <c r="CZ7" s="329">
        <v>0</v>
      </c>
      <c r="DA7" s="329">
        <v>0</v>
      </c>
      <c r="DB7" s="329">
        <v>0</v>
      </c>
      <c r="DC7" s="329">
        <v>0</v>
      </c>
      <c r="DD7" s="329">
        <v>0</v>
      </c>
      <c r="DE7" s="329">
        <v>0</v>
      </c>
      <c r="DF7" s="329">
        <v>0</v>
      </c>
      <c r="DG7" s="329">
        <v>0</v>
      </c>
      <c r="DH7" s="329">
        <v>0</v>
      </c>
      <c r="DI7" s="331"/>
      <c r="DJ7" s="331"/>
      <c r="DK7" s="331"/>
      <c r="DL7" s="331"/>
      <c r="DM7" s="331"/>
      <c r="DN7" s="331"/>
      <c r="DO7" s="331"/>
      <c r="DP7" s="331"/>
      <c r="DQ7" s="331"/>
      <c r="DR7" s="331"/>
      <c r="DS7" s="331"/>
      <c r="DT7" s="331"/>
      <c r="DU7" s="330">
        <v>127.06</v>
      </c>
      <c r="DV7" s="330">
        <v>154.88999999999999</v>
      </c>
      <c r="DW7" s="330">
        <v>151.62</v>
      </c>
      <c r="DX7" s="330">
        <v>159.49</v>
      </c>
      <c r="DY7" s="330">
        <v>158.65</v>
      </c>
      <c r="DZ7" s="330">
        <v>152.13</v>
      </c>
      <c r="EA7" s="330">
        <v>156.63999999999999</v>
      </c>
      <c r="EB7" s="330">
        <v>153.88</v>
      </c>
      <c r="EC7" s="330">
        <v>132.88</v>
      </c>
      <c r="ED7" s="330">
        <v>155.56</v>
      </c>
      <c r="EE7" s="330">
        <v>142.91999999999999</v>
      </c>
      <c r="EF7" s="330">
        <v>133.88</v>
      </c>
      <c r="EG7" s="329">
        <v>0</v>
      </c>
      <c r="EH7" s="329">
        <v>0</v>
      </c>
      <c r="EI7" s="329">
        <v>0</v>
      </c>
      <c r="EJ7" s="329">
        <v>0</v>
      </c>
      <c r="EK7" s="329">
        <v>0</v>
      </c>
      <c r="EL7" s="329">
        <v>0</v>
      </c>
      <c r="EM7" s="329">
        <v>0</v>
      </c>
      <c r="EN7" s="329">
        <v>0</v>
      </c>
      <c r="EO7" s="329">
        <v>0</v>
      </c>
      <c r="EP7" s="329">
        <v>0</v>
      </c>
      <c r="EQ7" s="329">
        <v>0</v>
      </c>
      <c r="ER7" s="329">
        <v>0</v>
      </c>
      <c r="ES7" s="331"/>
      <c r="ET7" s="331"/>
      <c r="EU7" s="331"/>
      <c r="EV7" s="331"/>
      <c r="EW7" s="331"/>
      <c r="EX7" s="331"/>
      <c r="EY7" s="331"/>
      <c r="EZ7" s="331"/>
      <c r="FA7" s="331"/>
      <c r="FB7" s="331"/>
      <c r="FC7" s="331"/>
      <c r="FD7" s="331"/>
      <c r="FE7" s="329">
        <v>0</v>
      </c>
      <c r="FF7" s="329">
        <v>0</v>
      </c>
      <c r="FG7" s="329">
        <v>0</v>
      </c>
      <c r="FH7" s="329">
        <v>0</v>
      </c>
      <c r="FI7" s="329">
        <v>0</v>
      </c>
      <c r="FJ7" s="329">
        <v>0</v>
      </c>
      <c r="FK7" s="329">
        <v>0</v>
      </c>
      <c r="FL7" s="329">
        <v>0</v>
      </c>
      <c r="FM7" s="329">
        <v>0</v>
      </c>
      <c r="FN7" s="329">
        <v>0</v>
      </c>
      <c r="FO7" s="329">
        <v>0</v>
      </c>
      <c r="FP7" s="329">
        <v>0</v>
      </c>
      <c r="FQ7" s="329">
        <v>0</v>
      </c>
      <c r="FR7" s="329">
        <v>0</v>
      </c>
      <c r="FS7" s="329">
        <v>0</v>
      </c>
      <c r="FT7" s="329">
        <v>0</v>
      </c>
      <c r="FU7" s="329">
        <v>0</v>
      </c>
      <c r="FV7" s="329">
        <v>0</v>
      </c>
      <c r="FW7" s="329">
        <v>0</v>
      </c>
      <c r="FX7" s="329">
        <v>0</v>
      </c>
      <c r="FY7" s="329">
        <v>0</v>
      </c>
      <c r="FZ7" s="329">
        <v>0</v>
      </c>
      <c r="GA7" s="329">
        <v>0</v>
      </c>
      <c r="GB7" s="329">
        <v>0</v>
      </c>
      <c r="GC7" s="330">
        <v>1789.4</v>
      </c>
      <c r="GD7" s="330">
        <v>2141.48</v>
      </c>
      <c r="GE7" s="330">
        <v>2100.1799999999998</v>
      </c>
      <c r="GF7" s="330">
        <v>4486.58</v>
      </c>
      <c r="GG7" s="330">
        <v>4475.99</v>
      </c>
      <c r="GH7" s="330">
        <v>4139.1899999999996</v>
      </c>
      <c r="GI7" s="330">
        <v>4196.32</v>
      </c>
      <c r="GJ7" s="330">
        <v>4161.42</v>
      </c>
      <c r="GK7" s="330">
        <v>3895.69</v>
      </c>
      <c r="GL7" s="330">
        <v>4182.59</v>
      </c>
      <c r="GM7" s="330">
        <v>4022.73</v>
      </c>
      <c r="GN7" s="330">
        <v>4460.83</v>
      </c>
      <c r="GO7" s="331"/>
      <c r="GP7" s="331"/>
      <c r="GQ7" s="331"/>
      <c r="GR7" s="331"/>
      <c r="GS7" s="331"/>
      <c r="GT7" s="331"/>
      <c r="GU7" s="331"/>
      <c r="GV7" s="331"/>
      <c r="GW7" s="331"/>
      <c r="GX7" s="331"/>
      <c r="GY7" s="331"/>
      <c r="GZ7" s="331"/>
      <c r="HA7" s="330">
        <v>248.47</v>
      </c>
      <c r="HB7" s="330">
        <v>412.49</v>
      </c>
      <c r="HC7" s="330">
        <v>514.08000000000004</v>
      </c>
      <c r="HD7" s="330">
        <v>489.6</v>
      </c>
      <c r="HE7" s="330">
        <v>436.36</v>
      </c>
      <c r="HF7" s="330">
        <v>710.75</v>
      </c>
      <c r="HG7" s="330">
        <v>543.76</v>
      </c>
      <c r="HH7" s="330">
        <v>558.75</v>
      </c>
      <c r="HI7" s="330">
        <v>485.96</v>
      </c>
      <c r="HJ7" s="330">
        <v>721.45</v>
      </c>
      <c r="HK7" s="330">
        <v>587.65</v>
      </c>
      <c r="HL7" s="330">
        <v>521.28</v>
      </c>
      <c r="HM7" s="331"/>
      <c r="HN7" s="331"/>
      <c r="HO7" s="331"/>
      <c r="HP7" s="331"/>
      <c r="HQ7" s="331"/>
      <c r="HR7" s="331"/>
      <c r="HS7" s="331"/>
      <c r="HT7" s="331"/>
      <c r="HU7" s="331"/>
      <c r="HV7" s="331"/>
      <c r="HW7" s="331"/>
      <c r="HX7" s="331"/>
      <c r="HY7" s="329">
        <v>0</v>
      </c>
      <c r="HZ7" s="329">
        <v>0</v>
      </c>
      <c r="IA7" s="329">
        <v>0</v>
      </c>
      <c r="IB7" s="329">
        <v>0</v>
      </c>
      <c r="IC7" s="329">
        <v>0</v>
      </c>
      <c r="ID7" s="329">
        <v>0</v>
      </c>
      <c r="IE7" s="329">
        <v>0</v>
      </c>
      <c r="IF7" s="329">
        <v>0</v>
      </c>
      <c r="IG7" s="329">
        <v>0</v>
      </c>
      <c r="IH7" s="329">
        <v>0</v>
      </c>
      <c r="II7" s="329">
        <v>0</v>
      </c>
      <c r="IJ7" s="329">
        <v>0</v>
      </c>
      <c r="IK7" s="331"/>
      <c r="IL7" s="331"/>
      <c r="IM7" s="331"/>
      <c r="IN7" s="331"/>
      <c r="IO7" s="331"/>
      <c r="IP7" s="331"/>
      <c r="IQ7" s="331"/>
      <c r="IR7" s="331"/>
      <c r="IS7" s="331"/>
      <c r="IT7" s="331"/>
      <c r="IU7" s="331"/>
      <c r="IV7" s="331"/>
      <c r="IW7" s="331"/>
      <c r="IX7" s="331"/>
      <c r="IY7" s="331"/>
      <c r="IZ7" s="331"/>
      <c r="JA7" s="331"/>
      <c r="JB7" s="331"/>
      <c r="JC7" s="331"/>
      <c r="JD7" s="331"/>
      <c r="JE7" s="331"/>
      <c r="JF7" s="331"/>
      <c r="JG7" s="331"/>
      <c r="JH7" s="331"/>
      <c r="JI7" s="330">
        <v>365.26</v>
      </c>
      <c r="JJ7" s="331"/>
      <c r="JK7" s="331"/>
      <c r="JL7" s="331"/>
      <c r="JM7" s="331"/>
      <c r="JN7" s="331"/>
      <c r="JO7" s="331"/>
      <c r="JP7" s="331"/>
      <c r="JQ7" s="331"/>
      <c r="JR7" s="331"/>
      <c r="JS7" s="331"/>
      <c r="JT7" s="331"/>
      <c r="JU7" s="331"/>
      <c r="JV7" s="331"/>
      <c r="JW7" s="331"/>
      <c r="JX7" s="331"/>
      <c r="JY7" s="331"/>
      <c r="JZ7" s="331"/>
      <c r="KA7" s="331"/>
      <c r="KB7" s="331"/>
      <c r="KC7" s="331"/>
      <c r="KD7" s="331"/>
      <c r="KE7" s="331"/>
      <c r="KF7" s="331"/>
      <c r="KG7" s="331"/>
      <c r="KH7" s="331"/>
      <c r="KI7" s="331"/>
      <c r="KJ7" s="331"/>
      <c r="KK7" s="331"/>
      <c r="KL7" s="331"/>
      <c r="KM7" s="331"/>
      <c r="KN7" s="331"/>
      <c r="KO7" s="331"/>
      <c r="KP7" s="331"/>
      <c r="KQ7" s="331"/>
      <c r="KR7" s="331"/>
      <c r="KS7" s="331"/>
      <c r="KT7" s="331"/>
      <c r="KU7" s="331"/>
      <c r="KV7" s="331"/>
      <c r="KW7" s="331"/>
      <c r="KX7" s="331"/>
      <c r="KY7" s="331"/>
      <c r="KZ7" s="331"/>
      <c r="LA7" s="331"/>
      <c r="LB7" s="331"/>
      <c r="LC7" s="331"/>
      <c r="LD7" s="331"/>
      <c r="LE7" s="331"/>
      <c r="LF7" s="331"/>
      <c r="LG7" s="331"/>
      <c r="LH7" s="331"/>
      <c r="LI7" s="331"/>
      <c r="LJ7" s="331"/>
      <c r="LK7" s="331"/>
      <c r="LL7" s="331"/>
      <c r="LM7" s="331"/>
      <c r="LN7" s="331"/>
      <c r="LO7" s="331"/>
      <c r="LP7" s="331"/>
      <c r="LQ7" s="331"/>
      <c r="LR7" s="331"/>
      <c r="LS7" s="331"/>
      <c r="LT7" s="331"/>
      <c r="LU7" s="331"/>
      <c r="LV7" s="331"/>
      <c r="LW7" s="331"/>
      <c r="LX7" s="331"/>
      <c r="LY7" s="331"/>
      <c r="LZ7" s="331"/>
      <c r="MA7" s="331"/>
      <c r="MB7" s="331"/>
      <c r="MC7" s="331"/>
      <c r="MD7" s="331"/>
      <c r="ME7" s="331"/>
      <c r="MF7" s="331"/>
      <c r="MG7" s="331"/>
      <c r="MH7" s="331"/>
      <c r="MI7" s="331"/>
      <c r="MJ7" s="331"/>
      <c r="MK7" s="331"/>
      <c r="ML7" s="331"/>
      <c r="MM7" s="331"/>
      <c r="MN7" s="331"/>
      <c r="MO7" s="331"/>
      <c r="MP7" s="331"/>
      <c r="MQ7" s="331"/>
      <c r="MR7" s="331"/>
      <c r="MS7" s="331"/>
      <c r="MT7" s="331"/>
      <c r="MU7" s="331"/>
      <c r="MV7" s="331"/>
      <c r="MW7" s="331"/>
      <c r="MX7" s="331"/>
      <c r="MY7" s="331"/>
      <c r="MZ7" s="331"/>
      <c r="NA7" s="331"/>
      <c r="NB7" s="331"/>
      <c r="NC7" s="331"/>
      <c r="ND7" s="331"/>
      <c r="NE7" s="331"/>
      <c r="NF7" s="331"/>
      <c r="NG7" s="331"/>
      <c r="NH7" s="331"/>
      <c r="NI7" s="331"/>
      <c r="NJ7" s="331"/>
      <c r="NK7" s="331"/>
      <c r="NL7" s="331"/>
      <c r="NM7" s="331"/>
      <c r="NN7" s="331"/>
      <c r="NO7" s="331"/>
      <c r="NP7" s="331"/>
      <c r="NQ7" s="331"/>
      <c r="NR7" s="331"/>
      <c r="NS7" s="331"/>
      <c r="NT7" s="331"/>
      <c r="NU7" s="331"/>
      <c r="NV7" s="331"/>
      <c r="NW7" s="331"/>
      <c r="NX7" s="331"/>
      <c r="NY7" s="331"/>
      <c r="NZ7" s="331"/>
      <c r="OA7" s="331"/>
      <c r="OB7" s="331"/>
      <c r="OC7" s="331"/>
      <c r="OD7" s="331"/>
      <c r="OE7" s="331"/>
      <c r="OF7" s="331"/>
      <c r="OG7" s="331"/>
      <c r="OH7" s="331"/>
      <c r="OI7" s="331"/>
      <c r="OJ7" s="331"/>
      <c r="OK7" s="331"/>
      <c r="OL7" s="332">
        <f t="shared" si="0"/>
        <v>181112.34</v>
      </c>
    </row>
    <row r="8" spans="1:402" ht="12.75" customHeight="1" thickBot="1">
      <c r="A8" s="320" t="s">
        <v>404</v>
      </c>
      <c r="B8" s="320" t="s">
        <v>405</v>
      </c>
      <c r="C8" s="320" t="s">
        <v>406</v>
      </c>
      <c r="D8" s="328" t="s">
        <v>412</v>
      </c>
      <c r="E8" s="329">
        <v>0</v>
      </c>
      <c r="F8" s="329">
        <v>0</v>
      </c>
      <c r="G8" s="329">
        <v>0</v>
      </c>
      <c r="H8" s="329">
        <v>0</v>
      </c>
      <c r="I8" s="329">
        <v>0</v>
      </c>
      <c r="J8" s="329">
        <v>0</v>
      </c>
      <c r="K8" s="329">
        <v>0</v>
      </c>
      <c r="L8" s="329">
        <v>0</v>
      </c>
      <c r="M8" s="329">
        <v>0</v>
      </c>
      <c r="N8" s="329">
        <v>0</v>
      </c>
      <c r="O8" s="329">
        <v>0</v>
      </c>
      <c r="P8" s="329">
        <v>0</v>
      </c>
      <c r="Q8" s="329">
        <v>0</v>
      </c>
      <c r="R8" s="329">
        <v>0</v>
      </c>
      <c r="S8" s="329">
        <v>0</v>
      </c>
      <c r="T8" s="329">
        <v>0</v>
      </c>
      <c r="U8" s="329">
        <v>0</v>
      </c>
      <c r="V8" s="329">
        <v>0</v>
      </c>
      <c r="W8" s="329">
        <v>0</v>
      </c>
      <c r="X8" s="329">
        <v>0</v>
      </c>
      <c r="Y8" s="329">
        <v>0</v>
      </c>
      <c r="Z8" s="329">
        <v>0</v>
      </c>
      <c r="AA8" s="329">
        <v>0</v>
      </c>
      <c r="AB8" s="329">
        <v>0</v>
      </c>
      <c r="AC8" s="329">
        <v>0</v>
      </c>
      <c r="AD8" s="329">
        <v>0</v>
      </c>
      <c r="AE8" s="329">
        <v>0</v>
      </c>
      <c r="AF8" s="329">
        <v>0</v>
      </c>
      <c r="AG8" s="329">
        <v>0</v>
      </c>
      <c r="AH8" s="329">
        <v>0</v>
      </c>
      <c r="AI8" s="329">
        <v>0</v>
      </c>
      <c r="AJ8" s="329">
        <v>0</v>
      </c>
      <c r="AK8" s="329">
        <v>0</v>
      </c>
      <c r="AL8" s="329">
        <v>0</v>
      </c>
      <c r="AM8" s="329">
        <v>0</v>
      </c>
      <c r="AN8" s="329">
        <v>0</v>
      </c>
      <c r="AO8" s="330">
        <v>3970.69</v>
      </c>
      <c r="AP8" s="330">
        <v>3497.67</v>
      </c>
      <c r="AQ8" s="330">
        <v>3389.99</v>
      </c>
      <c r="AR8" s="330">
        <v>3389.99</v>
      </c>
      <c r="AS8" s="330">
        <v>3389.99</v>
      </c>
      <c r="AT8" s="330">
        <v>3389.99</v>
      </c>
      <c r="AU8" s="330">
        <v>3389.99</v>
      </c>
      <c r="AV8" s="330">
        <v>3422.98</v>
      </c>
      <c r="AW8" s="330">
        <v>3855.24</v>
      </c>
      <c r="AX8" s="330">
        <v>4480.13</v>
      </c>
      <c r="AY8" s="330">
        <v>4077.75</v>
      </c>
      <c r="AZ8" s="330">
        <v>4537.7</v>
      </c>
      <c r="BA8" s="329">
        <v>0</v>
      </c>
      <c r="BB8" s="329">
        <v>0</v>
      </c>
      <c r="BC8" s="329">
        <v>0</v>
      </c>
      <c r="BD8" s="329">
        <v>0</v>
      </c>
      <c r="BE8" s="329">
        <v>0</v>
      </c>
      <c r="BF8" s="329">
        <v>0</v>
      </c>
      <c r="BG8" s="329">
        <v>0</v>
      </c>
      <c r="BH8" s="329">
        <v>0</v>
      </c>
      <c r="BI8" s="329">
        <v>0</v>
      </c>
      <c r="BJ8" s="329">
        <v>0</v>
      </c>
      <c r="BK8" s="329">
        <v>0</v>
      </c>
      <c r="BL8" s="329">
        <v>0</v>
      </c>
      <c r="BM8" s="331"/>
      <c r="BN8" s="331"/>
      <c r="BO8" s="331"/>
      <c r="BP8" s="331"/>
      <c r="BQ8" s="331"/>
      <c r="BR8" s="331"/>
      <c r="BS8" s="331"/>
      <c r="BT8" s="331"/>
      <c r="BU8" s="331"/>
      <c r="BV8" s="331"/>
      <c r="BW8" s="331"/>
      <c r="BX8" s="331"/>
      <c r="BY8" s="329">
        <v>0</v>
      </c>
      <c r="BZ8" s="329">
        <v>0</v>
      </c>
      <c r="CA8" s="329">
        <v>0</v>
      </c>
      <c r="CB8" s="329">
        <v>0</v>
      </c>
      <c r="CC8" s="329">
        <v>0</v>
      </c>
      <c r="CD8" s="329">
        <v>0</v>
      </c>
      <c r="CE8" s="329">
        <v>0</v>
      </c>
      <c r="CF8" s="329">
        <v>0</v>
      </c>
      <c r="CG8" s="329">
        <v>0</v>
      </c>
      <c r="CH8" s="329">
        <v>0</v>
      </c>
      <c r="CI8" s="329">
        <v>0</v>
      </c>
      <c r="CJ8" s="329">
        <v>0</v>
      </c>
      <c r="CK8" s="329">
        <v>0</v>
      </c>
      <c r="CL8" s="329">
        <v>0</v>
      </c>
      <c r="CM8" s="329">
        <v>0</v>
      </c>
      <c r="CN8" s="329">
        <v>0</v>
      </c>
      <c r="CO8" s="329">
        <v>0</v>
      </c>
      <c r="CP8" s="329">
        <v>0</v>
      </c>
      <c r="CQ8" s="329">
        <v>0</v>
      </c>
      <c r="CR8" s="329">
        <v>0</v>
      </c>
      <c r="CS8" s="329">
        <v>0</v>
      </c>
      <c r="CT8" s="329">
        <v>0</v>
      </c>
      <c r="CU8" s="329">
        <v>0</v>
      </c>
      <c r="CV8" s="329">
        <v>0</v>
      </c>
      <c r="CW8" s="329">
        <v>0</v>
      </c>
      <c r="CX8" s="329">
        <v>0</v>
      </c>
      <c r="CY8" s="329">
        <v>0</v>
      </c>
      <c r="CZ8" s="329">
        <v>0</v>
      </c>
      <c r="DA8" s="329">
        <v>0</v>
      </c>
      <c r="DB8" s="329">
        <v>0</v>
      </c>
      <c r="DC8" s="329">
        <v>0</v>
      </c>
      <c r="DD8" s="329">
        <v>0</v>
      </c>
      <c r="DE8" s="329">
        <v>0</v>
      </c>
      <c r="DF8" s="329">
        <v>0</v>
      </c>
      <c r="DG8" s="329">
        <v>0</v>
      </c>
      <c r="DH8" s="329">
        <v>0</v>
      </c>
      <c r="DI8" s="331"/>
      <c r="DJ8" s="331"/>
      <c r="DK8" s="331"/>
      <c r="DL8" s="331"/>
      <c r="DM8" s="331"/>
      <c r="DN8" s="331"/>
      <c r="DO8" s="331"/>
      <c r="DP8" s="331"/>
      <c r="DQ8" s="331"/>
      <c r="DR8" s="331"/>
      <c r="DS8" s="331"/>
      <c r="DT8" s="331"/>
      <c r="DU8" s="330">
        <v>53.73</v>
      </c>
      <c r="DV8" s="330">
        <v>47.1</v>
      </c>
      <c r="DW8" s="330">
        <v>45.6</v>
      </c>
      <c r="DX8" s="330">
        <v>45.6</v>
      </c>
      <c r="DY8" s="330">
        <v>45.6</v>
      </c>
      <c r="DZ8" s="330">
        <v>45.6</v>
      </c>
      <c r="EA8" s="330">
        <v>45.6</v>
      </c>
      <c r="EB8" s="330">
        <v>46.06</v>
      </c>
      <c r="EC8" s="330">
        <v>52.11</v>
      </c>
      <c r="ED8" s="330">
        <v>60.86</v>
      </c>
      <c r="EE8" s="330">
        <v>55.23</v>
      </c>
      <c r="EF8" s="330">
        <v>61.67</v>
      </c>
      <c r="EG8" s="329">
        <v>0</v>
      </c>
      <c r="EH8" s="329">
        <v>0</v>
      </c>
      <c r="EI8" s="329">
        <v>0</v>
      </c>
      <c r="EJ8" s="329">
        <v>0</v>
      </c>
      <c r="EK8" s="329">
        <v>0</v>
      </c>
      <c r="EL8" s="329">
        <v>0</v>
      </c>
      <c r="EM8" s="329">
        <v>0</v>
      </c>
      <c r="EN8" s="329">
        <v>0</v>
      </c>
      <c r="EO8" s="329">
        <v>0</v>
      </c>
      <c r="EP8" s="329">
        <v>0</v>
      </c>
      <c r="EQ8" s="329">
        <v>0</v>
      </c>
      <c r="ER8" s="329">
        <v>0</v>
      </c>
      <c r="ES8" s="331"/>
      <c r="ET8" s="331"/>
      <c r="EU8" s="331"/>
      <c r="EV8" s="331"/>
      <c r="EW8" s="331"/>
      <c r="EX8" s="331"/>
      <c r="EY8" s="331"/>
      <c r="EZ8" s="331"/>
      <c r="FA8" s="331"/>
      <c r="FB8" s="331"/>
      <c r="FC8" s="331"/>
      <c r="FD8" s="331"/>
      <c r="FE8" s="329">
        <v>0</v>
      </c>
      <c r="FF8" s="329">
        <v>0</v>
      </c>
      <c r="FG8" s="329">
        <v>0</v>
      </c>
      <c r="FH8" s="329">
        <v>0</v>
      </c>
      <c r="FI8" s="329">
        <v>0</v>
      </c>
      <c r="FJ8" s="329">
        <v>0</v>
      </c>
      <c r="FK8" s="329">
        <v>0</v>
      </c>
      <c r="FL8" s="329">
        <v>0</v>
      </c>
      <c r="FM8" s="329">
        <v>0</v>
      </c>
      <c r="FN8" s="329">
        <v>0</v>
      </c>
      <c r="FO8" s="329">
        <v>0</v>
      </c>
      <c r="FP8" s="329">
        <v>0</v>
      </c>
      <c r="FQ8" s="329">
        <v>0</v>
      </c>
      <c r="FR8" s="329">
        <v>0</v>
      </c>
      <c r="FS8" s="329">
        <v>0</v>
      </c>
      <c r="FT8" s="329">
        <v>0</v>
      </c>
      <c r="FU8" s="329">
        <v>0</v>
      </c>
      <c r="FV8" s="329">
        <v>0</v>
      </c>
      <c r="FW8" s="329">
        <v>0</v>
      </c>
      <c r="FX8" s="329">
        <v>0</v>
      </c>
      <c r="FY8" s="329">
        <v>0</v>
      </c>
      <c r="FZ8" s="329">
        <v>0</v>
      </c>
      <c r="GA8" s="329">
        <v>0</v>
      </c>
      <c r="GB8" s="329">
        <v>0</v>
      </c>
      <c r="GC8" s="330">
        <v>8981.2000000000007</v>
      </c>
      <c r="GD8" s="330">
        <v>8897.3799999999992</v>
      </c>
      <c r="GE8" s="330">
        <v>8878.2999999999993</v>
      </c>
      <c r="GF8" s="330">
        <v>8566.76</v>
      </c>
      <c r="GG8" s="330">
        <v>8566.76</v>
      </c>
      <c r="GH8" s="330">
        <v>7743.88</v>
      </c>
      <c r="GI8" s="330">
        <v>7743.88</v>
      </c>
      <c r="GJ8" s="330">
        <v>7749.73</v>
      </c>
      <c r="GK8" s="330">
        <v>7826.32</v>
      </c>
      <c r="GL8" s="330">
        <v>7937.05</v>
      </c>
      <c r="GM8" s="330">
        <v>7865.75</v>
      </c>
      <c r="GN8" s="330">
        <v>7947.25</v>
      </c>
      <c r="GO8" s="331"/>
      <c r="GP8" s="331"/>
      <c r="GQ8" s="331"/>
      <c r="GR8" s="331"/>
      <c r="GS8" s="331"/>
      <c r="GT8" s="331"/>
      <c r="GU8" s="331"/>
      <c r="GV8" s="331"/>
      <c r="GW8" s="331"/>
      <c r="GX8" s="331"/>
      <c r="GY8" s="331"/>
      <c r="GZ8" s="331"/>
      <c r="HA8" s="330">
        <v>131.58000000000001</v>
      </c>
      <c r="HB8" s="330">
        <v>105.57</v>
      </c>
      <c r="HC8" s="330">
        <v>88.13</v>
      </c>
      <c r="HD8" s="330">
        <v>93.79</v>
      </c>
      <c r="HE8" s="330">
        <v>84.3</v>
      </c>
      <c r="HF8" s="330">
        <v>145.04</v>
      </c>
      <c r="HG8" s="330">
        <v>147.18</v>
      </c>
      <c r="HH8" s="330">
        <v>187.32</v>
      </c>
      <c r="HI8" s="330">
        <v>186.78</v>
      </c>
      <c r="HJ8" s="330">
        <v>217.83</v>
      </c>
      <c r="HK8" s="330">
        <v>248.07</v>
      </c>
      <c r="HL8" s="330">
        <v>253.15</v>
      </c>
      <c r="HM8" s="331"/>
      <c r="HN8" s="331"/>
      <c r="HO8" s="331"/>
      <c r="HP8" s="331"/>
      <c r="HQ8" s="331"/>
      <c r="HR8" s="331"/>
      <c r="HS8" s="331"/>
      <c r="HT8" s="331"/>
      <c r="HU8" s="331"/>
      <c r="HV8" s="331"/>
      <c r="HW8" s="331"/>
      <c r="HX8" s="331"/>
      <c r="HY8" s="329">
        <v>0</v>
      </c>
      <c r="HZ8" s="329">
        <v>0</v>
      </c>
      <c r="IA8" s="329">
        <v>0</v>
      </c>
      <c r="IB8" s="329">
        <v>0</v>
      </c>
      <c r="IC8" s="329">
        <v>0</v>
      </c>
      <c r="ID8" s="329">
        <v>0</v>
      </c>
      <c r="IE8" s="329">
        <v>0</v>
      </c>
      <c r="IF8" s="329">
        <v>0</v>
      </c>
      <c r="IG8" s="329">
        <v>0</v>
      </c>
      <c r="IH8" s="329">
        <v>0</v>
      </c>
      <c r="II8" s="329">
        <v>0</v>
      </c>
      <c r="IJ8" s="329">
        <v>0</v>
      </c>
      <c r="IK8" s="331"/>
      <c r="IL8" s="331"/>
      <c r="IM8" s="331"/>
      <c r="IN8" s="331"/>
      <c r="IO8" s="331"/>
      <c r="IP8" s="331"/>
      <c r="IQ8" s="331"/>
      <c r="IR8" s="331"/>
      <c r="IS8" s="331"/>
      <c r="IT8" s="331"/>
      <c r="IU8" s="331"/>
      <c r="IV8" s="331"/>
      <c r="IW8" s="331"/>
      <c r="IX8" s="331"/>
      <c r="IY8" s="331"/>
      <c r="IZ8" s="331"/>
      <c r="JA8" s="331"/>
      <c r="JB8" s="331"/>
      <c r="JC8" s="331"/>
      <c r="JD8" s="331"/>
      <c r="JE8" s="331"/>
      <c r="JF8" s="331"/>
      <c r="JG8" s="331"/>
      <c r="JH8" s="331"/>
      <c r="JI8" s="331"/>
      <c r="JJ8" s="331"/>
      <c r="JK8" s="331"/>
      <c r="JL8" s="331"/>
      <c r="JM8" s="331"/>
      <c r="JN8" s="331"/>
      <c r="JO8" s="331"/>
      <c r="JP8" s="331"/>
      <c r="JQ8" s="331"/>
      <c r="JR8" s="331"/>
      <c r="JS8" s="331"/>
      <c r="JT8" s="331"/>
      <c r="JU8" s="331"/>
      <c r="JV8" s="331"/>
      <c r="JW8" s="331"/>
      <c r="JX8" s="331"/>
      <c r="JY8" s="331"/>
      <c r="JZ8" s="331"/>
      <c r="KA8" s="331"/>
      <c r="KB8" s="331"/>
      <c r="KC8" s="331"/>
      <c r="KD8" s="331"/>
      <c r="KE8" s="331"/>
      <c r="KF8" s="331"/>
      <c r="KG8" s="331"/>
      <c r="KH8" s="331"/>
      <c r="KI8" s="331"/>
      <c r="KJ8" s="331"/>
      <c r="KK8" s="331"/>
      <c r="KL8" s="331"/>
      <c r="KM8" s="331"/>
      <c r="KN8" s="331"/>
      <c r="KO8" s="331"/>
      <c r="KP8" s="331"/>
      <c r="KQ8" s="331"/>
      <c r="KR8" s="331"/>
      <c r="KS8" s="331"/>
      <c r="KT8" s="331"/>
      <c r="KU8" s="331"/>
      <c r="KV8" s="331"/>
      <c r="KW8" s="331"/>
      <c r="KX8" s="331"/>
      <c r="KY8" s="331"/>
      <c r="KZ8" s="331"/>
      <c r="LA8" s="331"/>
      <c r="LB8" s="331"/>
      <c r="LC8" s="331"/>
      <c r="LD8" s="331"/>
      <c r="LE8" s="331"/>
      <c r="LF8" s="331"/>
      <c r="LG8" s="331"/>
      <c r="LH8" s="331"/>
      <c r="LI8" s="331"/>
      <c r="LJ8" s="331"/>
      <c r="LK8" s="331"/>
      <c r="LL8" s="331"/>
      <c r="LM8" s="331"/>
      <c r="LN8" s="331"/>
      <c r="LO8" s="331"/>
      <c r="LP8" s="331"/>
      <c r="LQ8" s="331"/>
      <c r="LR8" s="331"/>
      <c r="LS8" s="331"/>
      <c r="LT8" s="331"/>
      <c r="LU8" s="331"/>
      <c r="LV8" s="331"/>
      <c r="LW8" s="331"/>
      <c r="LX8" s="331"/>
      <c r="LY8" s="331"/>
      <c r="LZ8" s="331"/>
      <c r="MA8" s="331"/>
      <c r="MB8" s="331"/>
      <c r="MC8" s="331"/>
      <c r="MD8" s="331"/>
      <c r="ME8" s="331"/>
      <c r="MF8" s="331"/>
      <c r="MG8" s="331"/>
      <c r="MH8" s="331"/>
      <c r="MI8" s="331"/>
      <c r="MJ8" s="331"/>
      <c r="MK8" s="331"/>
      <c r="ML8" s="331"/>
      <c r="MM8" s="331"/>
      <c r="MN8" s="331"/>
      <c r="MO8" s="331"/>
      <c r="MP8" s="331"/>
      <c r="MQ8" s="331"/>
      <c r="MR8" s="331"/>
      <c r="MS8" s="331"/>
      <c r="MT8" s="331"/>
      <c r="MU8" s="331"/>
      <c r="MV8" s="331"/>
      <c r="MW8" s="331"/>
      <c r="MX8" s="331"/>
      <c r="MY8" s="331"/>
      <c r="MZ8" s="331"/>
      <c r="NA8" s="331"/>
      <c r="NB8" s="331"/>
      <c r="NC8" s="331"/>
      <c r="ND8" s="331"/>
      <c r="NE8" s="331"/>
      <c r="NF8" s="331"/>
      <c r="NG8" s="331"/>
      <c r="NH8" s="331"/>
      <c r="NI8" s="331"/>
      <c r="NJ8" s="331"/>
      <c r="NK8" s="331"/>
      <c r="NL8" s="331"/>
      <c r="NM8" s="331"/>
      <c r="NN8" s="331"/>
      <c r="NO8" s="331"/>
      <c r="NP8" s="331"/>
      <c r="NQ8" s="331"/>
      <c r="NR8" s="331"/>
      <c r="NS8" s="331"/>
      <c r="NT8" s="331"/>
      <c r="NU8" s="331"/>
      <c r="NV8" s="331"/>
      <c r="NW8" s="331"/>
      <c r="NX8" s="331"/>
      <c r="NY8" s="331"/>
      <c r="NZ8" s="331"/>
      <c r="OA8" s="331"/>
      <c r="OB8" s="331"/>
      <c r="OC8" s="331"/>
      <c r="OD8" s="331"/>
      <c r="OE8" s="331"/>
      <c r="OF8" s="331"/>
      <c r="OG8" s="331"/>
      <c r="OH8" s="331"/>
      <c r="OI8" s="331"/>
      <c r="OJ8" s="331"/>
      <c r="OK8" s="331"/>
      <c r="OL8" s="332">
        <f t="shared" si="0"/>
        <v>145989.87</v>
      </c>
    </row>
    <row r="9" spans="1:402" ht="12.75" customHeight="1" thickBot="1">
      <c r="A9" s="320" t="s">
        <v>404</v>
      </c>
      <c r="B9" s="320" t="s">
        <v>405</v>
      </c>
      <c r="C9" s="320" t="s">
        <v>406</v>
      </c>
      <c r="D9" s="328" t="s">
        <v>413</v>
      </c>
      <c r="E9" s="329">
        <v>0</v>
      </c>
      <c r="F9" s="329">
        <v>0</v>
      </c>
      <c r="G9" s="329">
        <v>0</v>
      </c>
      <c r="H9" s="329">
        <v>0</v>
      </c>
      <c r="I9" s="329">
        <v>0</v>
      </c>
      <c r="J9" s="329">
        <v>0</v>
      </c>
      <c r="K9" s="329">
        <v>0</v>
      </c>
      <c r="L9" s="329">
        <v>0</v>
      </c>
      <c r="M9" s="329">
        <v>0</v>
      </c>
      <c r="N9" s="329">
        <v>0</v>
      </c>
      <c r="O9" s="329">
        <v>0</v>
      </c>
      <c r="P9" s="329">
        <v>0</v>
      </c>
      <c r="Q9" s="329">
        <v>0</v>
      </c>
      <c r="R9" s="329">
        <v>0</v>
      </c>
      <c r="S9" s="329">
        <v>0</v>
      </c>
      <c r="T9" s="329">
        <v>0</v>
      </c>
      <c r="U9" s="329">
        <v>0</v>
      </c>
      <c r="V9" s="329">
        <v>0</v>
      </c>
      <c r="W9" s="329">
        <v>0</v>
      </c>
      <c r="X9" s="329">
        <v>0</v>
      </c>
      <c r="Y9" s="329">
        <v>0</v>
      </c>
      <c r="Z9" s="329">
        <v>0</v>
      </c>
      <c r="AA9" s="329">
        <v>0</v>
      </c>
      <c r="AB9" s="329">
        <v>0</v>
      </c>
      <c r="AC9" s="329">
        <v>0</v>
      </c>
      <c r="AD9" s="329">
        <v>0</v>
      </c>
      <c r="AE9" s="329">
        <v>0</v>
      </c>
      <c r="AF9" s="329">
        <v>0</v>
      </c>
      <c r="AG9" s="329">
        <v>0</v>
      </c>
      <c r="AH9" s="329">
        <v>0</v>
      </c>
      <c r="AI9" s="329">
        <v>0</v>
      </c>
      <c r="AJ9" s="329">
        <v>0</v>
      </c>
      <c r="AK9" s="329">
        <v>0</v>
      </c>
      <c r="AL9" s="329">
        <v>0</v>
      </c>
      <c r="AM9" s="329">
        <v>0</v>
      </c>
      <c r="AN9" s="329">
        <v>0</v>
      </c>
      <c r="AO9" s="330">
        <v>9164.93</v>
      </c>
      <c r="AP9" s="330">
        <v>9164.93</v>
      </c>
      <c r="AQ9" s="330">
        <v>9164.93</v>
      </c>
      <c r="AR9" s="330">
        <v>9164.93</v>
      </c>
      <c r="AS9" s="330">
        <v>9164.93</v>
      </c>
      <c r="AT9" s="330">
        <v>9164.93</v>
      </c>
      <c r="AU9" s="330">
        <v>9164.93</v>
      </c>
      <c r="AV9" s="330">
        <v>9366.2800000000007</v>
      </c>
      <c r="AW9" s="330">
        <v>9164.93</v>
      </c>
      <c r="AX9" s="330">
        <v>8030.92</v>
      </c>
      <c r="AY9" s="330">
        <v>7519.93</v>
      </c>
      <c r="AZ9" s="330">
        <v>7519.93</v>
      </c>
      <c r="BA9" s="329">
        <v>0</v>
      </c>
      <c r="BB9" s="329">
        <v>0</v>
      </c>
      <c r="BC9" s="329">
        <v>0</v>
      </c>
      <c r="BD9" s="329">
        <v>0</v>
      </c>
      <c r="BE9" s="329">
        <v>0</v>
      </c>
      <c r="BF9" s="329">
        <v>0</v>
      </c>
      <c r="BG9" s="329">
        <v>0</v>
      </c>
      <c r="BH9" s="329">
        <v>0</v>
      </c>
      <c r="BI9" s="329">
        <v>0</v>
      </c>
      <c r="BJ9" s="329">
        <v>0</v>
      </c>
      <c r="BK9" s="329">
        <v>0</v>
      </c>
      <c r="BL9" s="329">
        <v>0</v>
      </c>
      <c r="BM9" s="331"/>
      <c r="BN9" s="331"/>
      <c r="BO9" s="331"/>
      <c r="BP9" s="331"/>
      <c r="BQ9" s="331"/>
      <c r="BR9" s="331"/>
      <c r="BS9" s="331"/>
      <c r="BT9" s="331"/>
      <c r="BU9" s="331"/>
      <c r="BV9" s="331"/>
      <c r="BW9" s="331"/>
      <c r="BX9" s="331"/>
      <c r="BY9" s="329">
        <v>0</v>
      </c>
      <c r="BZ9" s="329">
        <v>0</v>
      </c>
      <c r="CA9" s="329">
        <v>0</v>
      </c>
      <c r="CB9" s="329">
        <v>0</v>
      </c>
      <c r="CC9" s="329">
        <v>0</v>
      </c>
      <c r="CD9" s="329">
        <v>0</v>
      </c>
      <c r="CE9" s="329">
        <v>0</v>
      </c>
      <c r="CF9" s="329">
        <v>0</v>
      </c>
      <c r="CG9" s="329">
        <v>0</v>
      </c>
      <c r="CH9" s="329">
        <v>0</v>
      </c>
      <c r="CI9" s="329">
        <v>0</v>
      </c>
      <c r="CJ9" s="329">
        <v>0</v>
      </c>
      <c r="CK9" s="329">
        <v>0</v>
      </c>
      <c r="CL9" s="329">
        <v>0</v>
      </c>
      <c r="CM9" s="329">
        <v>0</v>
      </c>
      <c r="CN9" s="329">
        <v>0</v>
      </c>
      <c r="CO9" s="329">
        <v>0</v>
      </c>
      <c r="CP9" s="329">
        <v>0</v>
      </c>
      <c r="CQ9" s="329">
        <v>0</v>
      </c>
      <c r="CR9" s="329">
        <v>0</v>
      </c>
      <c r="CS9" s="329">
        <v>0</v>
      </c>
      <c r="CT9" s="329">
        <v>0</v>
      </c>
      <c r="CU9" s="329">
        <v>0</v>
      </c>
      <c r="CV9" s="329">
        <v>0</v>
      </c>
      <c r="CW9" s="329">
        <v>0</v>
      </c>
      <c r="CX9" s="329">
        <v>0</v>
      </c>
      <c r="CY9" s="329">
        <v>0</v>
      </c>
      <c r="CZ9" s="329">
        <v>0</v>
      </c>
      <c r="DA9" s="329">
        <v>0</v>
      </c>
      <c r="DB9" s="329">
        <v>0</v>
      </c>
      <c r="DC9" s="329">
        <v>0</v>
      </c>
      <c r="DD9" s="329">
        <v>0</v>
      </c>
      <c r="DE9" s="329">
        <v>0</v>
      </c>
      <c r="DF9" s="329">
        <v>0</v>
      </c>
      <c r="DG9" s="329">
        <v>0</v>
      </c>
      <c r="DH9" s="329">
        <v>0</v>
      </c>
      <c r="DI9" s="331"/>
      <c r="DJ9" s="331"/>
      <c r="DK9" s="331"/>
      <c r="DL9" s="331"/>
      <c r="DM9" s="331"/>
      <c r="DN9" s="331"/>
      <c r="DO9" s="331"/>
      <c r="DP9" s="331"/>
      <c r="DQ9" s="331"/>
      <c r="DR9" s="331"/>
      <c r="DS9" s="331"/>
      <c r="DT9" s="331"/>
      <c r="DU9" s="330">
        <v>126.47</v>
      </c>
      <c r="DV9" s="330">
        <v>126.47</v>
      </c>
      <c r="DW9" s="330">
        <v>126.47</v>
      </c>
      <c r="DX9" s="330">
        <v>126.47</v>
      </c>
      <c r="DY9" s="330">
        <v>126.47</v>
      </c>
      <c r="DZ9" s="330">
        <v>126.47</v>
      </c>
      <c r="EA9" s="330">
        <v>126.47</v>
      </c>
      <c r="EB9" s="330">
        <v>129.29</v>
      </c>
      <c r="EC9" s="330">
        <v>126.47</v>
      </c>
      <c r="ED9" s="330">
        <v>110.59</v>
      </c>
      <c r="EE9" s="330">
        <v>103.43</v>
      </c>
      <c r="EF9" s="330">
        <v>103.43</v>
      </c>
      <c r="EG9" s="329">
        <v>0</v>
      </c>
      <c r="EH9" s="329">
        <v>0</v>
      </c>
      <c r="EI9" s="329">
        <v>0</v>
      </c>
      <c r="EJ9" s="329">
        <v>0</v>
      </c>
      <c r="EK9" s="329">
        <v>0</v>
      </c>
      <c r="EL9" s="329">
        <v>0</v>
      </c>
      <c r="EM9" s="329">
        <v>0</v>
      </c>
      <c r="EN9" s="329">
        <v>0</v>
      </c>
      <c r="EO9" s="329">
        <v>0</v>
      </c>
      <c r="EP9" s="329">
        <v>0</v>
      </c>
      <c r="EQ9" s="329">
        <v>0</v>
      </c>
      <c r="ER9" s="329">
        <v>0</v>
      </c>
      <c r="ES9" s="331"/>
      <c r="ET9" s="331"/>
      <c r="EU9" s="331"/>
      <c r="EV9" s="331"/>
      <c r="EW9" s="331"/>
      <c r="EX9" s="331"/>
      <c r="EY9" s="331"/>
      <c r="EZ9" s="331"/>
      <c r="FA9" s="331"/>
      <c r="FB9" s="331"/>
      <c r="FC9" s="331"/>
      <c r="FD9" s="331"/>
      <c r="FE9" s="329">
        <v>0</v>
      </c>
      <c r="FF9" s="329">
        <v>0</v>
      </c>
      <c r="FG9" s="329">
        <v>0</v>
      </c>
      <c r="FH9" s="329">
        <v>0</v>
      </c>
      <c r="FI9" s="329">
        <v>0</v>
      </c>
      <c r="FJ9" s="329">
        <v>0</v>
      </c>
      <c r="FK9" s="329">
        <v>0</v>
      </c>
      <c r="FL9" s="329">
        <v>0</v>
      </c>
      <c r="FM9" s="329">
        <v>0</v>
      </c>
      <c r="FN9" s="329">
        <v>0</v>
      </c>
      <c r="FO9" s="329">
        <v>0</v>
      </c>
      <c r="FP9" s="329">
        <v>0</v>
      </c>
      <c r="FQ9" s="329">
        <v>0</v>
      </c>
      <c r="FR9" s="329">
        <v>0</v>
      </c>
      <c r="FS9" s="329">
        <v>0</v>
      </c>
      <c r="FT9" s="329">
        <v>0</v>
      </c>
      <c r="FU9" s="329">
        <v>0</v>
      </c>
      <c r="FV9" s="329">
        <v>0</v>
      </c>
      <c r="FW9" s="329">
        <v>0</v>
      </c>
      <c r="FX9" s="329">
        <v>0</v>
      </c>
      <c r="FY9" s="329">
        <v>0</v>
      </c>
      <c r="FZ9" s="329">
        <v>0</v>
      </c>
      <c r="GA9" s="329">
        <v>0</v>
      </c>
      <c r="GB9" s="329">
        <v>0</v>
      </c>
      <c r="GC9" s="330">
        <v>9087.24</v>
      </c>
      <c r="GD9" s="330">
        <v>9087.24</v>
      </c>
      <c r="GE9" s="330">
        <v>9087.24</v>
      </c>
      <c r="GF9" s="330">
        <v>13097.38</v>
      </c>
      <c r="GG9" s="330">
        <v>13097.38</v>
      </c>
      <c r="GH9" s="330">
        <v>11913.27</v>
      </c>
      <c r="GI9" s="330">
        <v>11913.27</v>
      </c>
      <c r="GJ9" s="330">
        <v>11948.95</v>
      </c>
      <c r="GK9" s="330">
        <v>11913.27</v>
      </c>
      <c r="GL9" s="330">
        <v>11712.34</v>
      </c>
      <c r="GM9" s="330">
        <v>11621.79</v>
      </c>
      <c r="GN9" s="330">
        <v>11630.52</v>
      </c>
      <c r="GO9" s="331"/>
      <c r="GP9" s="331"/>
      <c r="GQ9" s="331"/>
      <c r="GR9" s="331"/>
      <c r="GS9" s="331"/>
      <c r="GT9" s="331"/>
      <c r="GU9" s="331"/>
      <c r="GV9" s="331"/>
      <c r="GW9" s="331"/>
      <c r="GX9" s="331"/>
      <c r="GY9" s="331"/>
      <c r="GZ9" s="331"/>
      <c r="HA9" s="330">
        <v>124.85</v>
      </c>
      <c r="HB9" s="330">
        <v>130.36000000000001</v>
      </c>
      <c r="HC9" s="330">
        <v>95.47</v>
      </c>
      <c r="HD9" s="330">
        <v>385.56</v>
      </c>
      <c r="HE9" s="330">
        <v>222.16</v>
      </c>
      <c r="HF9" s="330">
        <v>378.92</v>
      </c>
      <c r="HG9" s="330">
        <v>507.37</v>
      </c>
      <c r="HH9" s="330">
        <v>324.33</v>
      </c>
      <c r="HI9" s="330">
        <v>369.29</v>
      </c>
      <c r="HJ9" s="330">
        <v>289.01</v>
      </c>
      <c r="HK9" s="330">
        <v>439.93</v>
      </c>
      <c r="HL9" s="330">
        <v>337.18</v>
      </c>
      <c r="HM9" s="331"/>
      <c r="HN9" s="331"/>
      <c r="HO9" s="331"/>
      <c r="HP9" s="331"/>
      <c r="HQ9" s="331"/>
      <c r="HR9" s="331"/>
      <c r="HS9" s="331"/>
      <c r="HT9" s="331"/>
      <c r="HU9" s="331"/>
      <c r="HV9" s="331"/>
      <c r="HW9" s="331"/>
      <c r="HX9" s="331"/>
      <c r="HY9" s="329">
        <v>0</v>
      </c>
      <c r="HZ9" s="329">
        <v>0</v>
      </c>
      <c r="IA9" s="329">
        <v>0</v>
      </c>
      <c r="IB9" s="329">
        <v>0</v>
      </c>
      <c r="IC9" s="329">
        <v>0</v>
      </c>
      <c r="ID9" s="329">
        <v>0</v>
      </c>
      <c r="IE9" s="329">
        <v>0</v>
      </c>
      <c r="IF9" s="329">
        <v>0</v>
      </c>
      <c r="IG9" s="329">
        <v>0</v>
      </c>
      <c r="IH9" s="329">
        <v>0</v>
      </c>
      <c r="II9" s="329">
        <v>0</v>
      </c>
      <c r="IJ9" s="329">
        <v>0</v>
      </c>
      <c r="IK9" s="331"/>
      <c r="IL9" s="331"/>
      <c r="IM9" s="331"/>
      <c r="IN9" s="331"/>
      <c r="IO9" s="331"/>
      <c r="IP9" s="331"/>
      <c r="IQ9" s="331"/>
      <c r="IR9" s="331"/>
      <c r="IS9" s="331"/>
      <c r="IT9" s="331"/>
      <c r="IU9" s="331"/>
      <c r="IV9" s="331"/>
      <c r="IW9" s="331"/>
      <c r="IX9" s="331"/>
      <c r="IY9" s="331"/>
      <c r="IZ9" s="331"/>
      <c r="JA9" s="331"/>
      <c r="JB9" s="331"/>
      <c r="JC9" s="331"/>
      <c r="JD9" s="331"/>
      <c r="JE9" s="331"/>
      <c r="JF9" s="331"/>
      <c r="JG9" s="331"/>
      <c r="JH9" s="331"/>
      <c r="JI9" s="330">
        <v>282.19</v>
      </c>
      <c r="JJ9" s="331"/>
      <c r="JK9" s="331"/>
      <c r="JL9" s="331"/>
      <c r="JM9" s="331"/>
      <c r="JN9" s="331"/>
      <c r="JO9" s="331"/>
      <c r="JP9" s="331"/>
      <c r="JQ9" s="331"/>
      <c r="JR9" s="331"/>
      <c r="JS9" s="331"/>
      <c r="JT9" s="331"/>
      <c r="JU9" s="331"/>
      <c r="JV9" s="331"/>
      <c r="JW9" s="331"/>
      <c r="JX9" s="331"/>
      <c r="JY9" s="331"/>
      <c r="JZ9" s="331"/>
      <c r="KA9" s="331"/>
      <c r="KB9" s="331"/>
      <c r="KC9" s="331"/>
      <c r="KD9" s="331"/>
      <c r="KE9" s="331"/>
      <c r="KF9" s="331"/>
      <c r="KG9" s="331"/>
      <c r="KH9" s="331"/>
      <c r="KI9" s="331"/>
      <c r="KJ9" s="331"/>
      <c r="KK9" s="331"/>
      <c r="KL9" s="331"/>
      <c r="KM9" s="331"/>
      <c r="KN9" s="331"/>
      <c r="KO9" s="331"/>
      <c r="KP9" s="331"/>
      <c r="KQ9" s="331"/>
      <c r="KR9" s="331"/>
      <c r="KS9" s="331"/>
      <c r="KT9" s="331"/>
      <c r="KU9" s="331"/>
      <c r="KV9" s="331"/>
      <c r="KW9" s="331"/>
      <c r="KX9" s="331"/>
      <c r="KY9" s="331"/>
      <c r="KZ9" s="331"/>
      <c r="LA9" s="331"/>
      <c r="LB9" s="331"/>
      <c r="LC9" s="331"/>
      <c r="LD9" s="331"/>
      <c r="LE9" s="331"/>
      <c r="LF9" s="331"/>
      <c r="LG9" s="331"/>
      <c r="LH9" s="331"/>
      <c r="LI9" s="331"/>
      <c r="LJ9" s="331"/>
      <c r="LK9" s="331"/>
      <c r="LL9" s="331"/>
      <c r="LM9" s="331"/>
      <c r="LN9" s="331"/>
      <c r="LO9" s="331"/>
      <c r="LP9" s="331"/>
      <c r="LQ9" s="331"/>
      <c r="LR9" s="331"/>
      <c r="LS9" s="331"/>
      <c r="LT9" s="331"/>
      <c r="LU9" s="331"/>
      <c r="LV9" s="331"/>
      <c r="LW9" s="331"/>
      <c r="LX9" s="331"/>
      <c r="LY9" s="331"/>
      <c r="LZ9" s="331"/>
      <c r="MA9" s="331"/>
      <c r="MB9" s="331"/>
      <c r="MC9" s="331"/>
      <c r="MD9" s="331"/>
      <c r="ME9" s="331"/>
      <c r="MF9" s="331"/>
      <c r="MG9" s="331"/>
      <c r="MH9" s="331"/>
      <c r="MI9" s="331"/>
      <c r="MJ9" s="331"/>
      <c r="MK9" s="331"/>
      <c r="ML9" s="331"/>
      <c r="MM9" s="331"/>
      <c r="MN9" s="331"/>
      <c r="MO9" s="331"/>
      <c r="MP9" s="331"/>
      <c r="MQ9" s="331"/>
      <c r="MR9" s="331"/>
      <c r="MS9" s="331"/>
      <c r="MT9" s="331"/>
      <c r="MU9" s="331"/>
      <c r="MV9" s="331"/>
      <c r="MW9" s="331"/>
      <c r="MX9" s="331"/>
      <c r="MY9" s="331"/>
      <c r="MZ9" s="331"/>
      <c r="NA9" s="331"/>
      <c r="NB9" s="331"/>
      <c r="NC9" s="331"/>
      <c r="ND9" s="331"/>
      <c r="NE9" s="331"/>
      <c r="NF9" s="331"/>
      <c r="NG9" s="331"/>
      <c r="NH9" s="331"/>
      <c r="NI9" s="331"/>
      <c r="NJ9" s="331"/>
      <c r="NK9" s="331"/>
      <c r="NL9" s="331"/>
      <c r="NM9" s="331"/>
      <c r="NN9" s="331"/>
      <c r="NO9" s="331"/>
      <c r="NP9" s="331"/>
      <c r="NQ9" s="331"/>
      <c r="NR9" s="331"/>
      <c r="NS9" s="331"/>
      <c r="NT9" s="331"/>
      <c r="NU9" s="331"/>
      <c r="NV9" s="331"/>
      <c r="NW9" s="331"/>
      <c r="NX9" s="331"/>
      <c r="NY9" s="331"/>
      <c r="NZ9" s="331"/>
      <c r="OA9" s="331"/>
      <c r="OB9" s="331"/>
      <c r="OC9" s="331"/>
      <c r="OD9" s="331"/>
      <c r="OE9" s="331"/>
      <c r="OF9" s="331"/>
      <c r="OG9" s="331"/>
      <c r="OH9" s="331"/>
      <c r="OI9" s="331"/>
      <c r="OJ9" s="331"/>
      <c r="OK9" s="331"/>
      <c r="OL9" s="332">
        <f t="shared" si="0"/>
        <v>247211.50999999998</v>
      </c>
    </row>
    <row r="10" spans="1:402" ht="12.75" customHeight="1" thickBot="1">
      <c r="A10" s="320" t="s">
        <v>404</v>
      </c>
      <c r="B10" s="320" t="s">
        <v>405</v>
      </c>
      <c r="C10" s="320" t="s">
        <v>406</v>
      </c>
      <c r="D10" s="328" t="s">
        <v>414</v>
      </c>
      <c r="E10" s="329">
        <v>0</v>
      </c>
      <c r="F10" s="329">
        <v>0</v>
      </c>
      <c r="G10" s="329">
        <v>0</v>
      </c>
      <c r="H10" s="329">
        <v>0</v>
      </c>
      <c r="I10" s="329">
        <v>0</v>
      </c>
      <c r="J10" s="329">
        <v>0</v>
      </c>
      <c r="K10" s="329">
        <v>0</v>
      </c>
      <c r="L10" s="329">
        <v>0</v>
      </c>
      <c r="M10" s="329">
        <v>0</v>
      </c>
      <c r="N10" s="329">
        <v>0</v>
      </c>
      <c r="O10" s="329">
        <v>0</v>
      </c>
      <c r="P10" s="329">
        <v>0</v>
      </c>
      <c r="Q10" s="329">
        <v>0</v>
      </c>
      <c r="R10" s="329">
        <v>0</v>
      </c>
      <c r="S10" s="329">
        <v>0</v>
      </c>
      <c r="T10" s="329">
        <v>0</v>
      </c>
      <c r="U10" s="329">
        <v>0</v>
      </c>
      <c r="V10" s="329">
        <v>0</v>
      </c>
      <c r="W10" s="329">
        <v>0</v>
      </c>
      <c r="X10" s="329">
        <v>0</v>
      </c>
      <c r="Y10" s="329">
        <v>0</v>
      </c>
      <c r="Z10" s="329">
        <v>0</v>
      </c>
      <c r="AA10" s="329">
        <v>0</v>
      </c>
      <c r="AB10" s="329">
        <v>0</v>
      </c>
      <c r="AC10" s="329">
        <v>0</v>
      </c>
      <c r="AD10" s="329">
        <v>0</v>
      </c>
      <c r="AE10" s="329">
        <v>0</v>
      </c>
      <c r="AF10" s="329">
        <v>0</v>
      </c>
      <c r="AG10" s="329">
        <v>0</v>
      </c>
      <c r="AH10" s="329">
        <v>0</v>
      </c>
      <c r="AI10" s="329">
        <v>0</v>
      </c>
      <c r="AJ10" s="329">
        <v>0</v>
      </c>
      <c r="AK10" s="329">
        <v>0</v>
      </c>
      <c r="AL10" s="329">
        <v>0</v>
      </c>
      <c r="AM10" s="329">
        <v>0</v>
      </c>
      <c r="AN10" s="329">
        <v>0</v>
      </c>
      <c r="AO10" s="330">
        <v>28159.65</v>
      </c>
      <c r="AP10" s="330">
        <v>27933.72</v>
      </c>
      <c r="AQ10" s="330">
        <v>27933.72</v>
      </c>
      <c r="AR10" s="330">
        <v>28013.07</v>
      </c>
      <c r="AS10" s="330">
        <v>27838.49</v>
      </c>
      <c r="AT10" s="330">
        <v>27875.52</v>
      </c>
      <c r="AU10" s="330">
        <v>28102.39</v>
      </c>
      <c r="AV10" s="330">
        <v>28055.71</v>
      </c>
      <c r="AW10" s="330">
        <v>28060.69</v>
      </c>
      <c r="AX10" s="330">
        <v>28121.06</v>
      </c>
      <c r="AY10" s="330">
        <v>28170.54</v>
      </c>
      <c r="AZ10" s="330">
        <v>28215.97</v>
      </c>
      <c r="BA10" s="329">
        <v>0</v>
      </c>
      <c r="BB10" s="329">
        <v>0</v>
      </c>
      <c r="BC10" s="329">
        <v>0</v>
      </c>
      <c r="BD10" s="329">
        <v>0</v>
      </c>
      <c r="BE10" s="329">
        <v>0</v>
      </c>
      <c r="BF10" s="329">
        <v>0</v>
      </c>
      <c r="BG10" s="329">
        <v>0</v>
      </c>
      <c r="BH10" s="329">
        <v>0</v>
      </c>
      <c r="BI10" s="329">
        <v>0</v>
      </c>
      <c r="BJ10" s="329">
        <v>0</v>
      </c>
      <c r="BK10" s="329">
        <v>0</v>
      </c>
      <c r="BL10" s="329">
        <v>0</v>
      </c>
      <c r="BM10" s="331"/>
      <c r="BN10" s="331"/>
      <c r="BO10" s="331"/>
      <c r="BP10" s="331"/>
      <c r="BQ10" s="331"/>
      <c r="BR10" s="331"/>
      <c r="BS10" s="331"/>
      <c r="BT10" s="331"/>
      <c r="BU10" s="331"/>
      <c r="BV10" s="331"/>
      <c r="BW10" s="331"/>
      <c r="BX10" s="331"/>
      <c r="BY10" s="329">
        <v>0</v>
      </c>
      <c r="BZ10" s="329">
        <v>0</v>
      </c>
      <c r="CA10" s="329">
        <v>0</v>
      </c>
      <c r="CB10" s="329">
        <v>0</v>
      </c>
      <c r="CC10" s="329">
        <v>0</v>
      </c>
      <c r="CD10" s="329">
        <v>0</v>
      </c>
      <c r="CE10" s="329">
        <v>0</v>
      </c>
      <c r="CF10" s="329">
        <v>0</v>
      </c>
      <c r="CG10" s="329">
        <v>0</v>
      </c>
      <c r="CH10" s="329">
        <v>0</v>
      </c>
      <c r="CI10" s="329">
        <v>0</v>
      </c>
      <c r="CJ10" s="329">
        <v>0</v>
      </c>
      <c r="CK10" s="329">
        <v>0</v>
      </c>
      <c r="CL10" s="329">
        <v>0</v>
      </c>
      <c r="CM10" s="329">
        <v>0</v>
      </c>
      <c r="CN10" s="329">
        <v>0</v>
      </c>
      <c r="CO10" s="329">
        <v>0</v>
      </c>
      <c r="CP10" s="329">
        <v>0</v>
      </c>
      <c r="CQ10" s="329">
        <v>0</v>
      </c>
      <c r="CR10" s="329">
        <v>0</v>
      </c>
      <c r="CS10" s="329">
        <v>0</v>
      </c>
      <c r="CT10" s="329">
        <v>0</v>
      </c>
      <c r="CU10" s="329">
        <v>0</v>
      </c>
      <c r="CV10" s="329">
        <v>0</v>
      </c>
      <c r="CW10" s="329">
        <v>0</v>
      </c>
      <c r="CX10" s="329">
        <v>0</v>
      </c>
      <c r="CY10" s="329">
        <v>0</v>
      </c>
      <c r="CZ10" s="329">
        <v>0</v>
      </c>
      <c r="DA10" s="329">
        <v>0</v>
      </c>
      <c r="DB10" s="329">
        <v>0</v>
      </c>
      <c r="DC10" s="329">
        <v>0</v>
      </c>
      <c r="DD10" s="329">
        <v>0</v>
      </c>
      <c r="DE10" s="329">
        <v>0</v>
      </c>
      <c r="DF10" s="329">
        <v>0</v>
      </c>
      <c r="DG10" s="329">
        <v>0</v>
      </c>
      <c r="DH10" s="329">
        <v>0</v>
      </c>
      <c r="DI10" s="331"/>
      <c r="DJ10" s="331"/>
      <c r="DK10" s="331"/>
      <c r="DL10" s="331"/>
      <c r="DM10" s="331"/>
      <c r="DN10" s="331"/>
      <c r="DO10" s="331"/>
      <c r="DP10" s="331"/>
      <c r="DQ10" s="331"/>
      <c r="DR10" s="331"/>
      <c r="DS10" s="331"/>
      <c r="DT10" s="331"/>
      <c r="DU10" s="330">
        <v>392.48</v>
      </c>
      <c r="DV10" s="330">
        <v>389.32</v>
      </c>
      <c r="DW10" s="330">
        <v>389.32</v>
      </c>
      <c r="DX10" s="330">
        <v>390.43</v>
      </c>
      <c r="DY10" s="330">
        <v>387.98</v>
      </c>
      <c r="DZ10" s="330">
        <v>388.5</v>
      </c>
      <c r="EA10" s="330">
        <v>391.68</v>
      </c>
      <c r="EB10" s="330">
        <v>391.03</v>
      </c>
      <c r="EC10" s="330">
        <v>391.1</v>
      </c>
      <c r="ED10" s="330">
        <v>391.94</v>
      </c>
      <c r="EE10" s="330">
        <v>392.63</v>
      </c>
      <c r="EF10" s="330">
        <v>393.27</v>
      </c>
      <c r="EG10" s="329">
        <v>0</v>
      </c>
      <c r="EH10" s="329">
        <v>0</v>
      </c>
      <c r="EI10" s="329">
        <v>0</v>
      </c>
      <c r="EJ10" s="329">
        <v>0</v>
      </c>
      <c r="EK10" s="329">
        <v>0</v>
      </c>
      <c r="EL10" s="329">
        <v>0</v>
      </c>
      <c r="EM10" s="329">
        <v>0</v>
      </c>
      <c r="EN10" s="329">
        <v>0</v>
      </c>
      <c r="EO10" s="329">
        <v>0</v>
      </c>
      <c r="EP10" s="329">
        <v>0</v>
      </c>
      <c r="EQ10" s="329">
        <v>0</v>
      </c>
      <c r="ER10" s="329">
        <v>0</v>
      </c>
      <c r="ES10" s="331"/>
      <c r="ET10" s="331"/>
      <c r="EU10" s="331"/>
      <c r="EV10" s="331"/>
      <c r="EW10" s="331"/>
      <c r="EX10" s="331"/>
      <c r="EY10" s="331"/>
      <c r="EZ10" s="331"/>
      <c r="FA10" s="331"/>
      <c r="FB10" s="331"/>
      <c r="FC10" s="331"/>
      <c r="FD10" s="331"/>
      <c r="FE10" s="329">
        <v>0</v>
      </c>
      <c r="FF10" s="329">
        <v>0</v>
      </c>
      <c r="FG10" s="329">
        <v>0</v>
      </c>
      <c r="FH10" s="329">
        <v>0</v>
      </c>
      <c r="FI10" s="329">
        <v>0</v>
      </c>
      <c r="FJ10" s="329">
        <v>0</v>
      </c>
      <c r="FK10" s="329">
        <v>0</v>
      </c>
      <c r="FL10" s="329">
        <v>0</v>
      </c>
      <c r="FM10" s="329">
        <v>0</v>
      </c>
      <c r="FN10" s="329">
        <v>0</v>
      </c>
      <c r="FO10" s="329">
        <v>0</v>
      </c>
      <c r="FP10" s="329">
        <v>0</v>
      </c>
      <c r="FQ10" s="329">
        <v>0</v>
      </c>
      <c r="FR10" s="329">
        <v>0</v>
      </c>
      <c r="FS10" s="329">
        <v>0</v>
      </c>
      <c r="FT10" s="329">
        <v>0</v>
      </c>
      <c r="FU10" s="329">
        <v>0</v>
      </c>
      <c r="FV10" s="329">
        <v>0</v>
      </c>
      <c r="FW10" s="329">
        <v>0</v>
      </c>
      <c r="FX10" s="329">
        <v>0</v>
      </c>
      <c r="FY10" s="329">
        <v>0</v>
      </c>
      <c r="FZ10" s="329">
        <v>0</v>
      </c>
      <c r="GA10" s="329">
        <v>0</v>
      </c>
      <c r="GB10" s="329">
        <v>0</v>
      </c>
      <c r="GC10" s="330">
        <v>10216.75</v>
      </c>
      <c r="GD10" s="330">
        <v>10176.719999999999</v>
      </c>
      <c r="GE10" s="330">
        <v>10176.719999999999</v>
      </c>
      <c r="GF10" s="330">
        <v>10073.870000000001</v>
      </c>
      <c r="GG10" s="330">
        <v>10042.93</v>
      </c>
      <c r="GH10" s="330">
        <v>9520.74</v>
      </c>
      <c r="GI10" s="330">
        <v>9560.94</v>
      </c>
      <c r="GJ10" s="330">
        <v>9552.67</v>
      </c>
      <c r="GK10" s="330">
        <v>9553.5499999999993</v>
      </c>
      <c r="GL10" s="330">
        <v>9564.25</v>
      </c>
      <c r="GM10" s="330">
        <v>9573.02</v>
      </c>
      <c r="GN10" s="330">
        <v>11296.16</v>
      </c>
      <c r="GO10" s="331"/>
      <c r="GP10" s="331"/>
      <c r="GQ10" s="331"/>
      <c r="GR10" s="331"/>
      <c r="GS10" s="331"/>
      <c r="GT10" s="331"/>
      <c r="GU10" s="331"/>
      <c r="GV10" s="331"/>
      <c r="GW10" s="331"/>
      <c r="GX10" s="331"/>
      <c r="GY10" s="331"/>
      <c r="GZ10" s="331"/>
      <c r="HA10" s="330">
        <v>264.38</v>
      </c>
      <c r="HB10" s="330">
        <v>262.55</v>
      </c>
      <c r="HC10" s="330">
        <v>279.07</v>
      </c>
      <c r="HD10" s="330">
        <v>249.7</v>
      </c>
      <c r="HE10" s="330">
        <v>258.88</v>
      </c>
      <c r="HF10" s="330">
        <v>520.21</v>
      </c>
      <c r="HG10" s="330">
        <v>475.26</v>
      </c>
      <c r="HH10" s="330">
        <v>488.1</v>
      </c>
      <c r="HI10" s="330">
        <v>452.78</v>
      </c>
      <c r="HJ10" s="330">
        <v>439.93</v>
      </c>
      <c r="HK10" s="330">
        <v>430.3</v>
      </c>
      <c r="HL10" s="330">
        <v>439.93</v>
      </c>
      <c r="HM10" s="331"/>
      <c r="HN10" s="331"/>
      <c r="HO10" s="331"/>
      <c r="HP10" s="331"/>
      <c r="HQ10" s="331"/>
      <c r="HR10" s="331"/>
      <c r="HS10" s="331"/>
      <c r="HT10" s="331"/>
      <c r="HU10" s="331"/>
      <c r="HV10" s="331"/>
      <c r="HW10" s="331"/>
      <c r="HX10" s="331"/>
      <c r="HY10" s="329">
        <v>0</v>
      </c>
      <c r="HZ10" s="329">
        <v>0</v>
      </c>
      <c r="IA10" s="329">
        <v>0</v>
      </c>
      <c r="IB10" s="329">
        <v>0</v>
      </c>
      <c r="IC10" s="329">
        <v>0</v>
      </c>
      <c r="ID10" s="329">
        <v>0</v>
      </c>
      <c r="IE10" s="329">
        <v>0</v>
      </c>
      <c r="IF10" s="329">
        <v>0</v>
      </c>
      <c r="IG10" s="329">
        <v>0</v>
      </c>
      <c r="IH10" s="329">
        <v>0</v>
      </c>
      <c r="II10" s="329">
        <v>0</v>
      </c>
      <c r="IJ10" s="329">
        <v>0</v>
      </c>
      <c r="IK10" s="331"/>
      <c r="IL10" s="331"/>
      <c r="IM10" s="331"/>
      <c r="IN10" s="331"/>
      <c r="IO10" s="331"/>
      <c r="IP10" s="331"/>
      <c r="IQ10" s="331"/>
      <c r="IR10" s="331"/>
      <c r="IS10" s="331"/>
      <c r="IT10" s="331"/>
      <c r="IU10" s="331"/>
      <c r="IV10" s="331"/>
      <c r="IW10" s="331"/>
      <c r="IX10" s="331"/>
      <c r="IY10" s="331"/>
      <c r="IZ10" s="331"/>
      <c r="JA10" s="331"/>
      <c r="JB10" s="331"/>
      <c r="JC10" s="331"/>
      <c r="JD10" s="331"/>
      <c r="JE10" s="331"/>
      <c r="JF10" s="331"/>
      <c r="JG10" s="331"/>
      <c r="JH10" s="331"/>
      <c r="JI10" s="330">
        <v>1072.92</v>
      </c>
      <c r="JJ10" s="331"/>
      <c r="JK10" s="331"/>
      <c r="JL10" s="331"/>
      <c r="JM10" s="331"/>
      <c r="JN10" s="331"/>
      <c r="JO10" s="331"/>
      <c r="JP10" s="331"/>
      <c r="JQ10" s="331"/>
      <c r="JR10" s="331"/>
      <c r="JS10" s="331"/>
      <c r="JT10" s="331"/>
      <c r="JU10" s="331"/>
      <c r="JV10" s="331"/>
      <c r="JW10" s="331"/>
      <c r="JX10" s="331"/>
      <c r="JY10" s="331"/>
      <c r="JZ10" s="331"/>
      <c r="KA10" s="331"/>
      <c r="KB10" s="331"/>
      <c r="KC10" s="331"/>
      <c r="KD10" s="331"/>
      <c r="KE10" s="331"/>
      <c r="KF10" s="331"/>
      <c r="KG10" s="331"/>
      <c r="KH10" s="331"/>
      <c r="KI10" s="331"/>
      <c r="KJ10" s="331"/>
      <c r="KK10" s="331"/>
      <c r="KL10" s="331"/>
      <c r="KM10" s="331"/>
      <c r="KN10" s="331"/>
      <c r="KO10" s="331"/>
      <c r="KP10" s="331"/>
      <c r="KQ10" s="331"/>
      <c r="KR10" s="331"/>
      <c r="KS10" s="331"/>
      <c r="KT10" s="331"/>
      <c r="KU10" s="331"/>
      <c r="KV10" s="331"/>
      <c r="KW10" s="331"/>
      <c r="KX10" s="331"/>
      <c r="KY10" s="331"/>
      <c r="KZ10" s="331"/>
      <c r="LA10" s="331"/>
      <c r="LB10" s="331"/>
      <c r="LC10" s="331"/>
      <c r="LD10" s="331"/>
      <c r="LE10" s="331"/>
      <c r="LF10" s="331"/>
      <c r="LG10" s="331"/>
      <c r="LH10" s="331"/>
      <c r="LI10" s="331"/>
      <c r="LJ10" s="331"/>
      <c r="LK10" s="331"/>
      <c r="LL10" s="331"/>
      <c r="LM10" s="331"/>
      <c r="LN10" s="331"/>
      <c r="LO10" s="331"/>
      <c r="LP10" s="331"/>
      <c r="LQ10" s="331"/>
      <c r="LR10" s="331"/>
      <c r="LS10" s="331"/>
      <c r="LT10" s="331"/>
      <c r="LU10" s="331"/>
      <c r="LV10" s="331"/>
      <c r="LW10" s="331"/>
      <c r="LX10" s="331"/>
      <c r="LY10" s="331"/>
      <c r="LZ10" s="331"/>
      <c r="MA10" s="331"/>
      <c r="MB10" s="331"/>
      <c r="MC10" s="331"/>
      <c r="MD10" s="331"/>
      <c r="ME10" s="331"/>
      <c r="MF10" s="331"/>
      <c r="MG10" s="331"/>
      <c r="MH10" s="331"/>
      <c r="MI10" s="331"/>
      <c r="MJ10" s="331"/>
      <c r="MK10" s="331"/>
      <c r="ML10" s="331"/>
      <c r="MM10" s="331"/>
      <c r="MN10" s="331"/>
      <c r="MO10" s="331"/>
      <c r="MP10" s="331"/>
      <c r="MQ10" s="331"/>
      <c r="MR10" s="331"/>
      <c r="MS10" s="331"/>
      <c r="MT10" s="331"/>
      <c r="MU10" s="331"/>
      <c r="MV10" s="331"/>
      <c r="MW10" s="331"/>
      <c r="MX10" s="331"/>
      <c r="MY10" s="331"/>
      <c r="MZ10" s="331"/>
      <c r="NA10" s="331"/>
      <c r="NB10" s="331"/>
      <c r="NC10" s="331"/>
      <c r="ND10" s="331"/>
      <c r="NE10" s="331"/>
      <c r="NF10" s="331"/>
      <c r="NG10" s="331"/>
      <c r="NH10" s="331"/>
      <c r="NI10" s="331"/>
      <c r="NJ10" s="331"/>
      <c r="NK10" s="331"/>
      <c r="NL10" s="331"/>
      <c r="NM10" s="331"/>
      <c r="NN10" s="331"/>
      <c r="NO10" s="331"/>
      <c r="NP10" s="331"/>
      <c r="NQ10" s="331"/>
      <c r="NR10" s="331"/>
      <c r="NS10" s="331"/>
      <c r="NT10" s="331"/>
      <c r="NU10" s="331"/>
      <c r="NV10" s="331"/>
      <c r="NW10" s="331"/>
      <c r="NX10" s="331"/>
      <c r="NY10" s="331"/>
      <c r="NZ10" s="331"/>
      <c r="OA10" s="331"/>
      <c r="OB10" s="331"/>
      <c r="OC10" s="331"/>
      <c r="OD10" s="331"/>
      <c r="OE10" s="331"/>
      <c r="OF10" s="331"/>
      <c r="OG10" s="331"/>
      <c r="OH10" s="331"/>
      <c r="OI10" s="331"/>
      <c r="OJ10" s="331"/>
      <c r="OK10" s="331"/>
      <c r="OL10" s="332">
        <f t="shared" si="0"/>
        <v>466112.53999999992</v>
      </c>
    </row>
    <row r="11" spans="1:402" ht="12.75" customHeight="1" thickBot="1">
      <c r="A11" s="320" t="s">
        <v>404</v>
      </c>
      <c r="B11" s="320" t="s">
        <v>405</v>
      </c>
      <c r="C11" s="320" t="s">
        <v>406</v>
      </c>
      <c r="D11" s="328" t="s">
        <v>415</v>
      </c>
      <c r="E11" s="329">
        <v>0</v>
      </c>
      <c r="F11" s="329">
        <v>0</v>
      </c>
      <c r="G11" s="329">
        <v>0</v>
      </c>
      <c r="H11" s="329">
        <v>0</v>
      </c>
      <c r="I11" s="329">
        <v>0</v>
      </c>
      <c r="J11" s="329">
        <v>0</v>
      </c>
      <c r="K11" s="329">
        <v>0</v>
      </c>
      <c r="L11" s="329">
        <v>0</v>
      </c>
      <c r="M11" s="329">
        <v>0</v>
      </c>
      <c r="N11" s="329">
        <v>0</v>
      </c>
      <c r="O11" s="329">
        <v>0</v>
      </c>
      <c r="P11" s="329">
        <v>0</v>
      </c>
      <c r="Q11" s="329">
        <v>0</v>
      </c>
      <c r="R11" s="329">
        <v>0</v>
      </c>
      <c r="S11" s="329">
        <v>0</v>
      </c>
      <c r="T11" s="329">
        <v>0</v>
      </c>
      <c r="U11" s="329">
        <v>0</v>
      </c>
      <c r="V11" s="329">
        <v>0</v>
      </c>
      <c r="W11" s="329">
        <v>0</v>
      </c>
      <c r="X11" s="329">
        <v>0</v>
      </c>
      <c r="Y11" s="329">
        <v>0</v>
      </c>
      <c r="Z11" s="329">
        <v>0</v>
      </c>
      <c r="AA11" s="329">
        <v>0</v>
      </c>
      <c r="AB11" s="329">
        <v>0</v>
      </c>
      <c r="AC11" s="329">
        <v>0</v>
      </c>
      <c r="AD11" s="329">
        <v>0</v>
      </c>
      <c r="AE11" s="329">
        <v>0</v>
      </c>
      <c r="AF11" s="329">
        <v>0</v>
      </c>
      <c r="AG11" s="329">
        <v>0</v>
      </c>
      <c r="AH11" s="329">
        <v>0</v>
      </c>
      <c r="AI11" s="329">
        <v>0</v>
      </c>
      <c r="AJ11" s="329">
        <v>0</v>
      </c>
      <c r="AK11" s="329">
        <v>0</v>
      </c>
      <c r="AL11" s="329">
        <v>0</v>
      </c>
      <c r="AM11" s="329">
        <v>0</v>
      </c>
      <c r="AN11" s="329">
        <v>0</v>
      </c>
      <c r="AO11" s="330">
        <v>26604.58</v>
      </c>
      <c r="AP11" s="330">
        <v>24974.52</v>
      </c>
      <c r="AQ11" s="330">
        <v>25889.13</v>
      </c>
      <c r="AR11" s="330">
        <v>24670.47</v>
      </c>
      <c r="AS11" s="330">
        <v>26265.68</v>
      </c>
      <c r="AT11" s="330">
        <v>24723.69</v>
      </c>
      <c r="AU11" s="330">
        <v>21246.34</v>
      </c>
      <c r="AV11" s="330">
        <v>21159.200000000001</v>
      </c>
      <c r="AW11" s="330">
        <v>21039.39</v>
      </c>
      <c r="AX11" s="330">
        <v>21039.39</v>
      </c>
      <c r="AY11" s="330">
        <v>21039.39</v>
      </c>
      <c r="AZ11" s="330">
        <v>21039.39</v>
      </c>
      <c r="BA11" s="329">
        <v>0</v>
      </c>
      <c r="BB11" s="329">
        <v>0</v>
      </c>
      <c r="BC11" s="329">
        <v>0</v>
      </c>
      <c r="BD11" s="329">
        <v>0</v>
      </c>
      <c r="BE11" s="329">
        <v>0</v>
      </c>
      <c r="BF11" s="329">
        <v>0</v>
      </c>
      <c r="BG11" s="329">
        <v>0</v>
      </c>
      <c r="BH11" s="329">
        <v>0</v>
      </c>
      <c r="BI11" s="329">
        <v>0</v>
      </c>
      <c r="BJ11" s="329">
        <v>0</v>
      </c>
      <c r="BK11" s="329">
        <v>0</v>
      </c>
      <c r="BL11" s="329">
        <v>0</v>
      </c>
      <c r="BM11" s="331"/>
      <c r="BN11" s="331"/>
      <c r="BO11" s="331"/>
      <c r="BP11" s="331"/>
      <c r="BQ11" s="331"/>
      <c r="BR11" s="331"/>
      <c r="BS11" s="331"/>
      <c r="BT11" s="331"/>
      <c r="BU11" s="331"/>
      <c r="BV11" s="331"/>
      <c r="BW11" s="331"/>
      <c r="BX11" s="331"/>
      <c r="BY11" s="329">
        <v>0</v>
      </c>
      <c r="BZ11" s="329">
        <v>0</v>
      </c>
      <c r="CA11" s="329">
        <v>0</v>
      </c>
      <c r="CB11" s="329">
        <v>0</v>
      </c>
      <c r="CC11" s="329">
        <v>0</v>
      </c>
      <c r="CD11" s="329">
        <v>0</v>
      </c>
      <c r="CE11" s="329">
        <v>0</v>
      </c>
      <c r="CF11" s="329">
        <v>0</v>
      </c>
      <c r="CG11" s="329">
        <v>0</v>
      </c>
      <c r="CH11" s="329">
        <v>0</v>
      </c>
      <c r="CI11" s="329">
        <v>0</v>
      </c>
      <c r="CJ11" s="329">
        <v>0</v>
      </c>
      <c r="CK11" s="329">
        <v>0</v>
      </c>
      <c r="CL11" s="329">
        <v>0</v>
      </c>
      <c r="CM11" s="329">
        <v>0</v>
      </c>
      <c r="CN11" s="329">
        <v>0</v>
      </c>
      <c r="CO11" s="329">
        <v>0</v>
      </c>
      <c r="CP11" s="329">
        <v>0</v>
      </c>
      <c r="CQ11" s="329">
        <v>0</v>
      </c>
      <c r="CR11" s="329">
        <v>0</v>
      </c>
      <c r="CS11" s="329">
        <v>0</v>
      </c>
      <c r="CT11" s="329">
        <v>0</v>
      </c>
      <c r="CU11" s="329">
        <v>0</v>
      </c>
      <c r="CV11" s="329">
        <v>0</v>
      </c>
      <c r="CW11" s="329">
        <v>0</v>
      </c>
      <c r="CX11" s="329">
        <v>0</v>
      </c>
      <c r="CY11" s="329">
        <v>0</v>
      </c>
      <c r="CZ11" s="329">
        <v>0</v>
      </c>
      <c r="DA11" s="329">
        <v>0</v>
      </c>
      <c r="DB11" s="329">
        <v>0</v>
      </c>
      <c r="DC11" s="329">
        <v>0</v>
      </c>
      <c r="DD11" s="329">
        <v>0</v>
      </c>
      <c r="DE11" s="329">
        <v>0</v>
      </c>
      <c r="DF11" s="329">
        <v>0</v>
      </c>
      <c r="DG11" s="329">
        <v>0</v>
      </c>
      <c r="DH11" s="329">
        <v>0</v>
      </c>
      <c r="DI11" s="331"/>
      <c r="DJ11" s="331"/>
      <c r="DK11" s="331"/>
      <c r="DL11" s="331"/>
      <c r="DM11" s="331"/>
      <c r="DN11" s="331"/>
      <c r="DO11" s="331"/>
      <c r="DP11" s="331"/>
      <c r="DQ11" s="331"/>
      <c r="DR11" s="331"/>
      <c r="DS11" s="331"/>
      <c r="DT11" s="331"/>
      <c r="DU11" s="330">
        <v>370.7</v>
      </c>
      <c r="DV11" s="330">
        <v>347.88</v>
      </c>
      <c r="DW11" s="330">
        <v>360.68</v>
      </c>
      <c r="DX11" s="330">
        <v>343.62</v>
      </c>
      <c r="DY11" s="330">
        <v>365.96</v>
      </c>
      <c r="DZ11" s="330">
        <v>344.36</v>
      </c>
      <c r="EA11" s="330">
        <v>295.66000000000003</v>
      </c>
      <c r="EB11" s="330">
        <v>294.44</v>
      </c>
      <c r="EC11" s="330">
        <v>292.77</v>
      </c>
      <c r="ED11" s="330">
        <v>292.77</v>
      </c>
      <c r="EE11" s="330">
        <v>292.77</v>
      </c>
      <c r="EF11" s="330">
        <v>292.77</v>
      </c>
      <c r="EG11" s="329">
        <v>0</v>
      </c>
      <c r="EH11" s="329">
        <v>0</v>
      </c>
      <c r="EI11" s="329">
        <v>0</v>
      </c>
      <c r="EJ11" s="329">
        <v>0</v>
      </c>
      <c r="EK11" s="329">
        <v>0</v>
      </c>
      <c r="EL11" s="329">
        <v>0</v>
      </c>
      <c r="EM11" s="329">
        <v>0</v>
      </c>
      <c r="EN11" s="329">
        <v>0</v>
      </c>
      <c r="EO11" s="329">
        <v>0</v>
      </c>
      <c r="EP11" s="329">
        <v>0</v>
      </c>
      <c r="EQ11" s="329">
        <v>0</v>
      </c>
      <c r="ER11" s="329">
        <v>0</v>
      </c>
      <c r="ES11" s="331"/>
      <c r="ET11" s="331"/>
      <c r="EU11" s="331"/>
      <c r="EV11" s="331"/>
      <c r="EW11" s="331"/>
      <c r="EX11" s="331"/>
      <c r="EY11" s="331"/>
      <c r="EZ11" s="331"/>
      <c r="FA11" s="331"/>
      <c r="FB11" s="331"/>
      <c r="FC11" s="331"/>
      <c r="FD11" s="331"/>
      <c r="FE11" s="329">
        <v>0</v>
      </c>
      <c r="FF11" s="329">
        <v>0</v>
      </c>
      <c r="FG11" s="329">
        <v>0</v>
      </c>
      <c r="FH11" s="329">
        <v>0</v>
      </c>
      <c r="FI11" s="329">
        <v>0</v>
      </c>
      <c r="FJ11" s="329">
        <v>0</v>
      </c>
      <c r="FK11" s="329">
        <v>0</v>
      </c>
      <c r="FL11" s="329">
        <v>0</v>
      </c>
      <c r="FM11" s="329">
        <v>0</v>
      </c>
      <c r="FN11" s="329">
        <v>0</v>
      </c>
      <c r="FO11" s="329">
        <v>0</v>
      </c>
      <c r="FP11" s="329">
        <v>0</v>
      </c>
      <c r="FQ11" s="329">
        <v>0</v>
      </c>
      <c r="FR11" s="329">
        <v>0</v>
      </c>
      <c r="FS11" s="329">
        <v>0</v>
      </c>
      <c r="FT11" s="329">
        <v>0</v>
      </c>
      <c r="FU11" s="329">
        <v>0</v>
      </c>
      <c r="FV11" s="329">
        <v>0</v>
      </c>
      <c r="FW11" s="329">
        <v>0</v>
      </c>
      <c r="FX11" s="329">
        <v>0</v>
      </c>
      <c r="FY11" s="329">
        <v>0</v>
      </c>
      <c r="FZ11" s="329">
        <v>0</v>
      </c>
      <c r="GA11" s="329">
        <v>0</v>
      </c>
      <c r="GB11" s="329">
        <v>0</v>
      </c>
      <c r="GC11" s="330">
        <v>53386.39</v>
      </c>
      <c r="GD11" s="330">
        <v>53097.56</v>
      </c>
      <c r="GE11" s="330">
        <v>53259.62</v>
      </c>
      <c r="GF11" s="330">
        <v>54808.18</v>
      </c>
      <c r="GG11" s="330">
        <v>55090.84</v>
      </c>
      <c r="GH11" s="330">
        <v>49620.66</v>
      </c>
      <c r="GI11" s="330">
        <v>49004.5</v>
      </c>
      <c r="GJ11" s="330">
        <v>48989.06</v>
      </c>
      <c r="GK11" s="330">
        <v>48967.83</v>
      </c>
      <c r="GL11" s="330">
        <v>48967.83</v>
      </c>
      <c r="GM11" s="330">
        <v>48967.83</v>
      </c>
      <c r="GN11" s="330">
        <v>48211.41</v>
      </c>
      <c r="GO11" s="331"/>
      <c r="GP11" s="331"/>
      <c r="GQ11" s="331"/>
      <c r="GR11" s="331"/>
      <c r="GS11" s="331"/>
      <c r="GT11" s="331"/>
      <c r="GU11" s="331"/>
      <c r="GV11" s="331"/>
      <c r="GW11" s="331"/>
      <c r="GX11" s="331"/>
      <c r="GY11" s="331"/>
      <c r="GZ11" s="331"/>
      <c r="HA11" s="330">
        <v>1428.18</v>
      </c>
      <c r="HB11" s="330">
        <v>1268.48</v>
      </c>
      <c r="HC11" s="330">
        <v>1575.07</v>
      </c>
      <c r="HD11" s="330">
        <v>1477.76</v>
      </c>
      <c r="HE11" s="330">
        <v>1336.43</v>
      </c>
      <c r="HF11" s="330">
        <v>2231.44</v>
      </c>
      <c r="HG11" s="330">
        <v>2247.4499999999998</v>
      </c>
      <c r="HH11" s="330">
        <v>1528.15</v>
      </c>
      <c r="HI11" s="330">
        <v>1524.92</v>
      </c>
      <c r="HJ11" s="329">
        <v>0</v>
      </c>
      <c r="HK11" s="329">
        <v>0</v>
      </c>
      <c r="HL11" s="329">
        <v>0</v>
      </c>
      <c r="HM11" s="331"/>
      <c r="HN11" s="331"/>
      <c r="HO11" s="331"/>
      <c r="HP11" s="331"/>
      <c r="HQ11" s="331"/>
      <c r="HR11" s="331"/>
      <c r="HS11" s="331"/>
      <c r="HT11" s="331"/>
      <c r="HU11" s="331"/>
      <c r="HV11" s="331"/>
      <c r="HW11" s="331"/>
      <c r="HX11" s="331"/>
      <c r="HY11" s="329">
        <v>0</v>
      </c>
      <c r="HZ11" s="329">
        <v>0</v>
      </c>
      <c r="IA11" s="329">
        <v>0</v>
      </c>
      <c r="IB11" s="329">
        <v>0</v>
      </c>
      <c r="IC11" s="329">
        <v>0</v>
      </c>
      <c r="ID11" s="329">
        <v>0</v>
      </c>
      <c r="IE11" s="329">
        <v>0</v>
      </c>
      <c r="IF11" s="329">
        <v>0</v>
      </c>
      <c r="IG11" s="329">
        <v>0</v>
      </c>
      <c r="IH11" s="329">
        <v>0</v>
      </c>
      <c r="II11" s="329">
        <v>0</v>
      </c>
      <c r="IJ11" s="329">
        <v>0</v>
      </c>
      <c r="IK11" s="331"/>
      <c r="IL11" s="331"/>
      <c r="IM11" s="331"/>
      <c r="IN11" s="331"/>
      <c r="IO11" s="331"/>
      <c r="IP11" s="331"/>
      <c r="IQ11" s="331"/>
      <c r="IR11" s="331"/>
      <c r="IS11" s="331"/>
      <c r="IT11" s="331"/>
      <c r="IU11" s="331"/>
      <c r="IV11" s="331"/>
      <c r="IW11" s="331"/>
      <c r="IX11" s="331"/>
      <c r="IY11" s="331"/>
      <c r="IZ11" s="331"/>
      <c r="JA11" s="331"/>
      <c r="JB11" s="331"/>
      <c r="JC11" s="331"/>
      <c r="JD11" s="331"/>
      <c r="JE11" s="331"/>
      <c r="JF11" s="331"/>
      <c r="JG11" s="331"/>
      <c r="JH11" s="331"/>
      <c r="JI11" s="330">
        <v>798.72</v>
      </c>
      <c r="JJ11" s="331"/>
      <c r="JK11" s="331"/>
      <c r="JL11" s="331"/>
      <c r="JM11" s="331"/>
      <c r="JN11" s="331"/>
      <c r="JO11" s="331"/>
      <c r="JP11" s="331"/>
      <c r="JQ11" s="331"/>
      <c r="JR11" s="331"/>
      <c r="JS11" s="331"/>
      <c r="JT11" s="331"/>
      <c r="JU11" s="331"/>
      <c r="JV11" s="331"/>
      <c r="JW11" s="331"/>
      <c r="JX11" s="331"/>
      <c r="JY11" s="331"/>
      <c r="JZ11" s="331"/>
      <c r="KA11" s="331"/>
      <c r="KB11" s="331"/>
      <c r="KC11" s="331"/>
      <c r="KD11" s="331"/>
      <c r="KE11" s="331"/>
      <c r="KF11" s="331"/>
      <c r="KG11" s="331"/>
      <c r="KH11" s="331"/>
      <c r="KI11" s="331"/>
      <c r="KJ11" s="331"/>
      <c r="KK11" s="331"/>
      <c r="KL11" s="331"/>
      <c r="KM11" s="331"/>
      <c r="KN11" s="331"/>
      <c r="KO11" s="331"/>
      <c r="KP11" s="331"/>
      <c r="KQ11" s="331"/>
      <c r="KR11" s="331"/>
      <c r="KS11" s="331"/>
      <c r="KT11" s="331"/>
      <c r="KU11" s="331"/>
      <c r="KV11" s="331"/>
      <c r="KW11" s="331"/>
      <c r="KX11" s="331"/>
      <c r="KY11" s="331"/>
      <c r="KZ11" s="331"/>
      <c r="LA11" s="331"/>
      <c r="LB11" s="331"/>
      <c r="LC11" s="331"/>
      <c r="LD11" s="331"/>
      <c r="LE11" s="331"/>
      <c r="LF11" s="331"/>
      <c r="LG11" s="331"/>
      <c r="LH11" s="331"/>
      <c r="LI11" s="331"/>
      <c r="LJ11" s="331"/>
      <c r="LK11" s="331"/>
      <c r="LL11" s="331"/>
      <c r="LM11" s="331"/>
      <c r="LN11" s="331"/>
      <c r="LO11" s="331"/>
      <c r="LP11" s="331"/>
      <c r="LQ11" s="331"/>
      <c r="LR11" s="331"/>
      <c r="LS11" s="331"/>
      <c r="LT11" s="331"/>
      <c r="LU11" s="331"/>
      <c r="LV11" s="331"/>
      <c r="LW11" s="331"/>
      <c r="LX11" s="331"/>
      <c r="LY11" s="331"/>
      <c r="LZ11" s="331"/>
      <c r="MA11" s="331"/>
      <c r="MB11" s="331"/>
      <c r="MC11" s="331"/>
      <c r="MD11" s="331"/>
      <c r="ME11" s="331"/>
      <c r="MF11" s="331"/>
      <c r="MG11" s="331"/>
      <c r="MH11" s="331"/>
      <c r="MI11" s="331"/>
      <c r="MJ11" s="331"/>
      <c r="MK11" s="331"/>
      <c r="ML11" s="331"/>
      <c r="MM11" s="331"/>
      <c r="MN11" s="331"/>
      <c r="MO11" s="331"/>
      <c r="MP11" s="331"/>
      <c r="MQ11" s="331"/>
      <c r="MR11" s="331"/>
      <c r="MS11" s="331"/>
      <c r="MT11" s="331"/>
      <c r="MU11" s="331"/>
      <c r="MV11" s="331"/>
      <c r="MW11" s="331"/>
      <c r="MX11" s="331"/>
      <c r="MY11" s="331"/>
      <c r="MZ11" s="331"/>
      <c r="NA11" s="331"/>
      <c r="NB11" s="331"/>
      <c r="NC11" s="331"/>
      <c r="ND11" s="331"/>
      <c r="NE11" s="331"/>
      <c r="NF11" s="331"/>
      <c r="NG11" s="331"/>
      <c r="NH11" s="331"/>
      <c r="NI11" s="331"/>
      <c r="NJ11" s="331"/>
      <c r="NK11" s="331"/>
      <c r="NL11" s="331"/>
      <c r="NM11" s="331"/>
      <c r="NN11" s="331"/>
      <c r="NO11" s="331"/>
      <c r="NP11" s="331"/>
      <c r="NQ11" s="331"/>
      <c r="NR11" s="331"/>
      <c r="NS11" s="331"/>
      <c r="NT11" s="331"/>
      <c r="NU11" s="331"/>
      <c r="NV11" s="331"/>
      <c r="NW11" s="331"/>
      <c r="NX11" s="331"/>
      <c r="NY11" s="331"/>
      <c r="NZ11" s="331"/>
      <c r="OA11" s="331"/>
      <c r="OB11" s="331"/>
      <c r="OC11" s="331"/>
      <c r="OD11" s="331"/>
      <c r="OE11" s="331"/>
      <c r="OF11" s="331"/>
      <c r="OG11" s="331"/>
      <c r="OH11" s="331"/>
      <c r="OI11" s="331"/>
      <c r="OJ11" s="331"/>
      <c r="OK11" s="331"/>
      <c r="OL11" s="332">
        <f t="shared" si="0"/>
        <v>911373.86</v>
      </c>
    </row>
    <row r="12" spans="1:402" ht="12.75" customHeight="1" thickBot="1">
      <c r="A12" s="320" t="s">
        <v>404</v>
      </c>
      <c r="B12" s="320" t="s">
        <v>405</v>
      </c>
      <c r="C12" s="320" t="s">
        <v>406</v>
      </c>
      <c r="D12" s="328" t="s">
        <v>416</v>
      </c>
      <c r="E12" s="329">
        <v>0</v>
      </c>
      <c r="F12" s="329">
        <v>0</v>
      </c>
      <c r="G12" s="329">
        <v>0</v>
      </c>
      <c r="H12" s="329">
        <v>0</v>
      </c>
      <c r="I12" s="329">
        <v>0</v>
      </c>
      <c r="J12" s="329">
        <v>0</v>
      </c>
      <c r="K12" s="329">
        <v>0</v>
      </c>
      <c r="L12" s="329">
        <v>0</v>
      </c>
      <c r="M12" s="329">
        <v>0</v>
      </c>
      <c r="N12" s="329">
        <v>0</v>
      </c>
      <c r="O12" s="329">
        <v>0</v>
      </c>
      <c r="P12" s="329">
        <v>0</v>
      </c>
      <c r="Q12" s="329">
        <v>0</v>
      </c>
      <c r="R12" s="329">
        <v>0</v>
      </c>
      <c r="S12" s="329">
        <v>0</v>
      </c>
      <c r="T12" s="329">
        <v>0</v>
      </c>
      <c r="U12" s="329">
        <v>0</v>
      </c>
      <c r="V12" s="329">
        <v>0</v>
      </c>
      <c r="W12" s="329">
        <v>0</v>
      </c>
      <c r="X12" s="329">
        <v>0</v>
      </c>
      <c r="Y12" s="329">
        <v>0</v>
      </c>
      <c r="Z12" s="329">
        <v>0</v>
      </c>
      <c r="AA12" s="329">
        <v>0</v>
      </c>
      <c r="AB12" s="329">
        <v>0</v>
      </c>
      <c r="AC12" s="329">
        <v>0</v>
      </c>
      <c r="AD12" s="329">
        <v>0</v>
      </c>
      <c r="AE12" s="329">
        <v>0</v>
      </c>
      <c r="AF12" s="329">
        <v>0</v>
      </c>
      <c r="AG12" s="329">
        <v>0</v>
      </c>
      <c r="AH12" s="329">
        <v>0</v>
      </c>
      <c r="AI12" s="329">
        <v>0</v>
      </c>
      <c r="AJ12" s="329">
        <v>0</v>
      </c>
      <c r="AK12" s="329">
        <v>0</v>
      </c>
      <c r="AL12" s="329">
        <v>0</v>
      </c>
      <c r="AM12" s="329">
        <v>0</v>
      </c>
      <c r="AN12" s="329">
        <v>0</v>
      </c>
      <c r="AO12" s="330">
        <v>3167.49</v>
      </c>
      <c r="AP12" s="330">
        <v>3167.49</v>
      </c>
      <c r="AQ12" s="330">
        <v>3167.49</v>
      </c>
      <c r="AR12" s="330">
        <v>3167.49</v>
      </c>
      <c r="AS12" s="330">
        <v>3167.49</v>
      </c>
      <c r="AT12" s="330">
        <v>2683.26</v>
      </c>
      <c r="AU12" s="330">
        <v>2634.71</v>
      </c>
      <c r="AV12" s="330">
        <v>2681.08</v>
      </c>
      <c r="AW12" s="330">
        <v>2720.6</v>
      </c>
      <c r="AX12" s="330">
        <v>2800.89</v>
      </c>
      <c r="AY12" s="330">
        <v>2821.12</v>
      </c>
      <c r="AZ12" s="330">
        <v>2788.44</v>
      </c>
      <c r="BA12" s="329">
        <v>0</v>
      </c>
      <c r="BB12" s="329">
        <v>0</v>
      </c>
      <c r="BC12" s="329">
        <v>0</v>
      </c>
      <c r="BD12" s="329">
        <v>0</v>
      </c>
      <c r="BE12" s="329">
        <v>0</v>
      </c>
      <c r="BF12" s="329">
        <v>0</v>
      </c>
      <c r="BG12" s="329">
        <v>0</v>
      </c>
      <c r="BH12" s="329">
        <v>0</v>
      </c>
      <c r="BI12" s="329">
        <v>0</v>
      </c>
      <c r="BJ12" s="329">
        <v>0</v>
      </c>
      <c r="BK12" s="329">
        <v>0</v>
      </c>
      <c r="BL12" s="329">
        <v>0</v>
      </c>
      <c r="BM12" s="331"/>
      <c r="BN12" s="331"/>
      <c r="BO12" s="331"/>
      <c r="BP12" s="331"/>
      <c r="BQ12" s="331"/>
      <c r="BR12" s="331"/>
      <c r="BS12" s="331"/>
      <c r="BT12" s="331"/>
      <c r="BU12" s="331"/>
      <c r="BV12" s="331"/>
      <c r="BW12" s="331"/>
      <c r="BX12" s="331"/>
      <c r="BY12" s="329">
        <v>0</v>
      </c>
      <c r="BZ12" s="329">
        <v>0</v>
      </c>
      <c r="CA12" s="329">
        <v>0</v>
      </c>
      <c r="CB12" s="329">
        <v>0</v>
      </c>
      <c r="CC12" s="329">
        <v>0</v>
      </c>
      <c r="CD12" s="329">
        <v>0</v>
      </c>
      <c r="CE12" s="329">
        <v>0</v>
      </c>
      <c r="CF12" s="329">
        <v>0</v>
      </c>
      <c r="CG12" s="329">
        <v>0</v>
      </c>
      <c r="CH12" s="329">
        <v>0</v>
      </c>
      <c r="CI12" s="329">
        <v>0</v>
      </c>
      <c r="CJ12" s="329">
        <v>0</v>
      </c>
      <c r="CK12" s="329">
        <v>0</v>
      </c>
      <c r="CL12" s="329">
        <v>0</v>
      </c>
      <c r="CM12" s="329">
        <v>0</v>
      </c>
      <c r="CN12" s="329">
        <v>0</v>
      </c>
      <c r="CO12" s="329">
        <v>0</v>
      </c>
      <c r="CP12" s="329">
        <v>0</v>
      </c>
      <c r="CQ12" s="329">
        <v>0</v>
      </c>
      <c r="CR12" s="329">
        <v>0</v>
      </c>
      <c r="CS12" s="329">
        <v>0</v>
      </c>
      <c r="CT12" s="329">
        <v>0</v>
      </c>
      <c r="CU12" s="329">
        <v>0</v>
      </c>
      <c r="CV12" s="329">
        <v>0</v>
      </c>
      <c r="CW12" s="329">
        <v>0</v>
      </c>
      <c r="CX12" s="329">
        <v>0</v>
      </c>
      <c r="CY12" s="329">
        <v>0</v>
      </c>
      <c r="CZ12" s="329">
        <v>0</v>
      </c>
      <c r="DA12" s="329">
        <v>0</v>
      </c>
      <c r="DB12" s="329">
        <v>0</v>
      </c>
      <c r="DC12" s="329">
        <v>0</v>
      </c>
      <c r="DD12" s="329">
        <v>0</v>
      </c>
      <c r="DE12" s="329">
        <v>0</v>
      </c>
      <c r="DF12" s="329">
        <v>0</v>
      </c>
      <c r="DG12" s="329">
        <v>0</v>
      </c>
      <c r="DH12" s="329">
        <v>0</v>
      </c>
      <c r="DI12" s="331"/>
      <c r="DJ12" s="331"/>
      <c r="DK12" s="331"/>
      <c r="DL12" s="331"/>
      <c r="DM12" s="331"/>
      <c r="DN12" s="331"/>
      <c r="DO12" s="331"/>
      <c r="DP12" s="331"/>
      <c r="DQ12" s="331"/>
      <c r="DR12" s="331"/>
      <c r="DS12" s="331"/>
      <c r="DT12" s="331"/>
      <c r="DU12" s="330">
        <v>42.48</v>
      </c>
      <c r="DV12" s="330">
        <v>42.48</v>
      </c>
      <c r="DW12" s="330">
        <v>42.48</v>
      </c>
      <c r="DX12" s="330">
        <v>42.48</v>
      </c>
      <c r="DY12" s="330">
        <v>42.48</v>
      </c>
      <c r="DZ12" s="330">
        <v>35.700000000000003</v>
      </c>
      <c r="EA12" s="330">
        <v>35.020000000000003</v>
      </c>
      <c r="EB12" s="330">
        <v>35.67</v>
      </c>
      <c r="EC12" s="330">
        <v>36.22</v>
      </c>
      <c r="ED12" s="330">
        <v>37.35</v>
      </c>
      <c r="EE12" s="330">
        <v>37.630000000000003</v>
      </c>
      <c r="EF12" s="330">
        <v>37.17</v>
      </c>
      <c r="EG12" s="329">
        <v>0</v>
      </c>
      <c r="EH12" s="329">
        <v>0</v>
      </c>
      <c r="EI12" s="329">
        <v>0</v>
      </c>
      <c r="EJ12" s="329">
        <v>0</v>
      </c>
      <c r="EK12" s="329">
        <v>0</v>
      </c>
      <c r="EL12" s="329">
        <v>0</v>
      </c>
      <c r="EM12" s="329">
        <v>0</v>
      </c>
      <c r="EN12" s="329">
        <v>0</v>
      </c>
      <c r="EO12" s="329">
        <v>0</v>
      </c>
      <c r="EP12" s="329">
        <v>0</v>
      </c>
      <c r="EQ12" s="329">
        <v>0</v>
      </c>
      <c r="ER12" s="329">
        <v>0</v>
      </c>
      <c r="ES12" s="331"/>
      <c r="ET12" s="331"/>
      <c r="EU12" s="331"/>
      <c r="EV12" s="331"/>
      <c r="EW12" s="331"/>
      <c r="EX12" s="331"/>
      <c r="EY12" s="331"/>
      <c r="EZ12" s="331"/>
      <c r="FA12" s="331"/>
      <c r="FB12" s="331"/>
      <c r="FC12" s="331"/>
      <c r="FD12" s="331"/>
      <c r="FE12" s="329">
        <v>0</v>
      </c>
      <c r="FF12" s="329">
        <v>0</v>
      </c>
      <c r="FG12" s="329">
        <v>0</v>
      </c>
      <c r="FH12" s="329">
        <v>0</v>
      </c>
      <c r="FI12" s="329">
        <v>0</v>
      </c>
      <c r="FJ12" s="329">
        <v>0</v>
      </c>
      <c r="FK12" s="329">
        <v>0</v>
      </c>
      <c r="FL12" s="329">
        <v>0</v>
      </c>
      <c r="FM12" s="329">
        <v>0</v>
      </c>
      <c r="FN12" s="329">
        <v>0</v>
      </c>
      <c r="FO12" s="329">
        <v>0</v>
      </c>
      <c r="FP12" s="329">
        <v>0</v>
      </c>
      <c r="FQ12" s="329">
        <v>0</v>
      </c>
      <c r="FR12" s="329">
        <v>0</v>
      </c>
      <c r="FS12" s="329">
        <v>0</v>
      </c>
      <c r="FT12" s="329">
        <v>0</v>
      </c>
      <c r="FU12" s="329">
        <v>0</v>
      </c>
      <c r="FV12" s="329">
        <v>0</v>
      </c>
      <c r="FW12" s="329">
        <v>0</v>
      </c>
      <c r="FX12" s="329">
        <v>0</v>
      </c>
      <c r="FY12" s="329">
        <v>0</v>
      </c>
      <c r="FZ12" s="329">
        <v>0</v>
      </c>
      <c r="GA12" s="329">
        <v>0</v>
      </c>
      <c r="GB12" s="329">
        <v>0</v>
      </c>
      <c r="GC12" s="330">
        <v>1308.55</v>
      </c>
      <c r="GD12" s="330">
        <v>1308.55</v>
      </c>
      <c r="GE12" s="330">
        <v>1308.55</v>
      </c>
      <c r="GF12" s="330">
        <v>3676.52</v>
      </c>
      <c r="GG12" s="330">
        <v>3676.52</v>
      </c>
      <c r="GH12" s="330">
        <v>3267.42</v>
      </c>
      <c r="GI12" s="330">
        <v>3258.82</v>
      </c>
      <c r="GJ12" s="330">
        <v>3267.03</v>
      </c>
      <c r="GK12" s="330">
        <v>3274.03</v>
      </c>
      <c r="GL12" s="330">
        <v>3288.26</v>
      </c>
      <c r="GM12" s="330">
        <v>3291.85</v>
      </c>
      <c r="GN12" s="330">
        <v>3332.48</v>
      </c>
      <c r="GO12" s="331"/>
      <c r="GP12" s="331"/>
      <c r="GQ12" s="331"/>
      <c r="GR12" s="331"/>
      <c r="GS12" s="331"/>
      <c r="GT12" s="331"/>
      <c r="GU12" s="331"/>
      <c r="GV12" s="331"/>
      <c r="GW12" s="331"/>
      <c r="GX12" s="331"/>
      <c r="GY12" s="331"/>
      <c r="GZ12" s="331"/>
      <c r="HA12" s="330">
        <v>88.13</v>
      </c>
      <c r="HB12" s="330">
        <v>88.33</v>
      </c>
      <c r="HC12" s="330">
        <v>97.51</v>
      </c>
      <c r="HD12" s="330">
        <v>101.8</v>
      </c>
      <c r="HE12" s="330">
        <v>85.88</v>
      </c>
      <c r="HF12" s="329">
        <v>147</v>
      </c>
      <c r="HG12" s="330">
        <v>142.72</v>
      </c>
      <c r="HH12" s="330">
        <v>133.80000000000001</v>
      </c>
      <c r="HI12" s="330">
        <v>136.30000000000001</v>
      </c>
      <c r="HJ12" s="330">
        <v>156.63999999999999</v>
      </c>
      <c r="HK12" s="330">
        <v>139.87</v>
      </c>
      <c r="HL12" s="330">
        <v>129.88</v>
      </c>
      <c r="HM12" s="331"/>
      <c r="HN12" s="331"/>
      <c r="HO12" s="331"/>
      <c r="HP12" s="331"/>
      <c r="HQ12" s="331"/>
      <c r="HR12" s="331"/>
      <c r="HS12" s="331"/>
      <c r="HT12" s="331"/>
      <c r="HU12" s="331"/>
      <c r="HV12" s="331"/>
      <c r="HW12" s="331"/>
      <c r="HX12" s="331"/>
      <c r="HY12" s="329">
        <v>0</v>
      </c>
      <c r="HZ12" s="329">
        <v>0</v>
      </c>
      <c r="IA12" s="329">
        <v>0</v>
      </c>
      <c r="IB12" s="329">
        <v>0</v>
      </c>
      <c r="IC12" s="329">
        <v>0</v>
      </c>
      <c r="ID12" s="329">
        <v>0</v>
      </c>
      <c r="IE12" s="329">
        <v>0</v>
      </c>
      <c r="IF12" s="329">
        <v>0</v>
      </c>
      <c r="IG12" s="329">
        <v>0</v>
      </c>
      <c r="IH12" s="329">
        <v>0</v>
      </c>
      <c r="II12" s="329">
        <v>0</v>
      </c>
      <c r="IJ12" s="329">
        <v>0</v>
      </c>
      <c r="IK12" s="331"/>
      <c r="IL12" s="331"/>
      <c r="IM12" s="331"/>
      <c r="IN12" s="331"/>
      <c r="IO12" s="331"/>
      <c r="IP12" s="331"/>
      <c r="IQ12" s="331"/>
      <c r="IR12" s="331"/>
      <c r="IS12" s="331"/>
      <c r="IT12" s="331"/>
      <c r="IU12" s="331"/>
      <c r="IV12" s="331"/>
      <c r="IW12" s="331"/>
      <c r="IX12" s="331"/>
      <c r="IY12" s="331"/>
      <c r="IZ12" s="331"/>
      <c r="JA12" s="331"/>
      <c r="JB12" s="331"/>
      <c r="JC12" s="331"/>
      <c r="JD12" s="331"/>
      <c r="JE12" s="331"/>
      <c r="JF12" s="331"/>
      <c r="JG12" s="331"/>
      <c r="JH12" s="331"/>
      <c r="JI12" s="330">
        <v>101.41</v>
      </c>
      <c r="JJ12" s="331"/>
      <c r="JK12" s="331"/>
      <c r="JL12" s="331"/>
      <c r="JM12" s="331"/>
      <c r="JN12" s="331"/>
      <c r="JO12" s="331"/>
      <c r="JP12" s="331"/>
      <c r="JQ12" s="331"/>
      <c r="JR12" s="331"/>
      <c r="JS12" s="331"/>
      <c r="JT12" s="331"/>
      <c r="JU12" s="331"/>
      <c r="JV12" s="331"/>
      <c r="JW12" s="331"/>
      <c r="JX12" s="331"/>
      <c r="JY12" s="331"/>
      <c r="JZ12" s="331"/>
      <c r="KA12" s="331"/>
      <c r="KB12" s="331"/>
      <c r="KC12" s="331"/>
      <c r="KD12" s="331"/>
      <c r="KE12" s="331"/>
      <c r="KF12" s="331"/>
      <c r="KG12" s="331"/>
      <c r="KH12" s="331"/>
      <c r="KI12" s="331"/>
      <c r="KJ12" s="331"/>
      <c r="KK12" s="331"/>
      <c r="KL12" s="331"/>
      <c r="KM12" s="331"/>
      <c r="KN12" s="331"/>
      <c r="KO12" s="331"/>
      <c r="KP12" s="331"/>
      <c r="KQ12" s="331"/>
      <c r="KR12" s="331"/>
      <c r="KS12" s="331"/>
      <c r="KT12" s="331"/>
      <c r="KU12" s="331"/>
      <c r="KV12" s="331"/>
      <c r="KW12" s="331"/>
      <c r="KX12" s="331"/>
      <c r="KY12" s="331"/>
      <c r="KZ12" s="331"/>
      <c r="LA12" s="331"/>
      <c r="LB12" s="331"/>
      <c r="LC12" s="331"/>
      <c r="LD12" s="331"/>
      <c r="LE12" s="331"/>
      <c r="LF12" s="331"/>
      <c r="LG12" s="331"/>
      <c r="LH12" s="331"/>
      <c r="LI12" s="331"/>
      <c r="LJ12" s="331"/>
      <c r="LK12" s="331"/>
      <c r="LL12" s="331"/>
      <c r="LM12" s="331"/>
      <c r="LN12" s="331"/>
      <c r="LO12" s="331"/>
      <c r="LP12" s="331"/>
      <c r="LQ12" s="331"/>
      <c r="LR12" s="331"/>
      <c r="LS12" s="331"/>
      <c r="LT12" s="331"/>
      <c r="LU12" s="331"/>
      <c r="LV12" s="331"/>
      <c r="LW12" s="331"/>
      <c r="LX12" s="331"/>
      <c r="LY12" s="331"/>
      <c r="LZ12" s="331"/>
      <c r="MA12" s="331"/>
      <c r="MB12" s="331"/>
      <c r="MC12" s="331"/>
      <c r="MD12" s="331"/>
      <c r="ME12" s="331"/>
      <c r="MF12" s="331"/>
      <c r="MG12" s="331"/>
      <c r="MH12" s="331"/>
      <c r="MI12" s="331"/>
      <c r="MJ12" s="331"/>
      <c r="MK12" s="331"/>
      <c r="ML12" s="331"/>
      <c r="MM12" s="331"/>
      <c r="MN12" s="331"/>
      <c r="MO12" s="331"/>
      <c r="MP12" s="331"/>
      <c r="MQ12" s="331"/>
      <c r="MR12" s="331"/>
      <c r="MS12" s="331"/>
      <c r="MT12" s="331"/>
      <c r="MU12" s="331"/>
      <c r="MV12" s="331"/>
      <c r="MW12" s="331"/>
      <c r="MX12" s="331"/>
      <c r="MY12" s="331"/>
      <c r="MZ12" s="331"/>
      <c r="NA12" s="331"/>
      <c r="NB12" s="331"/>
      <c r="NC12" s="331"/>
      <c r="ND12" s="331"/>
      <c r="NE12" s="331"/>
      <c r="NF12" s="331"/>
      <c r="NG12" s="331"/>
      <c r="NH12" s="331"/>
      <c r="NI12" s="331"/>
      <c r="NJ12" s="331"/>
      <c r="NK12" s="331"/>
      <c r="NL12" s="331"/>
      <c r="NM12" s="331"/>
      <c r="NN12" s="331"/>
      <c r="NO12" s="331"/>
      <c r="NP12" s="331"/>
      <c r="NQ12" s="331"/>
      <c r="NR12" s="331"/>
      <c r="NS12" s="331"/>
      <c r="NT12" s="331"/>
      <c r="NU12" s="331"/>
      <c r="NV12" s="331"/>
      <c r="NW12" s="331"/>
      <c r="NX12" s="331"/>
      <c r="NY12" s="331"/>
      <c r="NZ12" s="331"/>
      <c r="OA12" s="331"/>
      <c r="OB12" s="331"/>
      <c r="OC12" s="331"/>
      <c r="OD12" s="331"/>
      <c r="OE12" s="331"/>
      <c r="OF12" s="331"/>
      <c r="OG12" s="331"/>
      <c r="OH12" s="331"/>
      <c r="OI12" s="331"/>
      <c r="OJ12" s="331"/>
      <c r="OK12" s="331"/>
      <c r="OL12" s="332">
        <f t="shared" si="0"/>
        <v>71242.560000000012</v>
      </c>
    </row>
    <row r="13" spans="1:402" ht="12.75" customHeight="1" thickBot="1">
      <c r="A13" s="320" t="s">
        <v>404</v>
      </c>
      <c r="B13" s="320" t="s">
        <v>405</v>
      </c>
      <c r="C13" s="320" t="s">
        <v>406</v>
      </c>
      <c r="D13" s="328" t="s">
        <v>417</v>
      </c>
      <c r="E13" s="329">
        <v>0</v>
      </c>
      <c r="F13" s="329">
        <v>0</v>
      </c>
      <c r="G13" s="329">
        <v>0</v>
      </c>
      <c r="H13" s="329">
        <v>0</v>
      </c>
      <c r="I13" s="329">
        <v>0</v>
      </c>
      <c r="J13" s="329">
        <v>0</v>
      </c>
      <c r="K13" s="329">
        <v>0</v>
      </c>
      <c r="L13" s="329">
        <v>0</v>
      </c>
      <c r="M13" s="329">
        <v>0</v>
      </c>
      <c r="N13" s="329">
        <v>0</v>
      </c>
      <c r="O13" s="329">
        <v>0</v>
      </c>
      <c r="P13" s="329">
        <v>0</v>
      </c>
      <c r="Q13" s="329">
        <v>0</v>
      </c>
      <c r="R13" s="329">
        <v>0</v>
      </c>
      <c r="S13" s="329">
        <v>0</v>
      </c>
      <c r="T13" s="329">
        <v>0</v>
      </c>
      <c r="U13" s="329">
        <v>0</v>
      </c>
      <c r="V13" s="329">
        <v>0</v>
      </c>
      <c r="W13" s="329">
        <v>0</v>
      </c>
      <c r="X13" s="329">
        <v>0</v>
      </c>
      <c r="Y13" s="329">
        <v>0</v>
      </c>
      <c r="Z13" s="329">
        <v>0</v>
      </c>
      <c r="AA13" s="329">
        <v>0</v>
      </c>
      <c r="AB13" s="329">
        <v>0</v>
      </c>
      <c r="AC13" s="329">
        <v>0</v>
      </c>
      <c r="AD13" s="329">
        <v>0</v>
      </c>
      <c r="AE13" s="329">
        <v>0</v>
      </c>
      <c r="AF13" s="329">
        <v>0</v>
      </c>
      <c r="AG13" s="329">
        <v>0</v>
      </c>
      <c r="AH13" s="329">
        <v>0</v>
      </c>
      <c r="AI13" s="329">
        <v>0</v>
      </c>
      <c r="AJ13" s="329">
        <v>0</v>
      </c>
      <c r="AK13" s="329">
        <v>0</v>
      </c>
      <c r="AL13" s="329">
        <v>0</v>
      </c>
      <c r="AM13" s="329">
        <v>0</v>
      </c>
      <c r="AN13" s="329">
        <v>0</v>
      </c>
      <c r="AO13" s="330">
        <v>367.31</v>
      </c>
      <c r="AP13" s="330">
        <v>366.06</v>
      </c>
      <c r="AQ13" s="330">
        <v>366.06</v>
      </c>
      <c r="AR13" s="330">
        <v>366.06</v>
      </c>
      <c r="AS13" s="330">
        <v>366.06</v>
      </c>
      <c r="AT13" s="330">
        <v>389.72</v>
      </c>
      <c r="AU13" s="330">
        <v>386.6</v>
      </c>
      <c r="AV13" s="330">
        <v>366.06</v>
      </c>
      <c r="AW13" s="330">
        <v>366.06</v>
      </c>
      <c r="AX13" s="330">
        <v>366.06</v>
      </c>
      <c r="AY13" s="330">
        <v>366.06</v>
      </c>
      <c r="AZ13" s="330">
        <v>338.68</v>
      </c>
      <c r="BA13" s="329">
        <v>0</v>
      </c>
      <c r="BB13" s="329">
        <v>0</v>
      </c>
      <c r="BC13" s="329">
        <v>0</v>
      </c>
      <c r="BD13" s="329">
        <v>0</v>
      </c>
      <c r="BE13" s="329">
        <v>0</v>
      </c>
      <c r="BF13" s="329">
        <v>0</v>
      </c>
      <c r="BG13" s="329">
        <v>0</v>
      </c>
      <c r="BH13" s="329">
        <v>0</v>
      </c>
      <c r="BI13" s="329">
        <v>0</v>
      </c>
      <c r="BJ13" s="329">
        <v>0</v>
      </c>
      <c r="BK13" s="329">
        <v>0</v>
      </c>
      <c r="BL13" s="329">
        <v>0</v>
      </c>
      <c r="BM13" s="331"/>
      <c r="BN13" s="331"/>
      <c r="BO13" s="331"/>
      <c r="BP13" s="331"/>
      <c r="BQ13" s="331"/>
      <c r="BR13" s="331"/>
      <c r="BS13" s="331"/>
      <c r="BT13" s="331"/>
      <c r="BU13" s="331"/>
      <c r="BV13" s="331"/>
      <c r="BW13" s="331"/>
      <c r="BX13" s="331"/>
      <c r="BY13" s="329">
        <v>0</v>
      </c>
      <c r="BZ13" s="329">
        <v>0</v>
      </c>
      <c r="CA13" s="329">
        <v>0</v>
      </c>
      <c r="CB13" s="329">
        <v>0</v>
      </c>
      <c r="CC13" s="329">
        <v>0</v>
      </c>
      <c r="CD13" s="329">
        <v>0</v>
      </c>
      <c r="CE13" s="329">
        <v>0</v>
      </c>
      <c r="CF13" s="329">
        <v>0</v>
      </c>
      <c r="CG13" s="329">
        <v>0</v>
      </c>
      <c r="CH13" s="329">
        <v>0</v>
      </c>
      <c r="CI13" s="329">
        <v>0</v>
      </c>
      <c r="CJ13" s="329">
        <v>0</v>
      </c>
      <c r="CK13" s="329">
        <v>0</v>
      </c>
      <c r="CL13" s="329">
        <v>0</v>
      </c>
      <c r="CM13" s="329">
        <v>0</v>
      </c>
      <c r="CN13" s="329">
        <v>0</v>
      </c>
      <c r="CO13" s="329">
        <v>0</v>
      </c>
      <c r="CP13" s="329">
        <v>0</v>
      </c>
      <c r="CQ13" s="329">
        <v>0</v>
      </c>
      <c r="CR13" s="329">
        <v>0</v>
      </c>
      <c r="CS13" s="329">
        <v>0</v>
      </c>
      <c r="CT13" s="329">
        <v>0</v>
      </c>
      <c r="CU13" s="329">
        <v>0</v>
      </c>
      <c r="CV13" s="329">
        <v>0</v>
      </c>
      <c r="CW13" s="329">
        <v>0</v>
      </c>
      <c r="CX13" s="329">
        <v>0</v>
      </c>
      <c r="CY13" s="329">
        <v>0</v>
      </c>
      <c r="CZ13" s="329">
        <v>0</v>
      </c>
      <c r="DA13" s="329">
        <v>0</v>
      </c>
      <c r="DB13" s="329">
        <v>0</v>
      </c>
      <c r="DC13" s="329">
        <v>0</v>
      </c>
      <c r="DD13" s="329">
        <v>0</v>
      </c>
      <c r="DE13" s="329">
        <v>0</v>
      </c>
      <c r="DF13" s="329">
        <v>0</v>
      </c>
      <c r="DG13" s="329">
        <v>0</v>
      </c>
      <c r="DH13" s="329">
        <v>0</v>
      </c>
      <c r="DI13" s="331"/>
      <c r="DJ13" s="331"/>
      <c r="DK13" s="331"/>
      <c r="DL13" s="331"/>
      <c r="DM13" s="331"/>
      <c r="DN13" s="331"/>
      <c r="DO13" s="331"/>
      <c r="DP13" s="331"/>
      <c r="DQ13" s="331"/>
      <c r="DR13" s="331"/>
      <c r="DS13" s="331"/>
      <c r="DT13" s="331"/>
      <c r="DU13" s="330">
        <v>3.26</v>
      </c>
      <c r="DV13" s="330">
        <v>3.25</v>
      </c>
      <c r="DW13" s="330">
        <v>3.25</v>
      </c>
      <c r="DX13" s="330">
        <v>3.25</v>
      </c>
      <c r="DY13" s="330">
        <v>3.25</v>
      </c>
      <c r="DZ13" s="330">
        <v>3.58</v>
      </c>
      <c r="EA13" s="330">
        <v>3.53</v>
      </c>
      <c r="EB13" s="330">
        <v>3.25</v>
      </c>
      <c r="EC13" s="330">
        <v>3.25</v>
      </c>
      <c r="ED13" s="330">
        <v>3.25</v>
      </c>
      <c r="EE13" s="330">
        <v>3.25</v>
      </c>
      <c r="EF13" s="330">
        <v>2.86</v>
      </c>
      <c r="EG13" s="329">
        <v>0</v>
      </c>
      <c r="EH13" s="329">
        <v>0</v>
      </c>
      <c r="EI13" s="329">
        <v>0</v>
      </c>
      <c r="EJ13" s="329">
        <v>0</v>
      </c>
      <c r="EK13" s="329">
        <v>0</v>
      </c>
      <c r="EL13" s="329">
        <v>0</v>
      </c>
      <c r="EM13" s="329">
        <v>0</v>
      </c>
      <c r="EN13" s="329">
        <v>0</v>
      </c>
      <c r="EO13" s="329">
        <v>0</v>
      </c>
      <c r="EP13" s="329">
        <v>0</v>
      </c>
      <c r="EQ13" s="329">
        <v>0</v>
      </c>
      <c r="ER13" s="329">
        <v>0</v>
      </c>
      <c r="ES13" s="331"/>
      <c r="ET13" s="331"/>
      <c r="EU13" s="331"/>
      <c r="EV13" s="331"/>
      <c r="EW13" s="331"/>
      <c r="EX13" s="331"/>
      <c r="EY13" s="331"/>
      <c r="EZ13" s="331"/>
      <c r="FA13" s="331"/>
      <c r="FB13" s="331"/>
      <c r="FC13" s="331"/>
      <c r="FD13" s="331"/>
      <c r="FE13" s="329">
        <v>0</v>
      </c>
      <c r="FF13" s="329">
        <v>0</v>
      </c>
      <c r="FG13" s="329">
        <v>0</v>
      </c>
      <c r="FH13" s="329">
        <v>0</v>
      </c>
      <c r="FI13" s="329">
        <v>0</v>
      </c>
      <c r="FJ13" s="329">
        <v>0</v>
      </c>
      <c r="FK13" s="329">
        <v>0</v>
      </c>
      <c r="FL13" s="329">
        <v>0</v>
      </c>
      <c r="FM13" s="329">
        <v>0</v>
      </c>
      <c r="FN13" s="329">
        <v>0</v>
      </c>
      <c r="FO13" s="329">
        <v>0</v>
      </c>
      <c r="FP13" s="329">
        <v>0</v>
      </c>
      <c r="FQ13" s="329">
        <v>0</v>
      </c>
      <c r="FR13" s="329">
        <v>0</v>
      </c>
      <c r="FS13" s="329">
        <v>0</v>
      </c>
      <c r="FT13" s="329">
        <v>0</v>
      </c>
      <c r="FU13" s="329">
        <v>0</v>
      </c>
      <c r="FV13" s="329">
        <v>0</v>
      </c>
      <c r="FW13" s="329">
        <v>0</v>
      </c>
      <c r="FX13" s="329">
        <v>0</v>
      </c>
      <c r="FY13" s="329">
        <v>0</v>
      </c>
      <c r="FZ13" s="329">
        <v>0</v>
      </c>
      <c r="GA13" s="329">
        <v>0</v>
      </c>
      <c r="GB13" s="329">
        <v>0</v>
      </c>
      <c r="GC13" s="330">
        <v>479.21</v>
      </c>
      <c r="GD13" s="330">
        <v>478.99</v>
      </c>
      <c r="GE13" s="330">
        <v>478.99</v>
      </c>
      <c r="GF13" s="330">
        <v>245.17</v>
      </c>
      <c r="GG13" s="330">
        <v>245.17</v>
      </c>
      <c r="GH13" s="330">
        <v>228.34</v>
      </c>
      <c r="GI13" s="330">
        <v>227.79</v>
      </c>
      <c r="GJ13" s="330">
        <v>224.15</v>
      </c>
      <c r="GK13" s="330">
        <v>224.15</v>
      </c>
      <c r="GL13" s="330">
        <v>224.15</v>
      </c>
      <c r="GM13" s="330">
        <v>224.15</v>
      </c>
      <c r="GN13" s="330">
        <v>224.52</v>
      </c>
      <c r="GO13" s="331"/>
      <c r="GP13" s="331"/>
      <c r="GQ13" s="331"/>
      <c r="GR13" s="331"/>
      <c r="GS13" s="331"/>
      <c r="GT13" s="331"/>
      <c r="GU13" s="331"/>
      <c r="GV13" s="331"/>
      <c r="GW13" s="331"/>
      <c r="GX13" s="331"/>
      <c r="GY13" s="331"/>
      <c r="GZ13" s="331"/>
      <c r="HA13" s="330">
        <v>8.11</v>
      </c>
      <c r="HB13" s="330">
        <v>7.19</v>
      </c>
      <c r="HC13" s="330">
        <v>7.5</v>
      </c>
      <c r="HD13" s="330">
        <v>8.26</v>
      </c>
      <c r="HE13" s="330">
        <v>6.73</v>
      </c>
      <c r="HF13" s="330">
        <v>12.84</v>
      </c>
      <c r="HG13" s="330">
        <v>14.72</v>
      </c>
      <c r="HH13" s="330">
        <v>11.51</v>
      </c>
      <c r="HI13" s="330">
        <v>11.77</v>
      </c>
      <c r="HJ13" s="330">
        <v>14.18</v>
      </c>
      <c r="HK13" s="330">
        <v>13.65</v>
      </c>
      <c r="HL13" s="330">
        <v>13.65</v>
      </c>
      <c r="HM13" s="331"/>
      <c r="HN13" s="331"/>
      <c r="HO13" s="331"/>
      <c r="HP13" s="331"/>
      <c r="HQ13" s="331"/>
      <c r="HR13" s="331"/>
      <c r="HS13" s="331"/>
      <c r="HT13" s="331"/>
      <c r="HU13" s="331"/>
      <c r="HV13" s="331"/>
      <c r="HW13" s="331"/>
      <c r="HX13" s="331"/>
      <c r="HY13" s="329">
        <v>0</v>
      </c>
      <c r="HZ13" s="329">
        <v>0</v>
      </c>
      <c r="IA13" s="329">
        <v>0</v>
      </c>
      <c r="IB13" s="329">
        <v>0</v>
      </c>
      <c r="IC13" s="329">
        <v>0</v>
      </c>
      <c r="ID13" s="329">
        <v>0</v>
      </c>
      <c r="IE13" s="329">
        <v>0</v>
      </c>
      <c r="IF13" s="329">
        <v>0</v>
      </c>
      <c r="IG13" s="329">
        <v>0</v>
      </c>
      <c r="IH13" s="329">
        <v>0</v>
      </c>
      <c r="II13" s="329">
        <v>0</v>
      </c>
      <c r="IJ13" s="329">
        <v>0</v>
      </c>
      <c r="IK13" s="331"/>
      <c r="IL13" s="331"/>
      <c r="IM13" s="331"/>
      <c r="IN13" s="331"/>
      <c r="IO13" s="331"/>
      <c r="IP13" s="331"/>
      <c r="IQ13" s="331"/>
      <c r="IR13" s="331"/>
      <c r="IS13" s="331"/>
      <c r="IT13" s="331"/>
      <c r="IU13" s="331"/>
      <c r="IV13" s="331"/>
      <c r="IW13" s="331"/>
      <c r="IX13" s="331"/>
      <c r="IY13" s="331"/>
      <c r="IZ13" s="331"/>
      <c r="JA13" s="331"/>
      <c r="JB13" s="331"/>
      <c r="JC13" s="331"/>
      <c r="JD13" s="331"/>
      <c r="JE13" s="331"/>
      <c r="JF13" s="331"/>
      <c r="JG13" s="331"/>
      <c r="JH13" s="331"/>
      <c r="JI13" s="330">
        <v>7.81</v>
      </c>
      <c r="JJ13" s="331"/>
      <c r="JK13" s="331"/>
      <c r="JL13" s="331"/>
      <c r="JM13" s="331"/>
      <c r="JN13" s="331"/>
      <c r="JO13" s="331"/>
      <c r="JP13" s="331"/>
      <c r="JQ13" s="331"/>
      <c r="JR13" s="331"/>
      <c r="JS13" s="331"/>
      <c r="JT13" s="331"/>
      <c r="JU13" s="331"/>
      <c r="JV13" s="331"/>
      <c r="JW13" s="331"/>
      <c r="JX13" s="331"/>
      <c r="JY13" s="331"/>
      <c r="JZ13" s="331"/>
      <c r="KA13" s="331"/>
      <c r="KB13" s="331"/>
      <c r="KC13" s="331"/>
      <c r="KD13" s="331"/>
      <c r="KE13" s="331"/>
      <c r="KF13" s="331"/>
      <c r="KG13" s="331"/>
      <c r="KH13" s="331"/>
      <c r="KI13" s="331"/>
      <c r="KJ13" s="331"/>
      <c r="KK13" s="331"/>
      <c r="KL13" s="331"/>
      <c r="KM13" s="331"/>
      <c r="KN13" s="331"/>
      <c r="KO13" s="331"/>
      <c r="KP13" s="331"/>
      <c r="KQ13" s="331"/>
      <c r="KR13" s="331"/>
      <c r="KS13" s="331"/>
      <c r="KT13" s="331"/>
      <c r="KU13" s="331"/>
      <c r="KV13" s="331"/>
      <c r="KW13" s="331"/>
      <c r="KX13" s="331"/>
      <c r="KY13" s="331"/>
      <c r="KZ13" s="331"/>
      <c r="LA13" s="331"/>
      <c r="LB13" s="331"/>
      <c r="LC13" s="331"/>
      <c r="LD13" s="331"/>
      <c r="LE13" s="331"/>
      <c r="LF13" s="331"/>
      <c r="LG13" s="331"/>
      <c r="LH13" s="331"/>
      <c r="LI13" s="331"/>
      <c r="LJ13" s="331"/>
      <c r="LK13" s="331"/>
      <c r="LL13" s="331"/>
      <c r="LM13" s="331"/>
      <c r="LN13" s="331"/>
      <c r="LO13" s="331"/>
      <c r="LP13" s="331"/>
      <c r="LQ13" s="331"/>
      <c r="LR13" s="331"/>
      <c r="LS13" s="331"/>
      <c r="LT13" s="331"/>
      <c r="LU13" s="331"/>
      <c r="LV13" s="331"/>
      <c r="LW13" s="331"/>
      <c r="LX13" s="331"/>
      <c r="LY13" s="331"/>
      <c r="LZ13" s="331"/>
      <c r="MA13" s="331"/>
      <c r="MB13" s="331"/>
      <c r="MC13" s="331"/>
      <c r="MD13" s="331"/>
      <c r="ME13" s="331"/>
      <c r="MF13" s="331"/>
      <c r="MG13" s="331"/>
      <c r="MH13" s="331"/>
      <c r="MI13" s="331"/>
      <c r="MJ13" s="331"/>
      <c r="MK13" s="331"/>
      <c r="ML13" s="331"/>
      <c r="MM13" s="331"/>
      <c r="MN13" s="331"/>
      <c r="MO13" s="331"/>
      <c r="MP13" s="331"/>
      <c r="MQ13" s="331"/>
      <c r="MR13" s="331"/>
      <c r="MS13" s="331"/>
      <c r="MT13" s="331"/>
      <c r="MU13" s="331"/>
      <c r="MV13" s="331"/>
      <c r="MW13" s="331"/>
      <c r="MX13" s="331"/>
      <c r="MY13" s="331"/>
      <c r="MZ13" s="331"/>
      <c r="NA13" s="331"/>
      <c r="NB13" s="331"/>
      <c r="NC13" s="331"/>
      <c r="ND13" s="331"/>
      <c r="NE13" s="331"/>
      <c r="NF13" s="331"/>
      <c r="NG13" s="331"/>
      <c r="NH13" s="331"/>
      <c r="NI13" s="331"/>
      <c r="NJ13" s="331"/>
      <c r="NK13" s="331"/>
      <c r="NL13" s="331"/>
      <c r="NM13" s="331"/>
      <c r="NN13" s="331"/>
      <c r="NO13" s="331"/>
      <c r="NP13" s="331"/>
      <c r="NQ13" s="331"/>
      <c r="NR13" s="331"/>
      <c r="NS13" s="331"/>
      <c r="NT13" s="331"/>
      <c r="NU13" s="331"/>
      <c r="NV13" s="331"/>
      <c r="NW13" s="331"/>
      <c r="NX13" s="331"/>
      <c r="NY13" s="331"/>
      <c r="NZ13" s="331"/>
      <c r="OA13" s="331"/>
      <c r="OB13" s="331"/>
      <c r="OC13" s="331"/>
      <c r="OD13" s="331"/>
      <c r="OE13" s="331"/>
      <c r="OF13" s="331"/>
      <c r="OG13" s="331"/>
      <c r="OH13" s="331"/>
      <c r="OI13" s="331"/>
      <c r="OJ13" s="331"/>
      <c r="OK13" s="331"/>
      <c r="OL13" s="332">
        <f t="shared" si="0"/>
        <v>8092.7199999999984</v>
      </c>
    </row>
    <row r="14" spans="1:402" ht="12.75" customHeight="1" thickBot="1">
      <c r="A14" s="320" t="s">
        <v>404</v>
      </c>
      <c r="B14" s="320" t="s">
        <v>405</v>
      </c>
      <c r="C14" s="320" t="s">
        <v>406</v>
      </c>
      <c r="D14" s="328" t="s">
        <v>418</v>
      </c>
      <c r="E14" s="329">
        <v>0</v>
      </c>
      <c r="F14" s="329">
        <v>0</v>
      </c>
      <c r="G14" s="329">
        <v>0</v>
      </c>
      <c r="H14" s="329">
        <v>0</v>
      </c>
      <c r="I14" s="329">
        <v>0</v>
      </c>
      <c r="J14" s="329">
        <v>0</v>
      </c>
      <c r="K14" s="329">
        <v>0</v>
      </c>
      <c r="L14" s="329">
        <v>0</v>
      </c>
      <c r="M14" s="329">
        <v>0</v>
      </c>
      <c r="N14" s="329">
        <v>0</v>
      </c>
      <c r="O14" s="329">
        <v>0</v>
      </c>
      <c r="P14" s="329">
        <v>0</v>
      </c>
      <c r="Q14" s="329">
        <v>0</v>
      </c>
      <c r="R14" s="329">
        <v>0</v>
      </c>
      <c r="S14" s="329">
        <v>0</v>
      </c>
      <c r="T14" s="329">
        <v>0</v>
      </c>
      <c r="U14" s="329">
        <v>0</v>
      </c>
      <c r="V14" s="329">
        <v>0</v>
      </c>
      <c r="W14" s="329">
        <v>0</v>
      </c>
      <c r="X14" s="329">
        <v>0</v>
      </c>
      <c r="Y14" s="329">
        <v>0</v>
      </c>
      <c r="Z14" s="329">
        <v>0</v>
      </c>
      <c r="AA14" s="329">
        <v>0</v>
      </c>
      <c r="AB14" s="329">
        <v>0</v>
      </c>
      <c r="AC14" s="329">
        <v>0</v>
      </c>
      <c r="AD14" s="329">
        <v>0</v>
      </c>
      <c r="AE14" s="329">
        <v>0</v>
      </c>
      <c r="AF14" s="329">
        <v>0</v>
      </c>
      <c r="AG14" s="329">
        <v>0</v>
      </c>
      <c r="AH14" s="329">
        <v>0</v>
      </c>
      <c r="AI14" s="329">
        <v>0</v>
      </c>
      <c r="AJ14" s="329">
        <v>0</v>
      </c>
      <c r="AK14" s="329">
        <v>0</v>
      </c>
      <c r="AL14" s="329">
        <v>0</v>
      </c>
      <c r="AM14" s="329">
        <v>0</v>
      </c>
      <c r="AN14" s="329">
        <v>0</v>
      </c>
      <c r="AO14" s="330">
        <v>6446.91</v>
      </c>
      <c r="AP14" s="330">
        <v>6340.17</v>
      </c>
      <c r="AQ14" s="330">
        <v>6918.69</v>
      </c>
      <c r="AR14" s="330">
        <v>6357.6</v>
      </c>
      <c r="AS14" s="330">
        <v>5842.25</v>
      </c>
      <c r="AT14" s="330">
        <v>5877.42</v>
      </c>
      <c r="AU14" s="330">
        <v>5842.25</v>
      </c>
      <c r="AV14" s="330">
        <v>5842.25</v>
      </c>
      <c r="AW14" s="330">
        <v>5842.25</v>
      </c>
      <c r="AX14" s="330">
        <v>5842.25</v>
      </c>
      <c r="AY14" s="330">
        <v>8168.78</v>
      </c>
      <c r="AZ14" s="330">
        <v>7677.71</v>
      </c>
      <c r="BA14" s="329">
        <v>0</v>
      </c>
      <c r="BB14" s="329">
        <v>0</v>
      </c>
      <c r="BC14" s="329">
        <v>0</v>
      </c>
      <c r="BD14" s="329">
        <v>0</v>
      </c>
      <c r="BE14" s="329">
        <v>0</v>
      </c>
      <c r="BF14" s="329">
        <v>0</v>
      </c>
      <c r="BG14" s="329">
        <v>0</v>
      </c>
      <c r="BH14" s="329">
        <v>0</v>
      </c>
      <c r="BI14" s="329">
        <v>0</v>
      </c>
      <c r="BJ14" s="329">
        <v>0</v>
      </c>
      <c r="BK14" s="329">
        <v>0</v>
      </c>
      <c r="BL14" s="329">
        <v>0</v>
      </c>
      <c r="BM14" s="331"/>
      <c r="BN14" s="331"/>
      <c r="BO14" s="331"/>
      <c r="BP14" s="331"/>
      <c r="BQ14" s="331"/>
      <c r="BR14" s="331"/>
      <c r="BS14" s="331"/>
      <c r="BT14" s="331"/>
      <c r="BU14" s="331"/>
      <c r="BV14" s="331"/>
      <c r="BW14" s="331"/>
      <c r="BX14" s="331"/>
      <c r="BY14" s="329">
        <v>0</v>
      </c>
      <c r="BZ14" s="329">
        <v>0</v>
      </c>
      <c r="CA14" s="329">
        <v>0</v>
      </c>
      <c r="CB14" s="329">
        <v>0</v>
      </c>
      <c r="CC14" s="329">
        <v>0</v>
      </c>
      <c r="CD14" s="329">
        <v>0</v>
      </c>
      <c r="CE14" s="329">
        <v>0</v>
      </c>
      <c r="CF14" s="329">
        <v>0</v>
      </c>
      <c r="CG14" s="329">
        <v>0</v>
      </c>
      <c r="CH14" s="329">
        <v>0</v>
      </c>
      <c r="CI14" s="329">
        <v>0</v>
      </c>
      <c r="CJ14" s="329">
        <v>0</v>
      </c>
      <c r="CK14" s="329">
        <v>0</v>
      </c>
      <c r="CL14" s="329">
        <v>0</v>
      </c>
      <c r="CM14" s="329">
        <v>0</v>
      </c>
      <c r="CN14" s="329">
        <v>0</v>
      </c>
      <c r="CO14" s="329">
        <v>0</v>
      </c>
      <c r="CP14" s="329">
        <v>0</v>
      </c>
      <c r="CQ14" s="329">
        <v>0</v>
      </c>
      <c r="CR14" s="329">
        <v>0</v>
      </c>
      <c r="CS14" s="329">
        <v>0</v>
      </c>
      <c r="CT14" s="329">
        <v>0</v>
      </c>
      <c r="CU14" s="329">
        <v>0</v>
      </c>
      <c r="CV14" s="329">
        <v>0</v>
      </c>
      <c r="CW14" s="329">
        <v>0</v>
      </c>
      <c r="CX14" s="329">
        <v>0</v>
      </c>
      <c r="CY14" s="329">
        <v>0</v>
      </c>
      <c r="CZ14" s="329">
        <v>0</v>
      </c>
      <c r="DA14" s="329">
        <v>0</v>
      </c>
      <c r="DB14" s="329">
        <v>0</v>
      </c>
      <c r="DC14" s="329">
        <v>0</v>
      </c>
      <c r="DD14" s="329">
        <v>0</v>
      </c>
      <c r="DE14" s="329">
        <v>0</v>
      </c>
      <c r="DF14" s="329">
        <v>0</v>
      </c>
      <c r="DG14" s="329">
        <v>0</v>
      </c>
      <c r="DH14" s="329">
        <v>0</v>
      </c>
      <c r="DI14" s="331"/>
      <c r="DJ14" s="331"/>
      <c r="DK14" s="331"/>
      <c r="DL14" s="331"/>
      <c r="DM14" s="331"/>
      <c r="DN14" s="331"/>
      <c r="DO14" s="331"/>
      <c r="DP14" s="331"/>
      <c r="DQ14" s="331"/>
      <c r="DR14" s="331"/>
      <c r="DS14" s="331"/>
      <c r="DT14" s="331"/>
      <c r="DU14" s="330">
        <v>88.41</v>
      </c>
      <c r="DV14" s="330">
        <v>86.91</v>
      </c>
      <c r="DW14" s="330">
        <v>95.01</v>
      </c>
      <c r="DX14" s="330">
        <v>87.16</v>
      </c>
      <c r="DY14" s="330">
        <v>79.94</v>
      </c>
      <c r="DZ14" s="330">
        <v>80.430000000000007</v>
      </c>
      <c r="EA14" s="330">
        <v>79.94</v>
      </c>
      <c r="EB14" s="330">
        <v>79.94</v>
      </c>
      <c r="EC14" s="330">
        <v>79.94</v>
      </c>
      <c r="ED14" s="330">
        <v>79.94</v>
      </c>
      <c r="EE14" s="330">
        <v>112.52</v>
      </c>
      <c r="EF14" s="330">
        <v>105.64</v>
      </c>
      <c r="EG14" s="329">
        <v>0</v>
      </c>
      <c r="EH14" s="329">
        <v>0</v>
      </c>
      <c r="EI14" s="329">
        <v>0</v>
      </c>
      <c r="EJ14" s="329">
        <v>0</v>
      </c>
      <c r="EK14" s="329">
        <v>0</v>
      </c>
      <c r="EL14" s="329">
        <v>0</v>
      </c>
      <c r="EM14" s="329">
        <v>0</v>
      </c>
      <c r="EN14" s="329">
        <v>0</v>
      </c>
      <c r="EO14" s="329">
        <v>0</v>
      </c>
      <c r="EP14" s="329">
        <v>0</v>
      </c>
      <c r="EQ14" s="329">
        <v>0</v>
      </c>
      <c r="ER14" s="329">
        <v>0</v>
      </c>
      <c r="ES14" s="331"/>
      <c r="ET14" s="331"/>
      <c r="EU14" s="331"/>
      <c r="EV14" s="331"/>
      <c r="EW14" s="331"/>
      <c r="EX14" s="331"/>
      <c r="EY14" s="331"/>
      <c r="EZ14" s="331"/>
      <c r="FA14" s="331"/>
      <c r="FB14" s="331"/>
      <c r="FC14" s="331"/>
      <c r="FD14" s="331"/>
      <c r="FE14" s="329">
        <v>0</v>
      </c>
      <c r="FF14" s="329">
        <v>0</v>
      </c>
      <c r="FG14" s="329">
        <v>0</v>
      </c>
      <c r="FH14" s="329">
        <v>0</v>
      </c>
      <c r="FI14" s="329">
        <v>0</v>
      </c>
      <c r="FJ14" s="329">
        <v>0</v>
      </c>
      <c r="FK14" s="329">
        <v>0</v>
      </c>
      <c r="FL14" s="329">
        <v>0</v>
      </c>
      <c r="FM14" s="329">
        <v>0</v>
      </c>
      <c r="FN14" s="329">
        <v>0</v>
      </c>
      <c r="FO14" s="329">
        <v>0</v>
      </c>
      <c r="FP14" s="329">
        <v>0</v>
      </c>
      <c r="FQ14" s="329">
        <v>0</v>
      </c>
      <c r="FR14" s="329">
        <v>0</v>
      </c>
      <c r="FS14" s="329">
        <v>0</v>
      </c>
      <c r="FT14" s="329">
        <v>0</v>
      </c>
      <c r="FU14" s="329">
        <v>0</v>
      </c>
      <c r="FV14" s="329">
        <v>0</v>
      </c>
      <c r="FW14" s="329">
        <v>0</v>
      </c>
      <c r="FX14" s="329">
        <v>0</v>
      </c>
      <c r="FY14" s="329">
        <v>0</v>
      </c>
      <c r="FZ14" s="329">
        <v>0</v>
      </c>
      <c r="GA14" s="329">
        <v>0</v>
      </c>
      <c r="GB14" s="329">
        <v>0</v>
      </c>
      <c r="GC14" s="330">
        <v>11903.48</v>
      </c>
      <c r="GD14" s="330">
        <v>11884.57</v>
      </c>
      <c r="GE14" s="330">
        <v>11987.08</v>
      </c>
      <c r="GF14" s="330">
        <v>13160.85</v>
      </c>
      <c r="GG14" s="330">
        <v>13069.53</v>
      </c>
      <c r="GH14" s="330">
        <v>11833.89</v>
      </c>
      <c r="GI14" s="330">
        <v>11827.66</v>
      </c>
      <c r="GJ14" s="330">
        <v>11827.66</v>
      </c>
      <c r="GK14" s="330">
        <v>11827.66</v>
      </c>
      <c r="GL14" s="330">
        <v>11827.66</v>
      </c>
      <c r="GM14" s="330">
        <v>12239.9</v>
      </c>
      <c r="GN14" s="330">
        <v>12148.06</v>
      </c>
      <c r="GO14" s="331"/>
      <c r="GP14" s="331"/>
      <c r="GQ14" s="331"/>
      <c r="GR14" s="331"/>
      <c r="GS14" s="331"/>
      <c r="GT14" s="331"/>
      <c r="GU14" s="331"/>
      <c r="GV14" s="331"/>
      <c r="GW14" s="331"/>
      <c r="GX14" s="331"/>
      <c r="GY14" s="331"/>
      <c r="GZ14" s="331"/>
      <c r="HA14" s="330">
        <v>285.36</v>
      </c>
      <c r="HB14" s="330">
        <v>309.56</v>
      </c>
      <c r="HC14" s="330">
        <v>313.67</v>
      </c>
      <c r="HD14" s="330">
        <v>334.78</v>
      </c>
      <c r="HE14" s="330">
        <v>261.31</v>
      </c>
      <c r="HF14" s="330">
        <v>441.75</v>
      </c>
      <c r="HG14" s="330">
        <v>442.96</v>
      </c>
      <c r="HH14" s="330">
        <v>424.37</v>
      </c>
      <c r="HI14" s="330">
        <v>434.69</v>
      </c>
      <c r="HJ14" s="330">
        <v>500.73</v>
      </c>
      <c r="HK14" s="330">
        <v>607.14</v>
      </c>
      <c r="HL14" s="330">
        <v>726.45</v>
      </c>
      <c r="HM14" s="331"/>
      <c r="HN14" s="331"/>
      <c r="HO14" s="331"/>
      <c r="HP14" s="331"/>
      <c r="HQ14" s="331"/>
      <c r="HR14" s="331"/>
      <c r="HS14" s="331"/>
      <c r="HT14" s="331"/>
      <c r="HU14" s="331"/>
      <c r="HV14" s="331"/>
      <c r="HW14" s="331"/>
      <c r="HX14" s="331"/>
      <c r="HY14" s="329">
        <v>0</v>
      </c>
      <c r="HZ14" s="329">
        <v>0</v>
      </c>
      <c r="IA14" s="329">
        <v>0</v>
      </c>
      <c r="IB14" s="329">
        <v>0</v>
      </c>
      <c r="IC14" s="329">
        <v>0</v>
      </c>
      <c r="ID14" s="329">
        <v>0</v>
      </c>
      <c r="IE14" s="329">
        <v>0</v>
      </c>
      <c r="IF14" s="329">
        <v>0</v>
      </c>
      <c r="IG14" s="329">
        <v>0</v>
      </c>
      <c r="IH14" s="329">
        <v>0</v>
      </c>
      <c r="II14" s="329">
        <v>0</v>
      </c>
      <c r="IJ14" s="329">
        <v>0</v>
      </c>
      <c r="IK14" s="331"/>
      <c r="IL14" s="331"/>
      <c r="IM14" s="331"/>
      <c r="IN14" s="331"/>
      <c r="IO14" s="331"/>
      <c r="IP14" s="331"/>
      <c r="IQ14" s="331"/>
      <c r="IR14" s="331"/>
      <c r="IS14" s="331"/>
      <c r="IT14" s="331"/>
      <c r="IU14" s="331"/>
      <c r="IV14" s="331"/>
      <c r="IW14" s="331"/>
      <c r="IX14" s="331"/>
      <c r="IY14" s="331"/>
      <c r="IZ14" s="331"/>
      <c r="JA14" s="331"/>
      <c r="JB14" s="331"/>
      <c r="JC14" s="331"/>
      <c r="JD14" s="331"/>
      <c r="JE14" s="331"/>
      <c r="JF14" s="331"/>
      <c r="JG14" s="331"/>
      <c r="JH14" s="331"/>
      <c r="JI14" s="330">
        <v>288.20999999999998</v>
      </c>
      <c r="JJ14" s="331"/>
      <c r="JK14" s="331"/>
      <c r="JL14" s="331"/>
      <c r="JM14" s="331"/>
      <c r="JN14" s="331"/>
      <c r="JO14" s="331"/>
      <c r="JP14" s="331"/>
      <c r="JQ14" s="331"/>
      <c r="JR14" s="331"/>
      <c r="JS14" s="331"/>
      <c r="JT14" s="331"/>
      <c r="JU14" s="331"/>
      <c r="JV14" s="331"/>
      <c r="JW14" s="331"/>
      <c r="JX14" s="331"/>
      <c r="JY14" s="331"/>
      <c r="JZ14" s="331"/>
      <c r="KA14" s="331"/>
      <c r="KB14" s="331"/>
      <c r="KC14" s="331"/>
      <c r="KD14" s="331"/>
      <c r="KE14" s="331"/>
      <c r="KF14" s="331"/>
      <c r="KG14" s="331"/>
      <c r="KH14" s="331"/>
      <c r="KI14" s="331"/>
      <c r="KJ14" s="331"/>
      <c r="KK14" s="331"/>
      <c r="KL14" s="331"/>
      <c r="KM14" s="331"/>
      <c r="KN14" s="331"/>
      <c r="KO14" s="331"/>
      <c r="KP14" s="331"/>
      <c r="KQ14" s="331"/>
      <c r="KR14" s="331"/>
      <c r="KS14" s="331"/>
      <c r="KT14" s="331"/>
      <c r="KU14" s="331"/>
      <c r="KV14" s="331"/>
      <c r="KW14" s="331"/>
      <c r="KX14" s="331"/>
      <c r="KY14" s="331"/>
      <c r="KZ14" s="331"/>
      <c r="LA14" s="331"/>
      <c r="LB14" s="331"/>
      <c r="LC14" s="331"/>
      <c r="LD14" s="331"/>
      <c r="LE14" s="331"/>
      <c r="LF14" s="331"/>
      <c r="LG14" s="331"/>
      <c r="LH14" s="331"/>
      <c r="LI14" s="331"/>
      <c r="LJ14" s="331"/>
      <c r="LK14" s="331"/>
      <c r="LL14" s="331"/>
      <c r="LM14" s="331"/>
      <c r="LN14" s="331"/>
      <c r="LO14" s="331"/>
      <c r="LP14" s="331"/>
      <c r="LQ14" s="331"/>
      <c r="LR14" s="331"/>
      <c r="LS14" s="331"/>
      <c r="LT14" s="331"/>
      <c r="LU14" s="331"/>
      <c r="LV14" s="331"/>
      <c r="LW14" s="331"/>
      <c r="LX14" s="331"/>
      <c r="LY14" s="331"/>
      <c r="LZ14" s="331"/>
      <c r="MA14" s="331"/>
      <c r="MB14" s="331"/>
      <c r="MC14" s="331"/>
      <c r="MD14" s="331"/>
      <c r="ME14" s="331"/>
      <c r="MF14" s="331"/>
      <c r="MG14" s="331"/>
      <c r="MH14" s="331"/>
      <c r="MI14" s="331"/>
      <c r="MJ14" s="331"/>
      <c r="MK14" s="331"/>
      <c r="ML14" s="331"/>
      <c r="MM14" s="331"/>
      <c r="MN14" s="331"/>
      <c r="MO14" s="331"/>
      <c r="MP14" s="331"/>
      <c r="MQ14" s="331"/>
      <c r="MR14" s="331"/>
      <c r="MS14" s="331"/>
      <c r="MT14" s="331"/>
      <c r="MU14" s="331"/>
      <c r="MV14" s="331"/>
      <c r="MW14" s="331"/>
      <c r="MX14" s="331"/>
      <c r="MY14" s="331"/>
      <c r="MZ14" s="331"/>
      <c r="NA14" s="331"/>
      <c r="NB14" s="331"/>
      <c r="NC14" s="331"/>
      <c r="ND14" s="331"/>
      <c r="NE14" s="331"/>
      <c r="NF14" s="331"/>
      <c r="NG14" s="331"/>
      <c r="NH14" s="331"/>
      <c r="NI14" s="331"/>
      <c r="NJ14" s="331"/>
      <c r="NK14" s="331"/>
      <c r="NL14" s="331"/>
      <c r="NM14" s="331"/>
      <c r="NN14" s="331"/>
      <c r="NO14" s="331"/>
      <c r="NP14" s="331"/>
      <c r="NQ14" s="331"/>
      <c r="NR14" s="331"/>
      <c r="NS14" s="331"/>
      <c r="NT14" s="331"/>
      <c r="NU14" s="331"/>
      <c r="NV14" s="331"/>
      <c r="NW14" s="331"/>
      <c r="NX14" s="331"/>
      <c r="NY14" s="331"/>
      <c r="NZ14" s="331"/>
      <c r="OA14" s="331"/>
      <c r="OB14" s="331"/>
      <c r="OC14" s="331"/>
      <c r="OD14" s="331"/>
      <c r="OE14" s="331"/>
      <c r="OF14" s="331"/>
      <c r="OG14" s="331"/>
      <c r="OH14" s="331"/>
      <c r="OI14" s="331"/>
      <c r="OJ14" s="331"/>
      <c r="OK14" s="331"/>
      <c r="OL14" s="332">
        <f t="shared" si="0"/>
        <v>228963.29000000004</v>
      </c>
    </row>
    <row r="15" spans="1:402" ht="12.75" customHeight="1" thickBot="1">
      <c r="A15" s="320" t="s">
        <v>404</v>
      </c>
      <c r="B15" s="320" t="s">
        <v>405</v>
      </c>
      <c r="C15" s="320" t="s">
        <v>406</v>
      </c>
      <c r="D15" s="328" t="s">
        <v>419</v>
      </c>
      <c r="E15" s="329">
        <v>0</v>
      </c>
      <c r="F15" s="329">
        <v>0</v>
      </c>
      <c r="G15" s="329">
        <v>0</v>
      </c>
      <c r="H15" s="329">
        <v>0</v>
      </c>
      <c r="I15" s="329">
        <v>0</v>
      </c>
      <c r="J15" s="329">
        <v>0</v>
      </c>
      <c r="K15" s="329">
        <v>0</v>
      </c>
      <c r="L15" s="329">
        <v>0</v>
      </c>
      <c r="M15" s="329">
        <v>0</v>
      </c>
      <c r="N15" s="329">
        <v>0</v>
      </c>
      <c r="O15" s="329">
        <v>0</v>
      </c>
      <c r="P15" s="329">
        <v>0</v>
      </c>
      <c r="Q15" s="329">
        <v>0</v>
      </c>
      <c r="R15" s="329">
        <v>0</v>
      </c>
      <c r="S15" s="329">
        <v>0</v>
      </c>
      <c r="T15" s="329">
        <v>0</v>
      </c>
      <c r="U15" s="329">
        <v>0</v>
      </c>
      <c r="V15" s="329">
        <v>0</v>
      </c>
      <c r="W15" s="329">
        <v>0</v>
      </c>
      <c r="X15" s="329">
        <v>0</v>
      </c>
      <c r="Y15" s="329">
        <v>0</v>
      </c>
      <c r="Z15" s="329">
        <v>0</v>
      </c>
      <c r="AA15" s="329">
        <v>0</v>
      </c>
      <c r="AB15" s="329">
        <v>0</v>
      </c>
      <c r="AC15" s="329">
        <v>0</v>
      </c>
      <c r="AD15" s="329">
        <v>0</v>
      </c>
      <c r="AE15" s="329">
        <v>0</v>
      </c>
      <c r="AF15" s="329">
        <v>0</v>
      </c>
      <c r="AG15" s="329">
        <v>0</v>
      </c>
      <c r="AH15" s="329">
        <v>0</v>
      </c>
      <c r="AI15" s="329">
        <v>0</v>
      </c>
      <c r="AJ15" s="329">
        <v>0</v>
      </c>
      <c r="AK15" s="329">
        <v>0</v>
      </c>
      <c r="AL15" s="329">
        <v>0</v>
      </c>
      <c r="AM15" s="329">
        <v>0</v>
      </c>
      <c r="AN15" s="329">
        <v>0</v>
      </c>
      <c r="AO15" s="330">
        <v>5164.1499999999996</v>
      </c>
      <c r="AP15" s="330">
        <v>4614.88</v>
      </c>
      <c r="AQ15" s="330">
        <v>4614.88</v>
      </c>
      <c r="AR15" s="330">
        <v>4614.88</v>
      </c>
      <c r="AS15" s="330">
        <v>4614.88</v>
      </c>
      <c r="AT15" s="330">
        <v>4614.88</v>
      </c>
      <c r="AU15" s="330">
        <v>4660.62</v>
      </c>
      <c r="AV15" s="330">
        <v>4934.4799999999996</v>
      </c>
      <c r="AW15" s="330">
        <v>4933.8599999999997</v>
      </c>
      <c r="AX15" s="330">
        <v>5602.94</v>
      </c>
      <c r="AY15" s="330">
        <v>5806.77</v>
      </c>
      <c r="AZ15" s="330">
        <v>5661.75</v>
      </c>
      <c r="BA15" s="329">
        <v>0</v>
      </c>
      <c r="BB15" s="329">
        <v>0</v>
      </c>
      <c r="BC15" s="329">
        <v>0</v>
      </c>
      <c r="BD15" s="329">
        <v>0</v>
      </c>
      <c r="BE15" s="329">
        <v>0</v>
      </c>
      <c r="BF15" s="329">
        <v>0</v>
      </c>
      <c r="BG15" s="329">
        <v>0</v>
      </c>
      <c r="BH15" s="329">
        <v>0</v>
      </c>
      <c r="BI15" s="329">
        <v>0</v>
      </c>
      <c r="BJ15" s="329">
        <v>0</v>
      </c>
      <c r="BK15" s="329">
        <v>0</v>
      </c>
      <c r="BL15" s="329">
        <v>0</v>
      </c>
      <c r="BM15" s="331"/>
      <c r="BN15" s="331"/>
      <c r="BO15" s="331"/>
      <c r="BP15" s="331"/>
      <c r="BQ15" s="331"/>
      <c r="BR15" s="331"/>
      <c r="BS15" s="331"/>
      <c r="BT15" s="331"/>
      <c r="BU15" s="331"/>
      <c r="BV15" s="331"/>
      <c r="BW15" s="331"/>
      <c r="BX15" s="331"/>
      <c r="BY15" s="329">
        <v>0</v>
      </c>
      <c r="BZ15" s="329">
        <v>0</v>
      </c>
      <c r="CA15" s="329">
        <v>0</v>
      </c>
      <c r="CB15" s="329">
        <v>0</v>
      </c>
      <c r="CC15" s="329">
        <v>0</v>
      </c>
      <c r="CD15" s="329">
        <v>0</v>
      </c>
      <c r="CE15" s="329">
        <v>0</v>
      </c>
      <c r="CF15" s="329">
        <v>0</v>
      </c>
      <c r="CG15" s="329">
        <v>0</v>
      </c>
      <c r="CH15" s="329">
        <v>0</v>
      </c>
      <c r="CI15" s="329">
        <v>0</v>
      </c>
      <c r="CJ15" s="329">
        <v>0</v>
      </c>
      <c r="CK15" s="329">
        <v>0</v>
      </c>
      <c r="CL15" s="329">
        <v>0</v>
      </c>
      <c r="CM15" s="329">
        <v>0</v>
      </c>
      <c r="CN15" s="329">
        <v>0</v>
      </c>
      <c r="CO15" s="329">
        <v>0</v>
      </c>
      <c r="CP15" s="329">
        <v>0</v>
      </c>
      <c r="CQ15" s="329">
        <v>0</v>
      </c>
      <c r="CR15" s="329">
        <v>0</v>
      </c>
      <c r="CS15" s="329">
        <v>0</v>
      </c>
      <c r="CT15" s="329">
        <v>0</v>
      </c>
      <c r="CU15" s="329">
        <v>0</v>
      </c>
      <c r="CV15" s="329">
        <v>0</v>
      </c>
      <c r="CW15" s="329">
        <v>0</v>
      </c>
      <c r="CX15" s="329">
        <v>0</v>
      </c>
      <c r="CY15" s="329">
        <v>0</v>
      </c>
      <c r="CZ15" s="329">
        <v>0</v>
      </c>
      <c r="DA15" s="329">
        <v>0</v>
      </c>
      <c r="DB15" s="329">
        <v>0</v>
      </c>
      <c r="DC15" s="329">
        <v>0</v>
      </c>
      <c r="DD15" s="329">
        <v>0</v>
      </c>
      <c r="DE15" s="329">
        <v>0</v>
      </c>
      <c r="DF15" s="329">
        <v>0</v>
      </c>
      <c r="DG15" s="329">
        <v>0</v>
      </c>
      <c r="DH15" s="329">
        <v>0</v>
      </c>
      <c r="DI15" s="331"/>
      <c r="DJ15" s="331"/>
      <c r="DK15" s="331"/>
      <c r="DL15" s="331"/>
      <c r="DM15" s="331"/>
      <c r="DN15" s="331"/>
      <c r="DO15" s="331"/>
      <c r="DP15" s="331"/>
      <c r="DQ15" s="331"/>
      <c r="DR15" s="331"/>
      <c r="DS15" s="331"/>
      <c r="DT15" s="331"/>
      <c r="DU15" s="330">
        <v>70.44</v>
      </c>
      <c r="DV15" s="330">
        <v>62.75</v>
      </c>
      <c r="DW15" s="330">
        <v>62.75</v>
      </c>
      <c r="DX15" s="330">
        <v>62.75</v>
      </c>
      <c r="DY15" s="330">
        <v>62.75</v>
      </c>
      <c r="DZ15" s="330">
        <v>62.75</v>
      </c>
      <c r="EA15" s="330">
        <v>63.39</v>
      </c>
      <c r="EB15" s="330">
        <v>67.23</v>
      </c>
      <c r="EC15" s="330">
        <v>67.22</v>
      </c>
      <c r="ED15" s="330">
        <v>76.59</v>
      </c>
      <c r="EE15" s="330">
        <v>79.44</v>
      </c>
      <c r="EF15" s="330">
        <v>77.41</v>
      </c>
      <c r="EG15" s="329">
        <v>0</v>
      </c>
      <c r="EH15" s="329">
        <v>0</v>
      </c>
      <c r="EI15" s="329">
        <v>0</v>
      </c>
      <c r="EJ15" s="329">
        <v>0</v>
      </c>
      <c r="EK15" s="329">
        <v>0</v>
      </c>
      <c r="EL15" s="329">
        <v>0</v>
      </c>
      <c r="EM15" s="329">
        <v>0</v>
      </c>
      <c r="EN15" s="329">
        <v>0</v>
      </c>
      <c r="EO15" s="329">
        <v>0</v>
      </c>
      <c r="EP15" s="329">
        <v>0</v>
      </c>
      <c r="EQ15" s="329">
        <v>0</v>
      </c>
      <c r="ER15" s="329">
        <v>0</v>
      </c>
      <c r="ES15" s="331"/>
      <c r="ET15" s="331"/>
      <c r="EU15" s="331"/>
      <c r="EV15" s="331"/>
      <c r="EW15" s="331"/>
      <c r="EX15" s="331"/>
      <c r="EY15" s="331"/>
      <c r="EZ15" s="331"/>
      <c r="FA15" s="331"/>
      <c r="FB15" s="331"/>
      <c r="FC15" s="331"/>
      <c r="FD15" s="331"/>
      <c r="FE15" s="329">
        <v>0</v>
      </c>
      <c r="FF15" s="329">
        <v>0</v>
      </c>
      <c r="FG15" s="329">
        <v>0</v>
      </c>
      <c r="FH15" s="329">
        <v>0</v>
      </c>
      <c r="FI15" s="329">
        <v>0</v>
      </c>
      <c r="FJ15" s="329">
        <v>0</v>
      </c>
      <c r="FK15" s="329">
        <v>0</v>
      </c>
      <c r="FL15" s="329">
        <v>0</v>
      </c>
      <c r="FM15" s="329">
        <v>0</v>
      </c>
      <c r="FN15" s="329">
        <v>0</v>
      </c>
      <c r="FO15" s="329">
        <v>0</v>
      </c>
      <c r="FP15" s="329">
        <v>0</v>
      </c>
      <c r="FQ15" s="329">
        <v>0</v>
      </c>
      <c r="FR15" s="329">
        <v>0</v>
      </c>
      <c r="FS15" s="329">
        <v>0</v>
      </c>
      <c r="FT15" s="329">
        <v>0</v>
      </c>
      <c r="FU15" s="329">
        <v>0</v>
      </c>
      <c r="FV15" s="329">
        <v>0</v>
      </c>
      <c r="FW15" s="329">
        <v>0</v>
      </c>
      <c r="FX15" s="329">
        <v>0</v>
      </c>
      <c r="FY15" s="329">
        <v>0</v>
      </c>
      <c r="FZ15" s="329">
        <v>0</v>
      </c>
      <c r="GA15" s="329">
        <v>0</v>
      </c>
      <c r="GB15" s="329">
        <v>0</v>
      </c>
      <c r="GC15" s="330">
        <v>13915.09</v>
      </c>
      <c r="GD15" s="330">
        <v>13817.76</v>
      </c>
      <c r="GE15" s="330">
        <v>13817.76</v>
      </c>
      <c r="GF15" s="330">
        <v>11937.71</v>
      </c>
      <c r="GG15" s="330">
        <v>11937.71</v>
      </c>
      <c r="GH15" s="330">
        <v>10790.01</v>
      </c>
      <c r="GI15" s="330">
        <v>10798.12</v>
      </c>
      <c r="GJ15" s="330">
        <v>10846.64</v>
      </c>
      <c r="GK15" s="330">
        <v>10846.53</v>
      </c>
      <c r="GL15" s="330">
        <v>10965.09</v>
      </c>
      <c r="GM15" s="330">
        <v>11001.21</v>
      </c>
      <c r="GN15" s="330">
        <v>10871.34</v>
      </c>
      <c r="GO15" s="331"/>
      <c r="GP15" s="331"/>
      <c r="GQ15" s="331"/>
      <c r="GR15" s="331"/>
      <c r="GS15" s="331"/>
      <c r="GT15" s="331"/>
      <c r="GU15" s="331"/>
      <c r="GV15" s="331"/>
      <c r="GW15" s="331"/>
      <c r="GX15" s="331"/>
      <c r="GY15" s="331"/>
      <c r="GZ15" s="331"/>
      <c r="HA15" s="330">
        <v>182.38</v>
      </c>
      <c r="HB15" s="330">
        <v>156.97999999999999</v>
      </c>
      <c r="HC15" s="330">
        <v>157.9</v>
      </c>
      <c r="HD15" s="330">
        <v>164.63</v>
      </c>
      <c r="HE15" s="330">
        <v>140.44999999999999</v>
      </c>
      <c r="HF15" s="330">
        <v>245.66</v>
      </c>
      <c r="HG15" s="330">
        <v>291.68</v>
      </c>
      <c r="HH15" s="330">
        <v>301.32</v>
      </c>
      <c r="HI15" s="330">
        <v>325.94</v>
      </c>
      <c r="HJ15" s="330">
        <v>405.68</v>
      </c>
      <c r="HK15" s="330">
        <v>370.36</v>
      </c>
      <c r="HL15" s="330">
        <v>362.87</v>
      </c>
      <c r="HM15" s="331"/>
      <c r="HN15" s="331"/>
      <c r="HO15" s="331"/>
      <c r="HP15" s="331"/>
      <c r="HQ15" s="331"/>
      <c r="HR15" s="331"/>
      <c r="HS15" s="331"/>
      <c r="HT15" s="331"/>
      <c r="HU15" s="331"/>
      <c r="HV15" s="331"/>
      <c r="HW15" s="331"/>
      <c r="HX15" s="331"/>
      <c r="HY15" s="329">
        <v>0</v>
      </c>
      <c r="HZ15" s="329">
        <v>0</v>
      </c>
      <c r="IA15" s="329">
        <v>0</v>
      </c>
      <c r="IB15" s="329">
        <v>0</v>
      </c>
      <c r="IC15" s="329">
        <v>0</v>
      </c>
      <c r="ID15" s="329">
        <v>0</v>
      </c>
      <c r="IE15" s="329">
        <v>0</v>
      </c>
      <c r="IF15" s="329">
        <v>0</v>
      </c>
      <c r="IG15" s="329">
        <v>0</v>
      </c>
      <c r="IH15" s="329">
        <v>0</v>
      </c>
      <c r="II15" s="329">
        <v>0</v>
      </c>
      <c r="IJ15" s="329">
        <v>0</v>
      </c>
      <c r="IK15" s="331"/>
      <c r="IL15" s="331"/>
      <c r="IM15" s="331"/>
      <c r="IN15" s="331"/>
      <c r="IO15" s="331"/>
      <c r="IP15" s="331"/>
      <c r="IQ15" s="331"/>
      <c r="IR15" s="331"/>
      <c r="IS15" s="331"/>
      <c r="IT15" s="331"/>
      <c r="IU15" s="331"/>
      <c r="IV15" s="331"/>
      <c r="IW15" s="331"/>
      <c r="IX15" s="331"/>
      <c r="IY15" s="331"/>
      <c r="IZ15" s="331"/>
      <c r="JA15" s="331"/>
      <c r="JB15" s="331"/>
      <c r="JC15" s="331"/>
      <c r="JD15" s="331"/>
      <c r="JE15" s="331"/>
      <c r="JF15" s="331"/>
      <c r="JG15" s="331"/>
      <c r="JH15" s="331"/>
      <c r="JI15" s="330">
        <v>211.19</v>
      </c>
      <c r="JJ15" s="331"/>
      <c r="JK15" s="331"/>
      <c r="JL15" s="331"/>
      <c r="JM15" s="331"/>
      <c r="JN15" s="331"/>
      <c r="JO15" s="331"/>
      <c r="JP15" s="331"/>
      <c r="JQ15" s="331"/>
      <c r="JR15" s="331"/>
      <c r="JS15" s="331"/>
      <c r="JT15" s="331"/>
      <c r="JU15" s="331"/>
      <c r="JV15" s="331"/>
      <c r="JW15" s="331"/>
      <c r="JX15" s="331"/>
      <c r="JY15" s="331"/>
      <c r="JZ15" s="331"/>
      <c r="KA15" s="331"/>
      <c r="KB15" s="331"/>
      <c r="KC15" s="331"/>
      <c r="KD15" s="331"/>
      <c r="KE15" s="331"/>
      <c r="KF15" s="331"/>
      <c r="KG15" s="331"/>
      <c r="KH15" s="331"/>
      <c r="KI15" s="331"/>
      <c r="KJ15" s="331"/>
      <c r="KK15" s="331"/>
      <c r="KL15" s="331"/>
      <c r="KM15" s="331"/>
      <c r="KN15" s="331"/>
      <c r="KO15" s="331"/>
      <c r="KP15" s="331"/>
      <c r="KQ15" s="331"/>
      <c r="KR15" s="331"/>
      <c r="KS15" s="331"/>
      <c r="KT15" s="331"/>
      <c r="KU15" s="331"/>
      <c r="KV15" s="331"/>
      <c r="KW15" s="331"/>
      <c r="KX15" s="331"/>
      <c r="KY15" s="331"/>
      <c r="KZ15" s="331"/>
      <c r="LA15" s="331"/>
      <c r="LB15" s="331"/>
      <c r="LC15" s="331"/>
      <c r="LD15" s="331"/>
      <c r="LE15" s="331"/>
      <c r="LF15" s="331"/>
      <c r="LG15" s="331"/>
      <c r="LH15" s="331"/>
      <c r="LI15" s="331"/>
      <c r="LJ15" s="331"/>
      <c r="LK15" s="331"/>
      <c r="LL15" s="331"/>
      <c r="LM15" s="331"/>
      <c r="LN15" s="331"/>
      <c r="LO15" s="331"/>
      <c r="LP15" s="331"/>
      <c r="LQ15" s="331"/>
      <c r="LR15" s="331"/>
      <c r="LS15" s="331"/>
      <c r="LT15" s="331"/>
      <c r="LU15" s="331"/>
      <c r="LV15" s="331"/>
      <c r="LW15" s="331"/>
      <c r="LX15" s="331"/>
      <c r="LY15" s="331"/>
      <c r="LZ15" s="331"/>
      <c r="MA15" s="331"/>
      <c r="MB15" s="331"/>
      <c r="MC15" s="331"/>
      <c r="MD15" s="331"/>
      <c r="ME15" s="331"/>
      <c r="MF15" s="331"/>
      <c r="MG15" s="331"/>
      <c r="MH15" s="331"/>
      <c r="MI15" s="331"/>
      <c r="MJ15" s="331"/>
      <c r="MK15" s="331"/>
      <c r="ML15" s="331"/>
      <c r="MM15" s="331"/>
      <c r="MN15" s="331"/>
      <c r="MO15" s="331"/>
      <c r="MP15" s="331"/>
      <c r="MQ15" s="331"/>
      <c r="MR15" s="331"/>
      <c r="MS15" s="331"/>
      <c r="MT15" s="331"/>
      <c r="MU15" s="331"/>
      <c r="MV15" s="331"/>
      <c r="MW15" s="331"/>
      <c r="MX15" s="331"/>
      <c r="MY15" s="331"/>
      <c r="MZ15" s="331"/>
      <c r="NA15" s="331"/>
      <c r="NB15" s="331"/>
      <c r="NC15" s="331"/>
      <c r="ND15" s="331"/>
      <c r="NE15" s="331"/>
      <c r="NF15" s="331"/>
      <c r="NG15" s="331"/>
      <c r="NH15" s="331"/>
      <c r="NI15" s="331"/>
      <c r="NJ15" s="331"/>
      <c r="NK15" s="331"/>
      <c r="NL15" s="331"/>
      <c r="NM15" s="331"/>
      <c r="NN15" s="331"/>
      <c r="NO15" s="331"/>
      <c r="NP15" s="331"/>
      <c r="NQ15" s="331"/>
      <c r="NR15" s="331"/>
      <c r="NS15" s="331"/>
      <c r="NT15" s="331"/>
      <c r="NU15" s="331"/>
      <c r="NV15" s="331"/>
      <c r="NW15" s="331"/>
      <c r="NX15" s="331"/>
      <c r="NY15" s="331"/>
      <c r="NZ15" s="331"/>
      <c r="OA15" s="331"/>
      <c r="OB15" s="331"/>
      <c r="OC15" s="331"/>
      <c r="OD15" s="331"/>
      <c r="OE15" s="331"/>
      <c r="OF15" s="331"/>
      <c r="OG15" s="331"/>
      <c r="OH15" s="331"/>
      <c r="OI15" s="331"/>
      <c r="OJ15" s="331"/>
      <c r="OK15" s="331"/>
      <c r="OL15" s="332">
        <f t="shared" si="0"/>
        <v>205516.44999999998</v>
      </c>
    </row>
    <row r="16" spans="1:402" ht="12.75" customHeight="1" thickBot="1">
      <c r="A16" s="320" t="s">
        <v>404</v>
      </c>
      <c r="B16" s="320" t="s">
        <v>405</v>
      </c>
      <c r="C16" s="320" t="s">
        <v>406</v>
      </c>
      <c r="D16" s="328" t="s">
        <v>420</v>
      </c>
      <c r="E16" s="329">
        <v>0</v>
      </c>
      <c r="F16" s="329">
        <v>0</v>
      </c>
      <c r="G16" s="329">
        <v>0</v>
      </c>
      <c r="H16" s="329">
        <v>0</v>
      </c>
      <c r="I16" s="329">
        <v>0</v>
      </c>
      <c r="J16" s="329">
        <v>0</v>
      </c>
      <c r="K16" s="329">
        <v>0</v>
      </c>
      <c r="L16" s="329">
        <v>0</v>
      </c>
      <c r="M16" s="329">
        <v>0</v>
      </c>
      <c r="N16" s="329">
        <v>0</v>
      </c>
      <c r="O16" s="329">
        <v>0</v>
      </c>
      <c r="P16" s="329">
        <v>0</v>
      </c>
      <c r="Q16" s="329">
        <v>0</v>
      </c>
      <c r="R16" s="329">
        <v>0</v>
      </c>
      <c r="S16" s="329">
        <v>0</v>
      </c>
      <c r="T16" s="329">
        <v>0</v>
      </c>
      <c r="U16" s="329">
        <v>0</v>
      </c>
      <c r="V16" s="329">
        <v>0</v>
      </c>
      <c r="W16" s="329">
        <v>0</v>
      </c>
      <c r="X16" s="329">
        <v>0</v>
      </c>
      <c r="Y16" s="329">
        <v>0</v>
      </c>
      <c r="Z16" s="329">
        <v>0</v>
      </c>
      <c r="AA16" s="329">
        <v>0</v>
      </c>
      <c r="AB16" s="329">
        <v>0</v>
      </c>
      <c r="AC16" s="329">
        <v>0</v>
      </c>
      <c r="AD16" s="329">
        <v>0</v>
      </c>
      <c r="AE16" s="329">
        <v>0</v>
      </c>
      <c r="AF16" s="329">
        <v>0</v>
      </c>
      <c r="AG16" s="329">
        <v>0</v>
      </c>
      <c r="AH16" s="329">
        <v>0</v>
      </c>
      <c r="AI16" s="329">
        <v>0</v>
      </c>
      <c r="AJ16" s="329">
        <v>0</v>
      </c>
      <c r="AK16" s="329">
        <v>0</v>
      </c>
      <c r="AL16" s="329">
        <v>0</v>
      </c>
      <c r="AM16" s="329">
        <v>0</v>
      </c>
      <c r="AN16" s="329">
        <v>0</v>
      </c>
      <c r="AO16" s="330">
        <v>261.81</v>
      </c>
      <c r="AP16" s="330">
        <v>261.81</v>
      </c>
      <c r="AQ16" s="330">
        <v>261.81</v>
      </c>
      <c r="AR16" s="330">
        <v>285.45999999999998</v>
      </c>
      <c r="AS16" s="330">
        <v>255.28</v>
      </c>
      <c r="AT16" s="330">
        <v>255.28</v>
      </c>
      <c r="AU16" s="330">
        <v>255.28</v>
      </c>
      <c r="AV16" s="330">
        <v>255.28</v>
      </c>
      <c r="AW16" s="330">
        <v>255.28</v>
      </c>
      <c r="AX16" s="330">
        <v>255.28</v>
      </c>
      <c r="AY16" s="330">
        <v>255.28</v>
      </c>
      <c r="AZ16" s="330">
        <v>255.28</v>
      </c>
      <c r="BA16" s="329">
        <v>0</v>
      </c>
      <c r="BB16" s="329">
        <v>0</v>
      </c>
      <c r="BC16" s="329">
        <v>0</v>
      </c>
      <c r="BD16" s="329">
        <v>0</v>
      </c>
      <c r="BE16" s="329">
        <v>0</v>
      </c>
      <c r="BF16" s="329">
        <v>0</v>
      </c>
      <c r="BG16" s="329">
        <v>0</v>
      </c>
      <c r="BH16" s="329">
        <v>0</v>
      </c>
      <c r="BI16" s="329">
        <v>0</v>
      </c>
      <c r="BJ16" s="329">
        <v>0</v>
      </c>
      <c r="BK16" s="329">
        <v>0</v>
      </c>
      <c r="BL16" s="329">
        <v>0</v>
      </c>
      <c r="BM16" s="331"/>
      <c r="BN16" s="331"/>
      <c r="BO16" s="331"/>
      <c r="BP16" s="331"/>
      <c r="BQ16" s="331"/>
      <c r="BR16" s="331"/>
      <c r="BS16" s="331"/>
      <c r="BT16" s="331"/>
      <c r="BU16" s="331"/>
      <c r="BV16" s="331"/>
      <c r="BW16" s="331"/>
      <c r="BX16" s="331"/>
      <c r="BY16" s="329">
        <v>0</v>
      </c>
      <c r="BZ16" s="329">
        <v>0</v>
      </c>
      <c r="CA16" s="329">
        <v>0</v>
      </c>
      <c r="CB16" s="329">
        <v>0</v>
      </c>
      <c r="CC16" s="329">
        <v>0</v>
      </c>
      <c r="CD16" s="329">
        <v>0</v>
      </c>
      <c r="CE16" s="329">
        <v>0</v>
      </c>
      <c r="CF16" s="329">
        <v>0</v>
      </c>
      <c r="CG16" s="329">
        <v>0</v>
      </c>
      <c r="CH16" s="329">
        <v>0</v>
      </c>
      <c r="CI16" s="329">
        <v>0</v>
      </c>
      <c r="CJ16" s="329">
        <v>0</v>
      </c>
      <c r="CK16" s="329">
        <v>0</v>
      </c>
      <c r="CL16" s="329">
        <v>0</v>
      </c>
      <c r="CM16" s="329">
        <v>0</v>
      </c>
      <c r="CN16" s="329">
        <v>0</v>
      </c>
      <c r="CO16" s="329">
        <v>0</v>
      </c>
      <c r="CP16" s="329">
        <v>0</v>
      </c>
      <c r="CQ16" s="329">
        <v>0</v>
      </c>
      <c r="CR16" s="329">
        <v>0</v>
      </c>
      <c r="CS16" s="329">
        <v>0</v>
      </c>
      <c r="CT16" s="329">
        <v>0</v>
      </c>
      <c r="CU16" s="329">
        <v>0</v>
      </c>
      <c r="CV16" s="329">
        <v>0</v>
      </c>
      <c r="CW16" s="329">
        <v>0</v>
      </c>
      <c r="CX16" s="329">
        <v>0</v>
      </c>
      <c r="CY16" s="329">
        <v>0</v>
      </c>
      <c r="CZ16" s="329">
        <v>0</v>
      </c>
      <c r="DA16" s="329">
        <v>0</v>
      </c>
      <c r="DB16" s="329">
        <v>0</v>
      </c>
      <c r="DC16" s="329">
        <v>0</v>
      </c>
      <c r="DD16" s="329">
        <v>0</v>
      </c>
      <c r="DE16" s="329">
        <v>0</v>
      </c>
      <c r="DF16" s="329">
        <v>0</v>
      </c>
      <c r="DG16" s="329">
        <v>0</v>
      </c>
      <c r="DH16" s="329">
        <v>0</v>
      </c>
      <c r="DI16" s="331"/>
      <c r="DJ16" s="331"/>
      <c r="DK16" s="331"/>
      <c r="DL16" s="331"/>
      <c r="DM16" s="331"/>
      <c r="DN16" s="331"/>
      <c r="DO16" s="331"/>
      <c r="DP16" s="331"/>
      <c r="DQ16" s="331"/>
      <c r="DR16" s="331"/>
      <c r="DS16" s="331"/>
      <c r="DT16" s="331"/>
      <c r="DU16" s="330">
        <v>1.79</v>
      </c>
      <c r="DV16" s="330">
        <v>1.79</v>
      </c>
      <c r="DW16" s="330">
        <v>1.79</v>
      </c>
      <c r="DX16" s="330">
        <v>2.12</v>
      </c>
      <c r="DY16" s="330">
        <v>1.7</v>
      </c>
      <c r="DZ16" s="330">
        <v>1.7</v>
      </c>
      <c r="EA16" s="330">
        <v>1.7</v>
      </c>
      <c r="EB16" s="330">
        <v>1.7</v>
      </c>
      <c r="EC16" s="330">
        <v>1.7</v>
      </c>
      <c r="ED16" s="330">
        <v>1.7</v>
      </c>
      <c r="EE16" s="330">
        <v>1.7</v>
      </c>
      <c r="EF16" s="330">
        <v>1.7</v>
      </c>
      <c r="EG16" s="329">
        <v>0</v>
      </c>
      <c r="EH16" s="329">
        <v>0</v>
      </c>
      <c r="EI16" s="329">
        <v>0</v>
      </c>
      <c r="EJ16" s="329">
        <v>0</v>
      </c>
      <c r="EK16" s="329">
        <v>0</v>
      </c>
      <c r="EL16" s="329">
        <v>0</v>
      </c>
      <c r="EM16" s="329">
        <v>0</v>
      </c>
      <c r="EN16" s="329">
        <v>0</v>
      </c>
      <c r="EO16" s="329">
        <v>0</v>
      </c>
      <c r="EP16" s="329">
        <v>0</v>
      </c>
      <c r="EQ16" s="329">
        <v>0</v>
      </c>
      <c r="ER16" s="329">
        <v>0</v>
      </c>
      <c r="ES16" s="331"/>
      <c r="ET16" s="331"/>
      <c r="EU16" s="331"/>
      <c r="EV16" s="331"/>
      <c r="EW16" s="331"/>
      <c r="EX16" s="331"/>
      <c r="EY16" s="331"/>
      <c r="EZ16" s="331"/>
      <c r="FA16" s="331"/>
      <c r="FB16" s="331"/>
      <c r="FC16" s="331"/>
      <c r="FD16" s="331"/>
      <c r="FE16" s="329">
        <v>0</v>
      </c>
      <c r="FF16" s="329">
        <v>0</v>
      </c>
      <c r="FG16" s="329">
        <v>0</v>
      </c>
      <c r="FH16" s="329">
        <v>0</v>
      </c>
      <c r="FI16" s="329">
        <v>0</v>
      </c>
      <c r="FJ16" s="329">
        <v>0</v>
      </c>
      <c r="FK16" s="329">
        <v>0</v>
      </c>
      <c r="FL16" s="329">
        <v>0</v>
      </c>
      <c r="FM16" s="329">
        <v>0</v>
      </c>
      <c r="FN16" s="329">
        <v>0</v>
      </c>
      <c r="FO16" s="329">
        <v>0</v>
      </c>
      <c r="FP16" s="329">
        <v>0</v>
      </c>
      <c r="FQ16" s="329">
        <v>0</v>
      </c>
      <c r="FR16" s="329">
        <v>0</v>
      </c>
      <c r="FS16" s="329">
        <v>0</v>
      </c>
      <c r="FT16" s="329">
        <v>0</v>
      </c>
      <c r="FU16" s="329">
        <v>0</v>
      </c>
      <c r="FV16" s="329">
        <v>0</v>
      </c>
      <c r="FW16" s="329">
        <v>0</v>
      </c>
      <c r="FX16" s="329">
        <v>0</v>
      </c>
      <c r="FY16" s="329">
        <v>0</v>
      </c>
      <c r="FZ16" s="329">
        <v>0</v>
      </c>
      <c r="GA16" s="329">
        <v>0</v>
      </c>
      <c r="GB16" s="329">
        <v>0</v>
      </c>
      <c r="GC16" s="330">
        <v>172.64</v>
      </c>
      <c r="GD16" s="330">
        <v>172.64</v>
      </c>
      <c r="GE16" s="330">
        <v>172.64</v>
      </c>
      <c r="GF16" s="330">
        <v>208.59</v>
      </c>
      <c r="GG16" s="330">
        <v>203.24</v>
      </c>
      <c r="GH16" s="330">
        <v>184.52</v>
      </c>
      <c r="GI16" s="330">
        <v>184.52</v>
      </c>
      <c r="GJ16" s="330">
        <v>184.52</v>
      </c>
      <c r="GK16" s="330">
        <v>184.52</v>
      </c>
      <c r="GL16" s="330">
        <v>184.52</v>
      </c>
      <c r="GM16" s="330">
        <v>184.52</v>
      </c>
      <c r="GN16" s="330">
        <v>184.95</v>
      </c>
      <c r="GO16" s="331"/>
      <c r="GP16" s="331"/>
      <c r="GQ16" s="331"/>
      <c r="GR16" s="331"/>
      <c r="GS16" s="331"/>
      <c r="GT16" s="331"/>
      <c r="GU16" s="331"/>
      <c r="GV16" s="331"/>
      <c r="GW16" s="331"/>
      <c r="GX16" s="331"/>
      <c r="GY16" s="331"/>
      <c r="GZ16" s="331"/>
      <c r="HA16" s="330">
        <v>3.26</v>
      </c>
      <c r="HB16" s="330">
        <v>3.26</v>
      </c>
      <c r="HC16" s="330">
        <v>4.9000000000000004</v>
      </c>
      <c r="HD16" s="330">
        <v>4.9000000000000004</v>
      </c>
      <c r="HE16" s="330">
        <v>4.9000000000000004</v>
      </c>
      <c r="HF16" s="330">
        <v>7.14</v>
      </c>
      <c r="HG16" s="330">
        <v>5.71</v>
      </c>
      <c r="HH16" s="330">
        <v>5.71</v>
      </c>
      <c r="HI16" s="330">
        <v>5.71</v>
      </c>
      <c r="HJ16" s="330">
        <v>7.14</v>
      </c>
      <c r="HK16" s="330">
        <v>8.56</v>
      </c>
      <c r="HL16" s="330">
        <v>8.56</v>
      </c>
      <c r="HM16" s="331"/>
      <c r="HN16" s="331"/>
      <c r="HO16" s="331"/>
      <c r="HP16" s="331"/>
      <c r="HQ16" s="331"/>
      <c r="HR16" s="331"/>
      <c r="HS16" s="331"/>
      <c r="HT16" s="331"/>
      <c r="HU16" s="331"/>
      <c r="HV16" s="331"/>
      <c r="HW16" s="331"/>
      <c r="HX16" s="331"/>
      <c r="HY16" s="329">
        <v>0</v>
      </c>
      <c r="HZ16" s="329">
        <v>0</v>
      </c>
      <c r="IA16" s="329">
        <v>0</v>
      </c>
      <c r="IB16" s="329">
        <v>0</v>
      </c>
      <c r="IC16" s="329">
        <v>0</v>
      </c>
      <c r="ID16" s="329">
        <v>0</v>
      </c>
      <c r="IE16" s="329">
        <v>0</v>
      </c>
      <c r="IF16" s="329">
        <v>0</v>
      </c>
      <c r="IG16" s="329">
        <v>0</v>
      </c>
      <c r="IH16" s="329">
        <v>0</v>
      </c>
      <c r="II16" s="329">
        <v>0</v>
      </c>
      <c r="IJ16" s="329">
        <v>0</v>
      </c>
      <c r="IK16" s="331"/>
      <c r="IL16" s="331"/>
      <c r="IM16" s="331"/>
      <c r="IN16" s="331"/>
      <c r="IO16" s="331"/>
      <c r="IP16" s="331"/>
      <c r="IQ16" s="331"/>
      <c r="IR16" s="331"/>
      <c r="IS16" s="331"/>
      <c r="IT16" s="331"/>
      <c r="IU16" s="331"/>
      <c r="IV16" s="331"/>
      <c r="IW16" s="331"/>
      <c r="IX16" s="331"/>
      <c r="IY16" s="331"/>
      <c r="IZ16" s="331"/>
      <c r="JA16" s="331"/>
      <c r="JB16" s="331"/>
      <c r="JC16" s="331"/>
      <c r="JD16" s="331"/>
      <c r="JE16" s="331"/>
      <c r="JF16" s="331"/>
      <c r="JG16" s="331"/>
      <c r="JH16" s="331"/>
      <c r="JI16" s="330">
        <v>4.63</v>
      </c>
      <c r="JJ16" s="331"/>
      <c r="JK16" s="331"/>
      <c r="JL16" s="331"/>
      <c r="JM16" s="331"/>
      <c r="JN16" s="331"/>
      <c r="JO16" s="331"/>
      <c r="JP16" s="331"/>
      <c r="JQ16" s="331"/>
      <c r="JR16" s="331"/>
      <c r="JS16" s="331"/>
      <c r="JT16" s="331"/>
      <c r="JU16" s="331"/>
      <c r="JV16" s="331"/>
      <c r="JW16" s="331"/>
      <c r="JX16" s="331"/>
      <c r="JY16" s="331"/>
      <c r="JZ16" s="331"/>
      <c r="KA16" s="331"/>
      <c r="KB16" s="331"/>
      <c r="KC16" s="331"/>
      <c r="KD16" s="331"/>
      <c r="KE16" s="331"/>
      <c r="KF16" s="331"/>
      <c r="KG16" s="331"/>
      <c r="KH16" s="331"/>
      <c r="KI16" s="331"/>
      <c r="KJ16" s="331"/>
      <c r="KK16" s="331"/>
      <c r="KL16" s="331"/>
      <c r="KM16" s="331"/>
      <c r="KN16" s="331"/>
      <c r="KO16" s="331"/>
      <c r="KP16" s="331"/>
      <c r="KQ16" s="331"/>
      <c r="KR16" s="331"/>
      <c r="KS16" s="331"/>
      <c r="KT16" s="331"/>
      <c r="KU16" s="331"/>
      <c r="KV16" s="331"/>
      <c r="KW16" s="331"/>
      <c r="KX16" s="331"/>
      <c r="KY16" s="331"/>
      <c r="KZ16" s="331"/>
      <c r="LA16" s="331"/>
      <c r="LB16" s="331"/>
      <c r="LC16" s="331"/>
      <c r="LD16" s="331"/>
      <c r="LE16" s="331"/>
      <c r="LF16" s="331"/>
      <c r="LG16" s="331"/>
      <c r="LH16" s="331"/>
      <c r="LI16" s="331"/>
      <c r="LJ16" s="331"/>
      <c r="LK16" s="331"/>
      <c r="LL16" s="331"/>
      <c r="LM16" s="331"/>
      <c r="LN16" s="331"/>
      <c r="LO16" s="331"/>
      <c r="LP16" s="331"/>
      <c r="LQ16" s="331"/>
      <c r="LR16" s="331"/>
      <c r="LS16" s="331"/>
      <c r="LT16" s="331"/>
      <c r="LU16" s="331"/>
      <c r="LV16" s="331"/>
      <c r="LW16" s="331"/>
      <c r="LX16" s="331"/>
      <c r="LY16" s="331"/>
      <c r="LZ16" s="331"/>
      <c r="MA16" s="331"/>
      <c r="MB16" s="331"/>
      <c r="MC16" s="331"/>
      <c r="MD16" s="331"/>
      <c r="ME16" s="331"/>
      <c r="MF16" s="331"/>
      <c r="MG16" s="331"/>
      <c r="MH16" s="331"/>
      <c r="MI16" s="331"/>
      <c r="MJ16" s="331"/>
      <c r="MK16" s="331"/>
      <c r="ML16" s="331"/>
      <c r="MM16" s="331"/>
      <c r="MN16" s="331"/>
      <c r="MO16" s="331"/>
      <c r="MP16" s="331"/>
      <c r="MQ16" s="331"/>
      <c r="MR16" s="331"/>
      <c r="MS16" s="331"/>
      <c r="MT16" s="331"/>
      <c r="MU16" s="331"/>
      <c r="MV16" s="331"/>
      <c r="MW16" s="331"/>
      <c r="MX16" s="331"/>
      <c r="MY16" s="331"/>
      <c r="MZ16" s="331"/>
      <c r="NA16" s="331"/>
      <c r="NB16" s="331"/>
      <c r="NC16" s="331"/>
      <c r="ND16" s="331"/>
      <c r="NE16" s="331"/>
      <c r="NF16" s="331"/>
      <c r="NG16" s="331"/>
      <c r="NH16" s="331"/>
      <c r="NI16" s="331"/>
      <c r="NJ16" s="331"/>
      <c r="NK16" s="331"/>
      <c r="NL16" s="331"/>
      <c r="NM16" s="331"/>
      <c r="NN16" s="331"/>
      <c r="NO16" s="331"/>
      <c r="NP16" s="331"/>
      <c r="NQ16" s="331"/>
      <c r="NR16" s="331"/>
      <c r="NS16" s="331"/>
      <c r="NT16" s="331"/>
      <c r="NU16" s="331"/>
      <c r="NV16" s="331"/>
      <c r="NW16" s="331"/>
      <c r="NX16" s="331"/>
      <c r="NY16" s="331"/>
      <c r="NZ16" s="331"/>
      <c r="OA16" s="331"/>
      <c r="OB16" s="331"/>
      <c r="OC16" s="331"/>
      <c r="OD16" s="331"/>
      <c r="OE16" s="331"/>
      <c r="OF16" s="331"/>
      <c r="OG16" s="331"/>
      <c r="OH16" s="331"/>
      <c r="OI16" s="331"/>
      <c r="OJ16" s="331"/>
      <c r="OK16" s="331"/>
      <c r="OL16" s="332">
        <f t="shared" si="0"/>
        <v>5430.4200000000028</v>
      </c>
    </row>
    <row r="17" spans="1:402" ht="12.75" customHeight="1" thickBot="1">
      <c r="A17" s="320" t="s">
        <v>404</v>
      </c>
      <c r="B17" s="320" t="s">
        <v>405</v>
      </c>
      <c r="C17" s="320" t="s">
        <v>406</v>
      </c>
      <c r="D17" s="328" t="s">
        <v>421</v>
      </c>
      <c r="E17" s="329">
        <v>0</v>
      </c>
      <c r="F17" s="329">
        <v>0</v>
      </c>
      <c r="G17" s="329">
        <v>0</v>
      </c>
      <c r="H17" s="329">
        <v>0</v>
      </c>
      <c r="I17" s="329">
        <v>0</v>
      </c>
      <c r="J17" s="329">
        <v>0</v>
      </c>
      <c r="K17" s="329">
        <v>0</v>
      </c>
      <c r="L17" s="329">
        <v>0</v>
      </c>
      <c r="M17" s="329">
        <v>0</v>
      </c>
      <c r="N17" s="329">
        <v>0</v>
      </c>
      <c r="O17" s="329">
        <v>0</v>
      </c>
      <c r="P17" s="329">
        <v>0</v>
      </c>
      <c r="Q17" s="329">
        <v>0</v>
      </c>
      <c r="R17" s="329">
        <v>0</v>
      </c>
      <c r="S17" s="329">
        <v>0</v>
      </c>
      <c r="T17" s="329">
        <v>0</v>
      </c>
      <c r="U17" s="329">
        <v>0</v>
      </c>
      <c r="V17" s="329">
        <v>0</v>
      </c>
      <c r="W17" s="329">
        <v>0</v>
      </c>
      <c r="X17" s="329">
        <v>0</v>
      </c>
      <c r="Y17" s="329">
        <v>0</v>
      </c>
      <c r="Z17" s="329">
        <v>0</v>
      </c>
      <c r="AA17" s="329">
        <v>0</v>
      </c>
      <c r="AB17" s="329">
        <v>0</v>
      </c>
      <c r="AC17" s="329">
        <v>0</v>
      </c>
      <c r="AD17" s="329">
        <v>0</v>
      </c>
      <c r="AE17" s="329">
        <v>0</v>
      </c>
      <c r="AF17" s="329">
        <v>0</v>
      </c>
      <c r="AG17" s="329">
        <v>0</v>
      </c>
      <c r="AH17" s="329">
        <v>0</v>
      </c>
      <c r="AI17" s="329">
        <v>0</v>
      </c>
      <c r="AJ17" s="329">
        <v>0</v>
      </c>
      <c r="AK17" s="329">
        <v>0</v>
      </c>
      <c r="AL17" s="329">
        <v>0</v>
      </c>
      <c r="AM17" s="329">
        <v>0</v>
      </c>
      <c r="AN17" s="329">
        <v>0</v>
      </c>
      <c r="AO17" s="330">
        <v>8163.18</v>
      </c>
      <c r="AP17" s="330">
        <v>9630.18</v>
      </c>
      <c r="AQ17" s="330">
        <v>9808.81</v>
      </c>
      <c r="AR17" s="330">
        <v>10003.620000000001</v>
      </c>
      <c r="AS17" s="330">
        <v>8497.41</v>
      </c>
      <c r="AT17" s="330">
        <v>9980.2800000000007</v>
      </c>
      <c r="AU17" s="330">
        <v>8379.7800000000007</v>
      </c>
      <c r="AV17" s="330">
        <v>8528.2199999999993</v>
      </c>
      <c r="AW17" s="330">
        <v>10204.030000000001</v>
      </c>
      <c r="AX17" s="330">
        <v>8189.94</v>
      </c>
      <c r="AY17" s="330">
        <v>9749.68</v>
      </c>
      <c r="AZ17" s="330">
        <v>9804.76</v>
      </c>
      <c r="BA17" s="329">
        <v>0</v>
      </c>
      <c r="BB17" s="329">
        <v>0</v>
      </c>
      <c r="BC17" s="329">
        <v>0</v>
      </c>
      <c r="BD17" s="329">
        <v>0</v>
      </c>
      <c r="BE17" s="329">
        <v>0</v>
      </c>
      <c r="BF17" s="329">
        <v>0</v>
      </c>
      <c r="BG17" s="329">
        <v>0</v>
      </c>
      <c r="BH17" s="329">
        <v>0</v>
      </c>
      <c r="BI17" s="329">
        <v>0</v>
      </c>
      <c r="BJ17" s="329">
        <v>0</v>
      </c>
      <c r="BK17" s="329">
        <v>0</v>
      </c>
      <c r="BL17" s="329">
        <v>0</v>
      </c>
      <c r="BM17" s="331"/>
      <c r="BN17" s="331"/>
      <c r="BO17" s="331"/>
      <c r="BP17" s="331"/>
      <c r="BQ17" s="331"/>
      <c r="BR17" s="331"/>
      <c r="BS17" s="331"/>
      <c r="BT17" s="331"/>
      <c r="BU17" s="331"/>
      <c r="BV17" s="331"/>
      <c r="BW17" s="331"/>
      <c r="BX17" s="331"/>
      <c r="BY17" s="329">
        <v>0</v>
      </c>
      <c r="BZ17" s="329">
        <v>0</v>
      </c>
      <c r="CA17" s="329">
        <v>0</v>
      </c>
      <c r="CB17" s="329">
        <v>0</v>
      </c>
      <c r="CC17" s="329">
        <v>0</v>
      </c>
      <c r="CD17" s="329">
        <v>0</v>
      </c>
      <c r="CE17" s="329">
        <v>0</v>
      </c>
      <c r="CF17" s="329">
        <v>0</v>
      </c>
      <c r="CG17" s="329">
        <v>0</v>
      </c>
      <c r="CH17" s="329">
        <v>0</v>
      </c>
      <c r="CI17" s="329">
        <v>0</v>
      </c>
      <c r="CJ17" s="329">
        <v>0</v>
      </c>
      <c r="CK17" s="329">
        <v>0</v>
      </c>
      <c r="CL17" s="329">
        <v>0</v>
      </c>
      <c r="CM17" s="329">
        <v>0</v>
      </c>
      <c r="CN17" s="329">
        <v>0</v>
      </c>
      <c r="CO17" s="329">
        <v>0</v>
      </c>
      <c r="CP17" s="329">
        <v>0</v>
      </c>
      <c r="CQ17" s="329">
        <v>0</v>
      </c>
      <c r="CR17" s="329">
        <v>0</v>
      </c>
      <c r="CS17" s="329">
        <v>0</v>
      </c>
      <c r="CT17" s="329">
        <v>0</v>
      </c>
      <c r="CU17" s="329">
        <v>0</v>
      </c>
      <c r="CV17" s="329">
        <v>0</v>
      </c>
      <c r="CW17" s="329">
        <v>0</v>
      </c>
      <c r="CX17" s="329">
        <v>0</v>
      </c>
      <c r="CY17" s="329">
        <v>0</v>
      </c>
      <c r="CZ17" s="329">
        <v>0</v>
      </c>
      <c r="DA17" s="329">
        <v>0</v>
      </c>
      <c r="DB17" s="329">
        <v>0</v>
      </c>
      <c r="DC17" s="329">
        <v>0</v>
      </c>
      <c r="DD17" s="329">
        <v>0</v>
      </c>
      <c r="DE17" s="329">
        <v>0</v>
      </c>
      <c r="DF17" s="329">
        <v>0</v>
      </c>
      <c r="DG17" s="329">
        <v>0</v>
      </c>
      <c r="DH17" s="329">
        <v>0</v>
      </c>
      <c r="DI17" s="331"/>
      <c r="DJ17" s="331"/>
      <c r="DK17" s="331"/>
      <c r="DL17" s="331"/>
      <c r="DM17" s="331"/>
      <c r="DN17" s="331"/>
      <c r="DO17" s="331"/>
      <c r="DP17" s="331"/>
      <c r="DQ17" s="331"/>
      <c r="DR17" s="331"/>
      <c r="DS17" s="331"/>
      <c r="DT17" s="331"/>
      <c r="DU17" s="330">
        <v>112.44</v>
      </c>
      <c r="DV17" s="330">
        <v>132.99</v>
      </c>
      <c r="DW17" s="330">
        <v>135.49</v>
      </c>
      <c r="DX17" s="330">
        <v>138.22</v>
      </c>
      <c r="DY17" s="330">
        <v>117.12</v>
      </c>
      <c r="DZ17" s="330">
        <v>137.88999999999999</v>
      </c>
      <c r="EA17" s="330">
        <v>115.47</v>
      </c>
      <c r="EB17" s="330">
        <v>117.55</v>
      </c>
      <c r="EC17" s="330">
        <v>141.02000000000001</v>
      </c>
      <c r="ED17" s="330">
        <v>112.82</v>
      </c>
      <c r="EE17" s="330">
        <v>134.66</v>
      </c>
      <c r="EF17" s="330">
        <v>135.43</v>
      </c>
      <c r="EG17" s="329">
        <v>0</v>
      </c>
      <c r="EH17" s="329">
        <v>0</v>
      </c>
      <c r="EI17" s="329">
        <v>0</v>
      </c>
      <c r="EJ17" s="329">
        <v>0</v>
      </c>
      <c r="EK17" s="329">
        <v>0</v>
      </c>
      <c r="EL17" s="329">
        <v>0</v>
      </c>
      <c r="EM17" s="329">
        <v>0</v>
      </c>
      <c r="EN17" s="329">
        <v>0</v>
      </c>
      <c r="EO17" s="329">
        <v>0</v>
      </c>
      <c r="EP17" s="329">
        <v>0</v>
      </c>
      <c r="EQ17" s="329">
        <v>0</v>
      </c>
      <c r="ER17" s="329">
        <v>0</v>
      </c>
      <c r="ES17" s="331"/>
      <c r="ET17" s="331"/>
      <c r="EU17" s="331"/>
      <c r="EV17" s="331"/>
      <c r="EW17" s="331"/>
      <c r="EX17" s="331"/>
      <c r="EY17" s="331"/>
      <c r="EZ17" s="331"/>
      <c r="FA17" s="331"/>
      <c r="FB17" s="331"/>
      <c r="FC17" s="331"/>
      <c r="FD17" s="331"/>
      <c r="FE17" s="329">
        <v>0</v>
      </c>
      <c r="FF17" s="329">
        <v>0</v>
      </c>
      <c r="FG17" s="329">
        <v>0</v>
      </c>
      <c r="FH17" s="329">
        <v>0</v>
      </c>
      <c r="FI17" s="329">
        <v>0</v>
      </c>
      <c r="FJ17" s="329">
        <v>0</v>
      </c>
      <c r="FK17" s="329">
        <v>0</v>
      </c>
      <c r="FL17" s="329">
        <v>0</v>
      </c>
      <c r="FM17" s="329">
        <v>0</v>
      </c>
      <c r="FN17" s="329">
        <v>0</v>
      </c>
      <c r="FO17" s="329">
        <v>0</v>
      </c>
      <c r="FP17" s="329">
        <v>0</v>
      </c>
      <c r="FQ17" s="329">
        <v>0</v>
      </c>
      <c r="FR17" s="329">
        <v>0</v>
      </c>
      <c r="FS17" s="329">
        <v>0</v>
      </c>
      <c r="FT17" s="329">
        <v>0</v>
      </c>
      <c r="FU17" s="329">
        <v>0</v>
      </c>
      <c r="FV17" s="329">
        <v>0</v>
      </c>
      <c r="FW17" s="329">
        <v>0</v>
      </c>
      <c r="FX17" s="329">
        <v>0</v>
      </c>
      <c r="FY17" s="329">
        <v>0</v>
      </c>
      <c r="FZ17" s="329">
        <v>0</v>
      </c>
      <c r="GA17" s="329">
        <v>0</v>
      </c>
      <c r="GB17" s="329">
        <v>0</v>
      </c>
      <c r="GC17" s="330">
        <v>11045.24</v>
      </c>
      <c r="GD17" s="330">
        <v>11305.18</v>
      </c>
      <c r="GE17" s="330">
        <v>11336.83</v>
      </c>
      <c r="GF17" s="330">
        <v>13122.99</v>
      </c>
      <c r="GG17" s="330">
        <v>12856.1</v>
      </c>
      <c r="GH17" s="330">
        <v>11947.42</v>
      </c>
      <c r="GI17" s="330">
        <v>11663.83</v>
      </c>
      <c r="GJ17" s="330">
        <v>11690.13</v>
      </c>
      <c r="GK17" s="330">
        <v>11987.07</v>
      </c>
      <c r="GL17" s="330">
        <v>11630.19</v>
      </c>
      <c r="GM17" s="330">
        <v>11906.56</v>
      </c>
      <c r="GN17" s="330">
        <v>12088.17</v>
      </c>
      <c r="GO17" s="331"/>
      <c r="GP17" s="331"/>
      <c r="GQ17" s="331"/>
      <c r="GR17" s="331"/>
      <c r="GS17" s="331"/>
      <c r="GT17" s="331"/>
      <c r="GU17" s="331"/>
      <c r="GV17" s="331"/>
      <c r="GW17" s="331"/>
      <c r="GX17" s="331"/>
      <c r="GY17" s="331"/>
      <c r="GZ17" s="331"/>
      <c r="HA17" s="330">
        <v>115.67</v>
      </c>
      <c r="HB17" s="330">
        <v>222.16</v>
      </c>
      <c r="HC17" s="330">
        <v>113.83</v>
      </c>
      <c r="HD17" s="330">
        <v>470.02</v>
      </c>
      <c r="HE17" s="330">
        <v>280.91000000000003</v>
      </c>
      <c r="HF17" s="330">
        <v>590.86</v>
      </c>
      <c r="HG17" s="330">
        <v>655.08000000000004</v>
      </c>
      <c r="HH17" s="330">
        <v>401.4</v>
      </c>
      <c r="HI17" s="330">
        <v>401.4</v>
      </c>
      <c r="HJ17" s="330">
        <v>224.78</v>
      </c>
      <c r="HK17" s="329">
        <v>517</v>
      </c>
      <c r="HL17" s="330">
        <v>542.69000000000005</v>
      </c>
      <c r="HM17" s="331"/>
      <c r="HN17" s="331"/>
      <c r="HO17" s="331"/>
      <c r="HP17" s="331"/>
      <c r="HQ17" s="331"/>
      <c r="HR17" s="331"/>
      <c r="HS17" s="331"/>
      <c r="HT17" s="331"/>
      <c r="HU17" s="331"/>
      <c r="HV17" s="331"/>
      <c r="HW17" s="331"/>
      <c r="HX17" s="331"/>
      <c r="HY17" s="329">
        <v>0</v>
      </c>
      <c r="HZ17" s="329">
        <v>0</v>
      </c>
      <c r="IA17" s="329">
        <v>0</v>
      </c>
      <c r="IB17" s="329">
        <v>0</v>
      </c>
      <c r="IC17" s="329">
        <v>0</v>
      </c>
      <c r="ID17" s="329">
        <v>0</v>
      </c>
      <c r="IE17" s="329">
        <v>0</v>
      </c>
      <c r="IF17" s="329">
        <v>0</v>
      </c>
      <c r="IG17" s="329">
        <v>0</v>
      </c>
      <c r="IH17" s="329">
        <v>0</v>
      </c>
      <c r="II17" s="329">
        <v>0</v>
      </c>
      <c r="IJ17" s="329">
        <v>0</v>
      </c>
      <c r="IK17" s="331"/>
      <c r="IL17" s="331"/>
      <c r="IM17" s="331"/>
      <c r="IN17" s="331"/>
      <c r="IO17" s="331"/>
      <c r="IP17" s="331"/>
      <c r="IQ17" s="331"/>
      <c r="IR17" s="331"/>
      <c r="IS17" s="331"/>
      <c r="IT17" s="331"/>
      <c r="IU17" s="331"/>
      <c r="IV17" s="331"/>
      <c r="IW17" s="331"/>
      <c r="IX17" s="331"/>
      <c r="IY17" s="331"/>
      <c r="IZ17" s="331"/>
      <c r="JA17" s="331"/>
      <c r="JB17" s="331"/>
      <c r="JC17" s="331"/>
      <c r="JD17" s="331"/>
      <c r="JE17" s="331"/>
      <c r="JF17" s="331"/>
      <c r="JG17" s="331"/>
      <c r="JH17" s="331"/>
      <c r="JI17" s="330">
        <v>369.48</v>
      </c>
      <c r="JJ17" s="331"/>
      <c r="JK17" s="331"/>
      <c r="JL17" s="331"/>
      <c r="JM17" s="331"/>
      <c r="JN17" s="331"/>
      <c r="JO17" s="331"/>
      <c r="JP17" s="331"/>
      <c r="JQ17" s="331"/>
      <c r="JR17" s="331"/>
      <c r="JS17" s="331"/>
      <c r="JT17" s="331"/>
      <c r="JU17" s="331"/>
      <c r="JV17" s="331"/>
      <c r="JW17" s="331"/>
      <c r="JX17" s="331"/>
      <c r="JY17" s="331"/>
      <c r="JZ17" s="331"/>
      <c r="KA17" s="331"/>
      <c r="KB17" s="331"/>
      <c r="KC17" s="331"/>
      <c r="KD17" s="331"/>
      <c r="KE17" s="331"/>
      <c r="KF17" s="331"/>
      <c r="KG17" s="331"/>
      <c r="KH17" s="331"/>
      <c r="KI17" s="331"/>
      <c r="KJ17" s="331"/>
      <c r="KK17" s="331"/>
      <c r="KL17" s="331"/>
      <c r="KM17" s="331"/>
      <c r="KN17" s="331"/>
      <c r="KO17" s="331"/>
      <c r="KP17" s="331"/>
      <c r="KQ17" s="331"/>
      <c r="KR17" s="331"/>
      <c r="KS17" s="331"/>
      <c r="KT17" s="331"/>
      <c r="KU17" s="331"/>
      <c r="KV17" s="331"/>
      <c r="KW17" s="331"/>
      <c r="KX17" s="331"/>
      <c r="KY17" s="331"/>
      <c r="KZ17" s="331"/>
      <c r="LA17" s="331"/>
      <c r="LB17" s="331"/>
      <c r="LC17" s="331"/>
      <c r="LD17" s="331"/>
      <c r="LE17" s="331"/>
      <c r="LF17" s="331"/>
      <c r="LG17" s="331"/>
      <c r="LH17" s="331"/>
      <c r="LI17" s="331"/>
      <c r="LJ17" s="331"/>
      <c r="LK17" s="331"/>
      <c r="LL17" s="331"/>
      <c r="LM17" s="331"/>
      <c r="LN17" s="331"/>
      <c r="LO17" s="331"/>
      <c r="LP17" s="331"/>
      <c r="LQ17" s="331"/>
      <c r="LR17" s="331"/>
      <c r="LS17" s="331"/>
      <c r="LT17" s="331"/>
      <c r="LU17" s="331"/>
      <c r="LV17" s="331"/>
      <c r="LW17" s="331"/>
      <c r="LX17" s="331"/>
      <c r="LY17" s="331"/>
      <c r="LZ17" s="331"/>
      <c r="MA17" s="331"/>
      <c r="MB17" s="331"/>
      <c r="MC17" s="331"/>
      <c r="MD17" s="331"/>
      <c r="ME17" s="331"/>
      <c r="MF17" s="331"/>
      <c r="MG17" s="331"/>
      <c r="MH17" s="331"/>
      <c r="MI17" s="331"/>
      <c r="MJ17" s="331"/>
      <c r="MK17" s="331"/>
      <c r="ML17" s="331"/>
      <c r="MM17" s="331"/>
      <c r="MN17" s="331"/>
      <c r="MO17" s="331"/>
      <c r="MP17" s="331"/>
      <c r="MQ17" s="331"/>
      <c r="MR17" s="331"/>
      <c r="MS17" s="331"/>
      <c r="MT17" s="331"/>
      <c r="MU17" s="331"/>
      <c r="MV17" s="331"/>
      <c r="MW17" s="331"/>
      <c r="MX17" s="331"/>
      <c r="MY17" s="331"/>
      <c r="MZ17" s="331"/>
      <c r="NA17" s="331"/>
      <c r="NB17" s="331"/>
      <c r="NC17" s="331"/>
      <c r="ND17" s="331"/>
      <c r="NE17" s="331"/>
      <c r="NF17" s="331"/>
      <c r="NG17" s="331"/>
      <c r="NH17" s="331"/>
      <c r="NI17" s="331"/>
      <c r="NJ17" s="331"/>
      <c r="NK17" s="331"/>
      <c r="NL17" s="331"/>
      <c r="NM17" s="331"/>
      <c r="NN17" s="331"/>
      <c r="NO17" s="331"/>
      <c r="NP17" s="331"/>
      <c r="NQ17" s="331"/>
      <c r="NR17" s="331"/>
      <c r="NS17" s="331"/>
      <c r="NT17" s="331"/>
      <c r="NU17" s="331"/>
      <c r="NV17" s="331"/>
      <c r="NW17" s="331"/>
      <c r="NX17" s="331"/>
      <c r="NY17" s="331"/>
      <c r="NZ17" s="331"/>
      <c r="OA17" s="331"/>
      <c r="OB17" s="331"/>
      <c r="OC17" s="331"/>
      <c r="OD17" s="331"/>
      <c r="OE17" s="331"/>
      <c r="OF17" s="331"/>
      <c r="OG17" s="331"/>
      <c r="OH17" s="331"/>
      <c r="OI17" s="331"/>
      <c r="OJ17" s="331"/>
      <c r="OK17" s="331"/>
      <c r="OL17" s="332">
        <f t="shared" si="0"/>
        <v>259955.98</v>
      </c>
    </row>
    <row r="18" spans="1:402" ht="12.75" customHeight="1" thickBot="1">
      <c r="A18" s="320" t="s">
        <v>404</v>
      </c>
      <c r="B18" s="320" t="s">
        <v>405</v>
      </c>
      <c r="C18" s="320" t="s">
        <v>406</v>
      </c>
      <c r="D18" s="328" t="s">
        <v>422</v>
      </c>
      <c r="E18" s="331"/>
      <c r="F18" s="329">
        <v>0</v>
      </c>
      <c r="G18" s="329">
        <v>0</v>
      </c>
      <c r="H18" s="329">
        <v>0</v>
      </c>
      <c r="I18" s="329">
        <v>0</v>
      </c>
      <c r="J18" s="331"/>
      <c r="K18" s="329">
        <v>0</v>
      </c>
      <c r="L18" s="329">
        <v>0</v>
      </c>
      <c r="M18" s="331"/>
      <c r="N18" s="329">
        <v>0</v>
      </c>
      <c r="O18" s="329">
        <v>0</v>
      </c>
      <c r="P18" s="329">
        <v>0</v>
      </c>
      <c r="Q18" s="331"/>
      <c r="R18" s="329">
        <v>0</v>
      </c>
      <c r="S18" s="329">
        <v>0</v>
      </c>
      <c r="T18" s="329">
        <v>0</v>
      </c>
      <c r="U18" s="329">
        <v>0</v>
      </c>
      <c r="V18" s="331"/>
      <c r="W18" s="329">
        <v>0</v>
      </c>
      <c r="X18" s="329">
        <v>0</v>
      </c>
      <c r="Y18" s="331"/>
      <c r="Z18" s="329">
        <v>0</v>
      </c>
      <c r="AA18" s="329">
        <v>0</v>
      </c>
      <c r="AB18" s="329">
        <v>0</v>
      </c>
      <c r="AC18" s="331"/>
      <c r="AD18" s="329">
        <v>0</v>
      </c>
      <c r="AE18" s="329">
        <v>0</v>
      </c>
      <c r="AF18" s="329">
        <v>0</v>
      </c>
      <c r="AG18" s="329">
        <v>0</v>
      </c>
      <c r="AH18" s="331"/>
      <c r="AI18" s="329">
        <v>0</v>
      </c>
      <c r="AJ18" s="329">
        <v>0</v>
      </c>
      <c r="AK18" s="331"/>
      <c r="AL18" s="329">
        <v>0</v>
      </c>
      <c r="AM18" s="329">
        <v>0</v>
      </c>
      <c r="AN18" s="329">
        <v>0</v>
      </c>
      <c r="AO18" s="331"/>
      <c r="AP18" s="330">
        <v>1070.31</v>
      </c>
      <c r="AQ18" s="329">
        <v>1812</v>
      </c>
      <c r="AR18" s="330">
        <v>899.15</v>
      </c>
      <c r="AS18" s="330">
        <v>910.98</v>
      </c>
      <c r="AT18" s="331"/>
      <c r="AU18" s="330">
        <v>899.15</v>
      </c>
      <c r="AV18" s="330">
        <v>2678.37</v>
      </c>
      <c r="AW18" s="331"/>
      <c r="AX18" s="330">
        <v>1637.94</v>
      </c>
      <c r="AY18" s="330">
        <v>1384.93</v>
      </c>
      <c r="AZ18" s="330">
        <v>1398.94</v>
      </c>
      <c r="BA18" s="331"/>
      <c r="BB18" s="329">
        <v>0</v>
      </c>
      <c r="BC18" s="329">
        <v>0</v>
      </c>
      <c r="BD18" s="329">
        <v>0</v>
      </c>
      <c r="BE18" s="329">
        <v>0</v>
      </c>
      <c r="BF18" s="331"/>
      <c r="BG18" s="329">
        <v>0</v>
      </c>
      <c r="BH18" s="329">
        <v>0</v>
      </c>
      <c r="BI18" s="331"/>
      <c r="BJ18" s="329">
        <v>0</v>
      </c>
      <c r="BK18" s="329">
        <v>0</v>
      </c>
      <c r="BL18" s="329">
        <v>0</v>
      </c>
      <c r="BM18" s="331"/>
      <c r="BN18" s="331"/>
      <c r="BO18" s="331"/>
      <c r="BP18" s="331"/>
      <c r="BQ18" s="331"/>
      <c r="BR18" s="331"/>
      <c r="BS18" s="331"/>
      <c r="BT18" s="331"/>
      <c r="BU18" s="331"/>
      <c r="BV18" s="331"/>
      <c r="BW18" s="331"/>
      <c r="BX18" s="331"/>
      <c r="BY18" s="331"/>
      <c r="BZ18" s="329">
        <v>0</v>
      </c>
      <c r="CA18" s="329">
        <v>0</v>
      </c>
      <c r="CB18" s="329">
        <v>0</v>
      </c>
      <c r="CC18" s="329">
        <v>0</v>
      </c>
      <c r="CD18" s="331"/>
      <c r="CE18" s="329">
        <v>0</v>
      </c>
      <c r="CF18" s="329">
        <v>0</v>
      </c>
      <c r="CG18" s="331"/>
      <c r="CH18" s="329">
        <v>0</v>
      </c>
      <c r="CI18" s="329">
        <v>0</v>
      </c>
      <c r="CJ18" s="329">
        <v>0</v>
      </c>
      <c r="CK18" s="331"/>
      <c r="CL18" s="329">
        <v>0</v>
      </c>
      <c r="CM18" s="329">
        <v>0</v>
      </c>
      <c r="CN18" s="329">
        <v>0</v>
      </c>
      <c r="CO18" s="329">
        <v>0</v>
      </c>
      <c r="CP18" s="331"/>
      <c r="CQ18" s="329">
        <v>0</v>
      </c>
      <c r="CR18" s="329">
        <v>0</v>
      </c>
      <c r="CS18" s="331"/>
      <c r="CT18" s="329">
        <v>0</v>
      </c>
      <c r="CU18" s="329">
        <v>0</v>
      </c>
      <c r="CV18" s="329">
        <v>0</v>
      </c>
      <c r="CW18" s="331"/>
      <c r="CX18" s="329">
        <v>0</v>
      </c>
      <c r="CY18" s="329">
        <v>0</v>
      </c>
      <c r="CZ18" s="329">
        <v>0</v>
      </c>
      <c r="DA18" s="329">
        <v>0</v>
      </c>
      <c r="DB18" s="331"/>
      <c r="DC18" s="329">
        <v>0</v>
      </c>
      <c r="DD18" s="329">
        <v>0</v>
      </c>
      <c r="DE18" s="331"/>
      <c r="DF18" s="329">
        <v>0</v>
      </c>
      <c r="DG18" s="329">
        <v>0</v>
      </c>
      <c r="DH18" s="329">
        <v>0</v>
      </c>
      <c r="DI18" s="331"/>
      <c r="DJ18" s="331"/>
      <c r="DK18" s="331"/>
      <c r="DL18" s="331"/>
      <c r="DM18" s="331"/>
      <c r="DN18" s="331"/>
      <c r="DO18" s="331"/>
      <c r="DP18" s="331"/>
      <c r="DQ18" s="331"/>
      <c r="DR18" s="331"/>
      <c r="DS18" s="331"/>
      <c r="DT18" s="331"/>
      <c r="DU18" s="331"/>
      <c r="DV18" s="330">
        <v>13.11</v>
      </c>
      <c r="DW18" s="330">
        <v>21.62</v>
      </c>
      <c r="DX18" s="330">
        <v>10.71</v>
      </c>
      <c r="DY18" s="330">
        <v>10.88</v>
      </c>
      <c r="DZ18" s="331"/>
      <c r="EA18" s="330">
        <v>10.71</v>
      </c>
      <c r="EB18" s="330">
        <v>33.75</v>
      </c>
      <c r="EC18" s="331"/>
      <c r="ED18" s="330">
        <v>21.06</v>
      </c>
      <c r="EE18" s="330">
        <v>17.52</v>
      </c>
      <c r="EF18" s="330">
        <v>17.71</v>
      </c>
      <c r="EG18" s="331"/>
      <c r="EH18" s="329">
        <v>0</v>
      </c>
      <c r="EI18" s="329">
        <v>0</v>
      </c>
      <c r="EJ18" s="329">
        <v>0</v>
      </c>
      <c r="EK18" s="329">
        <v>0</v>
      </c>
      <c r="EL18" s="331"/>
      <c r="EM18" s="329">
        <v>0</v>
      </c>
      <c r="EN18" s="329">
        <v>0</v>
      </c>
      <c r="EO18" s="331"/>
      <c r="EP18" s="329">
        <v>0</v>
      </c>
      <c r="EQ18" s="329">
        <v>0</v>
      </c>
      <c r="ER18" s="329">
        <v>0</v>
      </c>
      <c r="ES18" s="331"/>
      <c r="ET18" s="331"/>
      <c r="EU18" s="331"/>
      <c r="EV18" s="331"/>
      <c r="EW18" s="331"/>
      <c r="EX18" s="331"/>
      <c r="EY18" s="331"/>
      <c r="EZ18" s="331"/>
      <c r="FA18" s="331"/>
      <c r="FB18" s="331"/>
      <c r="FC18" s="331"/>
      <c r="FD18" s="331"/>
      <c r="FE18" s="331"/>
      <c r="FF18" s="329">
        <v>0</v>
      </c>
      <c r="FG18" s="329">
        <v>0</v>
      </c>
      <c r="FH18" s="329">
        <v>0</v>
      </c>
      <c r="FI18" s="329">
        <v>0</v>
      </c>
      <c r="FJ18" s="331"/>
      <c r="FK18" s="329">
        <v>0</v>
      </c>
      <c r="FL18" s="329">
        <v>0</v>
      </c>
      <c r="FM18" s="331"/>
      <c r="FN18" s="329">
        <v>0</v>
      </c>
      <c r="FO18" s="329">
        <v>0</v>
      </c>
      <c r="FP18" s="329">
        <v>0</v>
      </c>
      <c r="FQ18" s="331"/>
      <c r="FR18" s="329">
        <v>0</v>
      </c>
      <c r="FS18" s="329">
        <v>0</v>
      </c>
      <c r="FT18" s="329">
        <v>0</v>
      </c>
      <c r="FU18" s="329">
        <v>0</v>
      </c>
      <c r="FV18" s="331"/>
      <c r="FW18" s="329">
        <v>0</v>
      </c>
      <c r="FX18" s="329">
        <v>0</v>
      </c>
      <c r="FY18" s="331"/>
      <c r="FZ18" s="329">
        <v>0</v>
      </c>
      <c r="GA18" s="329">
        <v>0</v>
      </c>
      <c r="GB18" s="329">
        <v>0</v>
      </c>
      <c r="GC18" s="331"/>
      <c r="GD18" s="329">
        <v>274</v>
      </c>
      <c r="GE18" s="330">
        <v>489.76</v>
      </c>
      <c r="GF18" s="330">
        <v>730.24</v>
      </c>
      <c r="GG18" s="330">
        <v>732.33</v>
      </c>
      <c r="GH18" s="331"/>
      <c r="GI18" s="330">
        <v>668.99</v>
      </c>
      <c r="GJ18" s="330">
        <v>1493.92</v>
      </c>
      <c r="GK18" s="331"/>
      <c r="GL18" s="330">
        <v>799.9</v>
      </c>
      <c r="GM18" s="330">
        <v>755.07</v>
      </c>
      <c r="GN18" s="330">
        <v>757.55</v>
      </c>
      <c r="GO18" s="331"/>
      <c r="GP18" s="331"/>
      <c r="GQ18" s="331"/>
      <c r="GR18" s="331"/>
      <c r="GS18" s="331"/>
      <c r="GT18" s="331"/>
      <c r="GU18" s="331"/>
      <c r="GV18" s="331"/>
      <c r="GW18" s="331"/>
      <c r="GX18" s="331"/>
      <c r="GY18" s="331"/>
      <c r="GZ18" s="331"/>
      <c r="HA18" s="331"/>
      <c r="HB18" s="330">
        <v>7.14</v>
      </c>
      <c r="HC18" s="330">
        <v>10.199999999999999</v>
      </c>
      <c r="HD18" s="330">
        <v>7.14</v>
      </c>
      <c r="HE18" s="330">
        <v>5.0999999999999996</v>
      </c>
      <c r="HF18" s="331"/>
      <c r="HG18" s="330">
        <v>7.14</v>
      </c>
      <c r="HH18" s="330">
        <v>76.72</v>
      </c>
      <c r="HI18" s="331"/>
      <c r="HJ18" s="330">
        <v>14.27</v>
      </c>
      <c r="HK18" s="330">
        <v>10.7</v>
      </c>
      <c r="HL18" s="330">
        <v>19.62</v>
      </c>
      <c r="HM18" s="331"/>
      <c r="HN18" s="331"/>
      <c r="HO18" s="331"/>
      <c r="HP18" s="331"/>
      <c r="HQ18" s="331"/>
      <c r="HR18" s="331"/>
      <c r="HS18" s="331"/>
      <c r="HT18" s="331"/>
      <c r="HU18" s="331"/>
      <c r="HV18" s="331"/>
      <c r="HW18" s="331"/>
      <c r="HX18" s="331"/>
      <c r="HY18" s="331"/>
      <c r="HZ18" s="329">
        <v>0</v>
      </c>
      <c r="IA18" s="329">
        <v>0</v>
      </c>
      <c r="IB18" s="329">
        <v>0</v>
      </c>
      <c r="IC18" s="329">
        <v>0</v>
      </c>
      <c r="ID18" s="331"/>
      <c r="IE18" s="329">
        <v>0</v>
      </c>
      <c r="IF18" s="329">
        <v>0</v>
      </c>
      <c r="IG18" s="331"/>
      <c r="IH18" s="329">
        <v>0</v>
      </c>
      <c r="II18" s="329">
        <v>0</v>
      </c>
      <c r="IJ18" s="329">
        <v>0</v>
      </c>
      <c r="IK18" s="331"/>
      <c r="IL18" s="331"/>
      <c r="IM18" s="331"/>
      <c r="IN18" s="331"/>
      <c r="IO18" s="331"/>
      <c r="IP18" s="331"/>
      <c r="IQ18" s="331"/>
      <c r="IR18" s="331"/>
      <c r="IS18" s="331"/>
      <c r="IT18" s="331"/>
      <c r="IU18" s="331"/>
      <c r="IV18" s="331"/>
      <c r="IW18" s="331"/>
      <c r="IX18" s="331"/>
      <c r="IY18" s="331"/>
      <c r="IZ18" s="331"/>
      <c r="JA18" s="331"/>
      <c r="JB18" s="331"/>
      <c r="JC18" s="331"/>
      <c r="JD18" s="331"/>
      <c r="JE18" s="331"/>
      <c r="JF18" s="331"/>
      <c r="JG18" s="331"/>
      <c r="JH18" s="331"/>
      <c r="JI18" s="331"/>
      <c r="JJ18" s="331"/>
      <c r="JK18" s="331"/>
      <c r="JL18" s="331"/>
      <c r="JM18" s="331"/>
      <c r="JN18" s="331"/>
      <c r="JO18" s="331"/>
      <c r="JP18" s="331"/>
      <c r="JQ18" s="331"/>
      <c r="JR18" s="331"/>
      <c r="JS18" s="331"/>
      <c r="JT18" s="331"/>
      <c r="JU18" s="331"/>
      <c r="JV18" s="331"/>
      <c r="JW18" s="331"/>
      <c r="JX18" s="331"/>
      <c r="JY18" s="331"/>
      <c r="JZ18" s="331"/>
      <c r="KA18" s="331"/>
      <c r="KB18" s="331"/>
      <c r="KC18" s="331"/>
      <c r="KD18" s="331"/>
      <c r="KE18" s="331"/>
      <c r="KF18" s="331"/>
      <c r="KG18" s="331"/>
      <c r="KH18" s="331"/>
      <c r="KI18" s="331"/>
      <c r="KJ18" s="331"/>
      <c r="KK18" s="331"/>
      <c r="KL18" s="331"/>
      <c r="KM18" s="331"/>
      <c r="KN18" s="331"/>
      <c r="KO18" s="331"/>
      <c r="KP18" s="331"/>
      <c r="KQ18" s="331"/>
      <c r="KR18" s="331"/>
      <c r="KS18" s="331"/>
      <c r="KT18" s="331"/>
      <c r="KU18" s="331"/>
      <c r="KV18" s="331"/>
      <c r="KW18" s="331"/>
      <c r="KX18" s="331"/>
      <c r="KY18" s="331"/>
      <c r="KZ18" s="331"/>
      <c r="LA18" s="331"/>
      <c r="LB18" s="331"/>
      <c r="LC18" s="331"/>
      <c r="LD18" s="331"/>
      <c r="LE18" s="331"/>
      <c r="LF18" s="331"/>
      <c r="LG18" s="331"/>
      <c r="LH18" s="331"/>
      <c r="LI18" s="331"/>
      <c r="LJ18" s="331"/>
      <c r="LK18" s="331"/>
      <c r="LL18" s="331"/>
      <c r="LM18" s="331"/>
      <c r="LN18" s="331"/>
      <c r="LO18" s="331"/>
      <c r="LP18" s="331"/>
      <c r="LQ18" s="331"/>
      <c r="LR18" s="331"/>
      <c r="LS18" s="331"/>
      <c r="LT18" s="331"/>
      <c r="LU18" s="331"/>
      <c r="LV18" s="331"/>
      <c r="LW18" s="331"/>
      <c r="LX18" s="331"/>
      <c r="LY18" s="331"/>
      <c r="LZ18" s="331"/>
      <c r="MA18" s="331"/>
      <c r="MB18" s="331"/>
      <c r="MC18" s="331"/>
      <c r="MD18" s="331"/>
      <c r="ME18" s="331"/>
      <c r="MF18" s="331"/>
      <c r="MG18" s="331"/>
      <c r="MH18" s="331"/>
      <c r="MI18" s="331"/>
      <c r="MJ18" s="331"/>
      <c r="MK18" s="331"/>
      <c r="ML18" s="331"/>
      <c r="MM18" s="331"/>
      <c r="MN18" s="331"/>
      <c r="MO18" s="331"/>
      <c r="MP18" s="331"/>
      <c r="MQ18" s="331"/>
      <c r="MR18" s="331"/>
      <c r="MS18" s="331"/>
      <c r="MT18" s="331"/>
      <c r="MU18" s="331"/>
      <c r="MV18" s="331"/>
      <c r="MW18" s="331"/>
      <c r="MX18" s="331"/>
      <c r="MY18" s="331"/>
      <c r="MZ18" s="331"/>
      <c r="NA18" s="331"/>
      <c r="NB18" s="331"/>
      <c r="NC18" s="331"/>
      <c r="ND18" s="331"/>
      <c r="NE18" s="331"/>
      <c r="NF18" s="331"/>
      <c r="NG18" s="331"/>
      <c r="NH18" s="331"/>
      <c r="NI18" s="331"/>
      <c r="NJ18" s="331"/>
      <c r="NK18" s="331"/>
      <c r="NL18" s="331"/>
      <c r="NM18" s="331"/>
      <c r="NN18" s="331"/>
      <c r="NO18" s="331"/>
      <c r="NP18" s="331"/>
      <c r="NQ18" s="331"/>
      <c r="NR18" s="331"/>
      <c r="NS18" s="331"/>
      <c r="NT18" s="331"/>
      <c r="NU18" s="331"/>
      <c r="NV18" s="331"/>
      <c r="NW18" s="331"/>
      <c r="NX18" s="331"/>
      <c r="NY18" s="331"/>
      <c r="NZ18" s="331"/>
      <c r="OA18" s="331"/>
      <c r="OB18" s="331"/>
      <c r="OC18" s="331"/>
      <c r="OD18" s="331"/>
      <c r="OE18" s="331"/>
      <c r="OF18" s="331"/>
      <c r="OG18" s="331"/>
      <c r="OH18" s="331"/>
      <c r="OI18" s="331"/>
      <c r="OJ18" s="331"/>
      <c r="OK18" s="331"/>
      <c r="OL18" s="332">
        <f t="shared" si="0"/>
        <v>19708.629999999997</v>
      </c>
    </row>
    <row r="19" spans="1:402" ht="12.75" customHeight="1" thickBot="1">
      <c r="A19" s="320" t="s">
        <v>404</v>
      </c>
      <c r="B19" s="320" t="s">
        <v>405</v>
      </c>
      <c r="C19" s="320" t="s">
        <v>406</v>
      </c>
      <c r="D19" s="328" t="s">
        <v>423</v>
      </c>
      <c r="E19" s="329">
        <v>0</v>
      </c>
      <c r="F19" s="329">
        <v>0</v>
      </c>
      <c r="G19" s="331"/>
      <c r="H19" s="329">
        <v>0</v>
      </c>
      <c r="I19" s="329">
        <v>0</v>
      </c>
      <c r="J19" s="329">
        <v>0</v>
      </c>
      <c r="K19" s="329">
        <v>0</v>
      </c>
      <c r="L19" s="331"/>
      <c r="M19" s="329">
        <v>0</v>
      </c>
      <c r="N19" s="329">
        <v>0</v>
      </c>
      <c r="O19" s="329">
        <v>0</v>
      </c>
      <c r="P19" s="329">
        <v>0</v>
      </c>
      <c r="Q19" s="329">
        <v>0</v>
      </c>
      <c r="R19" s="329">
        <v>0</v>
      </c>
      <c r="S19" s="331"/>
      <c r="T19" s="329">
        <v>0</v>
      </c>
      <c r="U19" s="329">
        <v>0</v>
      </c>
      <c r="V19" s="329">
        <v>0</v>
      </c>
      <c r="W19" s="329">
        <v>0</v>
      </c>
      <c r="X19" s="331"/>
      <c r="Y19" s="329">
        <v>0</v>
      </c>
      <c r="Z19" s="329">
        <v>0</v>
      </c>
      <c r="AA19" s="329">
        <v>0</v>
      </c>
      <c r="AB19" s="329">
        <v>0</v>
      </c>
      <c r="AC19" s="329">
        <v>0</v>
      </c>
      <c r="AD19" s="329">
        <v>0</v>
      </c>
      <c r="AE19" s="331"/>
      <c r="AF19" s="329">
        <v>0</v>
      </c>
      <c r="AG19" s="329">
        <v>0</v>
      </c>
      <c r="AH19" s="329">
        <v>0</v>
      </c>
      <c r="AI19" s="329">
        <v>0</v>
      </c>
      <c r="AJ19" s="331"/>
      <c r="AK19" s="329">
        <v>0</v>
      </c>
      <c r="AL19" s="329">
        <v>0</v>
      </c>
      <c r="AM19" s="329">
        <v>0</v>
      </c>
      <c r="AN19" s="329">
        <v>0</v>
      </c>
      <c r="AO19" s="330">
        <v>1725.7</v>
      </c>
      <c r="AP19" s="330">
        <v>1777.36</v>
      </c>
      <c r="AQ19" s="331"/>
      <c r="AR19" s="330">
        <v>3562.49</v>
      </c>
      <c r="AS19" s="330">
        <v>1761.48</v>
      </c>
      <c r="AT19" s="330">
        <v>1681.82</v>
      </c>
      <c r="AU19" s="330">
        <v>1685.24</v>
      </c>
      <c r="AV19" s="331"/>
      <c r="AW19" s="330">
        <v>3487.18</v>
      </c>
      <c r="AX19" s="330">
        <v>1749.35</v>
      </c>
      <c r="AY19" s="330">
        <v>1755.57</v>
      </c>
      <c r="AZ19" s="330">
        <v>1723.52</v>
      </c>
      <c r="BA19" s="329">
        <v>0</v>
      </c>
      <c r="BB19" s="329">
        <v>0</v>
      </c>
      <c r="BC19" s="331"/>
      <c r="BD19" s="329">
        <v>0</v>
      </c>
      <c r="BE19" s="329">
        <v>0</v>
      </c>
      <c r="BF19" s="329">
        <v>0</v>
      </c>
      <c r="BG19" s="329">
        <v>0</v>
      </c>
      <c r="BH19" s="331"/>
      <c r="BI19" s="329">
        <v>0</v>
      </c>
      <c r="BJ19" s="329">
        <v>0</v>
      </c>
      <c r="BK19" s="329">
        <v>0</v>
      </c>
      <c r="BL19" s="329">
        <v>0</v>
      </c>
      <c r="BM19" s="331"/>
      <c r="BN19" s="331"/>
      <c r="BO19" s="331"/>
      <c r="BP19" s="331"/>
      <c r="BQ19" s="331"/>
      <c r="BR19" s="331"/>
      <c r="BS19" s="331"/>
      <c r="BT19" s="331"/>
      <c r="BU19" s="331"/>
      <c r="BV19" s="331"/>
      <c r="BW19" s="331"/>
      <c r="BX19" s="331"/>
      <c r="BY19" s="329">
        <v>0</v>
      </c>
      <c r="BZ19" s="329">
        <v>0</v>
      </c>
      <c r="CA19" s="331"/>
      <c r="CB19" s="329">
        <v>0</v>
      </c>
      <c r="CC19" s="329">
        <v>0</v>
      </c>
      <c r="CD19" s="329">
        <v>0</v>
      </c>
      <c r="CE19" s="329">
        <v>0</v>
      </c>
      <c r="CF19" s="331"/>
      <c r="CG19" s="329">
        <v>0</v>
      </c>
      <c r="CH19" s="329">
        <v>0</v>
      </c>
      <c r="CI19" s="329">
        <v>0</v>
      </c>
      <c r="CJ19" s="329">
        <v>0</v>
      </c>
      <c r="CK19" s="329">
        <v>0</v>
      </c>
      <c r="CL19" s="329">
        <v>0</v>
      </c>
      <c r="CM19" s="331"/>
      <c r="CN19" s="329">
        <v>0</v>
      </c>
      <c r="CO19" s="329">
        <v>0</v>
      </c>
      <c r="CP19" s="329">
        <v>0</v>
      </c>
      <c r="CQ19" s="329">
        <v>0</v>
      </c>
      <c r="CR19" s="331"/>
      <c r="CS19" s="329">
        <v>0</v>
      </c>
      <c r="CT19" s="329">
        <v>0</v>
      </c>
      <c r="CU19" s="329">
        <v>0</v>
      </c>
      <c r="CV19" s="329">
        <v>0</v>
      </c>
      <c r="CW19" s="329">
        <v>0</v>
      </c>
      <c r="CX19" s="329">
        <v>0</v>
      </c>
      <c r="CY19" s="331"/>
      <c r="CZ19" s="329">
        <v>0</v>
      </c>
      <c r="DA19" s="329">
        <v>0</v>
      </c>
      <c r="DB19" s="329">
        <v>0</v>
      </c>
      <c r="DC19" s="329">
        <v>0</v>
      </c>
      <c r="DD19" s="331"/>
      <c r="DE19" s="329">
        <v>0</v>
      </c>
      <c r="DF19" s="329">
        <v>0</v>
      </c>
      <c r="DG19" s="329">
        <v>0</v>
      </c>
      <c r="DH19" s="329">
        <v>0</v>
      </c>
      <c r="DI19" s="331"/>
      <c r="DJ19" s="331"/>
      <c r="DK19" s="331"/>
      <c r="DL19" s="331"/>
      <c r="DM19" s="331"/>
      <c r="DN19" s="331"/>
      <c r="DO19" s="331"/>
      <c r="DP19" s="331"/>
      <c r="DQ19" s="331"/>
      <c r="DR19" s="331"/>
      <c r="DS19" s="331"/>
      <c r="DT19" s="331"/>
      <c r="DU19" s="330">
        <v>22.29</v>
      </c>
      <c r="DV19" s="330">
        <v>23.01</v>
      </c>
      <c r="DW19" s="331"/>
      <c r="DX19" s="330">
        <v>46.13</v>
      </c>
      <c r="DY19" s="330">
        <v>22.79</v>
      </c>
      <c r="DZ19" s="330">
        <v>21.67</v>
      </c>
      <c r="EA19" s="330">
        <v>21.72</v>
      </c>
      <c r="EB19" s="331"/>
      <c r="EC19" s="330">
        <v>45.08</v>
      </c>
      <c r="ED19" s="330">
        <v>22.62</v>
      </c>
      <c r="EE19" s="330">
        <v>22.71</v>
      </c>
      <c r="EF19" s="330">
        <v>22.26</v>
      </c>
      <c r="EG19" s="329">
        <v>0</v>
      </c>
      <c r="EH19" s="329">
        <v>0</v>
      </c>
      <c r="EI19" s="331"/>
      <c r="EJ19" s="329">
        <v>0</v>
      </c>
      <c r="EK19" s="329">
        <v>0</v>
      </c>
      <c r="EL19" s="329">
        <v>0</v>
      </c>
      <c r="EM19" s="329">
        <v>0</v>
      </c>
      <c r="EN19" s="331"/>
      <c r="EO19" s="329">
        <v>0</v>
      </c>
      <c r="EP19" s="329">
        <v>0</v>
      </c>
      <c r="EQ19" s="329">
        <v>0</v>
      </c>
      <c r="ER19" s="329">
        <v>0</v>
      </c>
      <c r="ES19" s="331"/>
      <c r="ET19" s="331"/>
      <c r="EU19" s="331"/>
      <c r="EV19" s="331"/>
      <c r="EW19" s="331"/>
      <c r="EX19" s="331"/>
      <c r="EY19" s="331"/>
      <c r="EZ19" s="331"/>
      <c r="FA19" s="331"/>
      <c r="FB19" s="331"/>
      <c r="FC19" s="331"/>
      <c r="FD19" s="331"/>
      <c r="FE19" s="329">
        <v>0</v>
      </c>
      <c r="FF19" s="329">
        <v>0</v>
      </c>
      <c r="FG19" s="331"/>
      <c r="FH19" s="329">
        <v>0</v>
      </c>
      <c r="FI19" s="329">
        <v>0</v>
      </c>
      <c r="FJ19" s="329">
        <v>0</v>
      </c>
      <c r="FK19" s="329">
        <v>0</v>
      </c>
      <c r="FL19" s="331"/>
      <c r="FM19" s="329">
        <v>0</v>
      </c>
      <c r="FN19" s="329">
        <v>0</v>
      </c>
      <c r="FO19" s="329">
        <v>0</v>
      </c>
      <c r="FP19" s="329">
        <v>0</v>
      </c>
      <c r="FQ19" s="329">
        <v>0</v>
      </c>
      <c r="FR19" s="329">
        <v>0</v>
      </c>
      <c r="FS19" s="331"/>
      <c r="FT19" s="329">
        <v>0</v>
      </c>
      <c r="FU19" s="329">
        <v>0</v>
      </c>
      <c r="FV19" s="329">
        <v>0</v>
      </c>
      <c r="FW19" s="329">
        <v>0</v>
      </c>
      <c r="FX19" s="331"/>
      <c r="FY19" s="329">
        <v>0</v>
      </c>
      <c r="FZ19" s="329">
        <v>0</v>
      </c>
      <c r="GA19" s="329">
        <v>0</v>
      </c>
      <c r="GB19" s="329">
        <v>0</v>
      </c>
      <c r="GC19" s="330">
        <v>2345.19</v>
      </c>
      <c r="GD19" s="330">
        <v>2354.34</v>
      </c>
      <c r="GE19" s="331"/>
      <c r="GF19" s="330">
        <v>5760.9</v>
      </c>
      <c r="GG19" s="330">
        <v>3402.38</v>
      </c>
      <c r="GH19" s="330">
        <v>3067.54</v>
      </c>
      <c r="GI19" s="330">
        <v>3068.15</v>
      </c>
      <c r="GJ19" s="331"/>
      <c r="GK19" s="330">
        <v>6156.97</v>
      </c>
      <c r="GL19" s="330">
        <v>3079.51</v>
      </c>
      <c r="GM19" s="330">
        <v>3080.61</v>
      </c>
      <c r="GN19" s="330">
        <v>3048.91</v>
      </c>
      <c r="GO19" s="331"/>
      <c r="GP19" s="331"/>
      <c r="GQ19" s="331"/>
      <c r="GR19" s="331"/>
      <c r="GS19" s="331"/>
      <c r="GT19" s="331"/>
      <c r="GU19" s="331"/>
      <c r="GV19" s="331"/>
      <c r="GW19" s="331"/>
      <c r="GX19" s="331"/>
      <c r="GY19" s="331"/>
      <c r="GZ19" s="331"/>
      <c r="HA19" s="330">
        <v>63.04</v>
      </c>
      <c r="HB19" s="330">
        <v>44.27</v>
      </c>
      <c r="HC19" s="331"/>
      <c r="HD19" s="330">
        <v>61.81</v>
      </c>
      <c r="HE19" s="329">
        <v>0</v>
      </c>
      <c r="HF19" s="329">
        <v>0</v>
      </c>
      <c r="HG19" s="329">
        <v>0</v>
      </c>
      <c r="HH19" s="331"/>
      <c r="HI19" s="329">
        <v>0</v>
      </c>
      <c r="HJ19" s="329">
        <v>0</v>
      </c>
      <c r="HK19" s="329">
        <v>0</v>
      </c>
      <c r="HL19" s="329">
        <v>0</v>
      </c>
      <c r="HM19" s="331"/>
      <c r="HN19" s="331"/>
      <c r="HO19" s="331"/>
      <c r="HP19" s="331"/>
      <c r="HQ19" s="331"/>
      <c r="HR19" s="331"/>
      <c r="HS19" s="331"/>
      <c r="HT19" s="331"/>
      <c r="HU19" s="331"/>
      <c r="HV19" s="331"/>
      <c r="HW19" s="331"/>
      <c r="HX19" s="331"/>
      <c r="HY19" s="329">
        <v>0</v>
      </c>
      <c r="HZ19" s="329">
        <v>0</v>
      </c>
      <c r="IA19" s="331"/>
      <c r="IB19" s="329">
        <v>0</v>
      </c>
      <c r="IC19" s="329">
        <v>0</v>
      </c>
      <c r="ID19" s="329">
        <v>0</v>
      </c>
      <c r="IE19" s="329">
        <v>0</v>
      </c>
      <c r="IF19" s="331"/>
      <c r="IG19" s="329">
        <v>0</v>
      </c>
      <c r="IH19" s="329">
        <v>0</v>
      </c>
      <c r="II19" s="329">
        <v>0</v>
      </c>
      <c r="IJ19" s="329">
        <v>0</v>
      </c>
      <c r="IK19" s="331"/>
      <c r="IL19" s="331"/>
      <c r="IM19" s="331"/>
      <c r="IN19" s="331"/>
      <c r="IO19" s="331"/>
      <c r="IP19" s="331"/>
      <c r="IQ19" s="331"/>
      <c r="IR19" s="331"/>
      <c r="IS19" s="331"/>
      <c r="IT19" s="331"/>
      <c r="IU19" s="331"/>
      <c r="IV19" s="331"/>
      <c r="IW19" s="331"/>
      <c r="IX19" s="331"/>
      <c r="IY19" s="331"/>
      <c r="IZ19" s="331"/>
      <c r="JA19" s="331"/>
      <c r="JB19" s="331"/>
      <c r="JC19" s="331"/>
      <c r="JD19" s="331"/>
      <c r="JE19" s="331"/>
      <c r="JF19" s="331"/>
      <c r="JG19" s="331"/>
      <c r="JH19" s="331"/>
      <c r="JI19" s="330">
        <v>60.72</v>
      </c>
      <c r="JJ19" s="331"/>
      <c r="JK19" s="331"/>
      <c r="JL19" s="331"/>
      <c r="JM19" s="331"/>
      <c r="JN19" s="331"/>
      <c r="JO19" s="331"/>
      <c r="JP19" s="331"/>
      <c r="JQ19" s="331"/>
      <c r="JR19" s="331"/>
      <c r="JS19" s="331"/>
      <c r="JT19" s="331"/>
      <c r="JU19" s="331"/>
      <c r="JV19" s="331"/>
      <c r="JW19" s="331"/>
      <c r="JX19" s="331"/>
      <c r="JY19" s="331"/>
      <c r="JZ19" s="331"/>
      <c r="KA19" s="331"/>
      <c r="KB19" s="331"/>
      <c r="KC19" s="331"/>
      <c r="KD19" s="331"/>
      <c r="KE19" s="331"/>
      <c r="KF19" s="331"/>
      <c r="KG19" s="331"/>
      <c r="KH19" s="331"/>
      <c r="KI19" s="331"/>
      <c r="KJ19" s="331"/>
      <c r="KK19" s="331"/>
      <c r="KL19" s="331"/>
      <c r="KM19" s="331"/>
      <c r="KN19" s="331"/>
      <c r="KO19" s="331"/>
      <c r="KP19" s="331"/>
      <c r="KQ19" s="331"/>
      <c r="KR19" s="331"/>
      <c r="KS19" s="331"/>
      <c r="KT19" s="331"/>
      <c r="KU19" s="331"/>
      <c r="KV19" s="331"/>
      <c r="KW19" s="331"/>
      <c r="KX19" s="331"/>
      <c r="KY19" s="331"/>
      <c r="KZ19" s="331"/>
      <c r="LA19" s="331"/>
      <c r="LB19" s="331"/>
      <c r="LC19" s="331"/>
      <c r="LD19" s="331"/>
      <c r="LE19" s="331"/>
      <c r="LF19" s="331"/>
      <c r="LG19" s="331"/>
      <c r="LH19" s="331"/>
      <c r="LI19" s="331"/>
      <c r="LJ19" s="331"/>
      <c r="LK19" s="331"/>
      <c r="LL19" s="331"/>
      <c r="LM19" s="331"/>
      <c r="LN19" s="331"/>
      <c r="LO19" s="331"/>
      <c r="LP19" s="331"/>
      <c r="LQ19" s="331"/>
      <c r="LR19" s="331"/>
      <c r="LS19" s="331"/>
      <c r="LT19" s="331"/>
      <c r="LU19" s="331"/>
      <c r="LV19" s="331"/>
      <c r="LW19" s="331"/>
      <c r="LX19" s="331"/>
      <c r="LY19" s="331"/>
      <c r="LZ19" s="331"/>
      <c r="MA19" s="331"/>
      <c r="MB19" s="331"/>
      <c r="MC19" s="331"/>
      <c r="MD19" s="331"/>
      <c r="ME19" s="331"/>
      <c r="MF19" s="331"/>
      <c r="MG19" s="331"/>
      <c r="MH19" s="331"/>
      <c r="MI19" s="331"/>
      <c r="MJ19" s="331"/>
      <c r="MK19" s="331"/>
      <c r="ML19" s="331"/>
      <c r="MM19" s="331"/>
      <c r="MN19" s="331"/>
      <c r="MO19" s="331"/>
      <c r="MP19" s="331"/>
      <c r="MQ19" s="331"/>
      <c r="MR19" s="331"/>
      <c r="MS19" s="331"/>
      <c r="MT19" s="331"/>
      <c r="MU19" s="331"/>
      <c r="MV19" s="331"/>
      <c r="MW19" s="331"/>
      <c r="MX19" s="331"/>
      <c r="MY19" s="331"/>
      <c r="MZ19" s="331"/>
      <c r="NA19" s="331"/>
      <c r="NB19" s="331"/>
      <c r="NC19" s="331"/>
      <c r="ND19" s="331"/>
      <c r="NE19" s="331"/>
      <c r="NF19" s="331"/>
      <c r="NG19" s="331"/>
      <c r="NH19" s="331"/>
      <c r="NI19" s="331"/>
      <c r="NJ19" s="331"/>
      <c r="NK19" s="331"/>
      <c r="NL19" s="331"/>
      <c r="NM19" s="331"/>
      <c r="NN19" s="331"/>
      <c r="NO19" s="331"/>
      <c r="NP19" s="331"/>
      <c r="NQ19" s="331"/>
      <c r="NR19" s="331"/>
      <c r="NS19" s="331"/>
      <c r="NT19" s="331"/>
      <c r="NU19" s="331"/>
      <c r="NV19" s="331"/>
      <c r="NW19" s="331"/>
      <c r="NX19" s="331"/>
      <c r="NY19" s="331"/>
      <c r="NZ19" s="331"/>
      <c r="OA19" s="331"/>
      <c r="OB19" s="331"/>
      <c r="OC19" s="331"/>
      <c r="OD19" s="331"/>
      <c r="OE19" s="331"/>
      <c r="OF19" s="331"/>
      <c r="OG19" s="331"/>
      <c r="OH19" s="331"/>
      <c r="OI19" s="331"/>
      <c r="OJ19" s="331"/>
      <c r="OK19" s="331"/>
      <c r="OL19" s="332">
        <f t="shared" si="0"/>
        <v>56774.33</v>
      </c>
    </row>
    <row r="20" spans="1:402" ht="12.75" customHeight="1" thickBot="1">
      <c r="A20" s="320" t="s">
        <v>404</v>
      </c>
      <c r="B20" s="320" t="s">
        <v>405</v>
      </c>
      <c r="C20" s="320" t="s">
        <v>406</v>
      </c>
      <c r="D20" s="328" t="s">
        <v>424</v>
      </c>
      <c r="E20" s="329">
        <v>0</v>
      </c>
      <c r="F20" s="329">
        <v>0</v>
      </c>
      <c r="G20" s="329">
        <v>0</v>
      </c>
      <c r="H20" s="329">
        <v>0</v>
      </c>
      <c r="I20" s="329">
        <v>0</v>
      </c>
      <c r="J20" s="329">
        <v>0</v>
      </c>
      <c r="K20" s="329">
        <v>0</v>
      </c>
      <c r="L20" s="329">
        <v>0</v>
      </c>
      <c r="M20" s="329">
        <v>0</v>
      </c>
      <c r="N20" s="329">
        <v>0</v>
      </c>
      <c r="O20" s="329">
        <v>0</v>
      </c>
      <c r="P20" s="329">
        <v>0</v>
      </c>
      <c r="Q20" s="329">
        <v>0</v>
      </c>
      <c r="R20" s="329">
        <v>0</v>
      </c>
      <c r="S20" s="329">
        <v>0</v>
      </c>
      <c r="T20" s="329">
        <v>0</v>
      </c>
      <c r="U20" s="329">
        <v>0</v>
      </c>
      <c r="V20" s="329">
        <v>0</v>
      </c>
      <c r="W20" s="329">
        <v>0</v>
      </c>
      <c r="X20" s="329">
        <v>0</v>
      </c>
      <c r="Y20" s="329">
        <v>0</v>
      </c>
      <c r="Z20" s="329">
        <v>0</v>
      </c>
      <c r="AA20" s="329">
        <v>0</v>
      </c>
      <c r="AB20" s="329">
        <v>0</v>
      </c>
      <c r="AC20" s="329">
        <v>0</v>
      </c>
      <c r="AD20" s="329">
        <v>0</v>
      </c>
      <c r="AE20" s="329">
        <v>0</v>
      </c>
      <c r="AF20" s="329">
        <v>0</v>
      </c>
      <c r="AG20" s="329">
        <v>0</v>
      </c>
      <c r="AH20" s="329">
        <v>0</v>
      </c>
      <c r="AI20" s="329">
        <v>0</v>
      </c>
      <c r="AJ20" s="329">
        <v>0</v>
      </c>
      <c r="AK20" s="329">
        <v>0</v>
      </c>
      <c r="AL20" s="329">
        <v>0</v>
      </c>
      <c r="AM20" s="329">
        <v>0</v>
      </c>
      <c r="AN20" s="329">
        <v>0</v>
      </c>
      <c r="AO20" s="330">
        <v>8732.68</v>
      </c>
      <c r="AP20" s="330">
        <v>8517.64</v>
      </c>
      <c r="AQ20" s="330">
        <v>8516.08</v>
      </c>
      <c r="AR20" s="330">
        <v>8228.84</v>
      </c>
      <c r="AS20" s="330">
        <v>7983.31</v>
      </c>
      <c r="AT20" s="330">
        <v>9073.75</v>
      </c>
      <c r="AU20" s="330">
        <v>10317.31</v>
      </c>
      <c r="AV20" s="330">
        <v>9640.76</v>
      </c>
      <c r="AW20" s="330">
        <v>9177.3799999999992</v>
      </c>
      <c r="AX20" s="330">
        <v>8383.2000000000007</v>
      </c>
      <c r="AY20" s="330">
        <v>8280.81</v>
      </c>
      <c r="AZ20" s="330">
        <v>8856.84</v>
      </c>
      <c r="BA20" s="329">
        <v>0</v>
      </c>
      <c r="BB20" s="329">
        <v>0</v>
      </c>
      <c r="BC20" s="329">
        <v>0</v>
      </c>
      <c r="BD20" s="329">
        <v>0</v>
      </c>
      <c r="BE20" s="329">
        <v>0</v>
      </c>
      <c r="BF20" s="329">
        <v>0</v>
      </c>
      <c r="BG20" s="329">
        <v>0</v>
      </c>
      <c r="BH20" s="329">
        <v>0</v>
      </c>
      <c r="BI20" s="329">
        <v>0</v>
      </c>
      <c r="BJ20" s="329">
        <v>0</v>
      </c>
      <c r="BK20" s="329">
        <v>0</v>
      </c>
      <c r="BL20" s="329">
        <v>0</v>
      </c>
      <c r="BM20" s="331"/>
      <c r="BN20" s="331"/>
      <c r="BO20" s="331"/>
      <c r="BP20" s="331"/>
      <c r="BQ20" s="331"/>
      <c r="BR20" s="331"/>
      <c r="BS20" s="331"/>
      <c r="BT20" s="331"/>
      <c r="BU20" s="331"/>
      <c r="BV20" s="331"/>
      <c r="BW20" s="331"/>
      <c r="BX20" s="331"/>
      <c r="BY20" s="329">
        <v>0</v>
      </c>
      <c r="BZ20" s="329">
        <v>0</v>
      </c>
      <c r="CA20" s="329">
        <v>0</v>
      </c>
      <c r="CB20" s="329">
        <v>0</v>
      </c>
      <c r="CC20" s="329">
        <v>0</v>
      </c>
      <c r="CD20" s="329">
        <v>0</v>
      </c>
      <c r="CE20" s="329">
        <v>0</v>
      </c>
      <c r="CF20" s="329">
        <v>0</v>
      </c>
      <c r="CG20" s="329">
        <v>0</v>
      </c>
      <c r="CH20" s="329">
        <v>0</v>
      </c>
      <c r="CI20" s="329">
        <v>0</v>
      </c>
      <c r="CJ20" s="329">
        <v>0</v>
      </c>
      <c r="CK20" s="329">
        <v>0</v>
      </c>
      <c r="CL20" s="329">
        <v>0</v>
      </c>
      <c r="CM20" s="329">
        <v>0</v>
      </c>
      <c r="CN20" s="329">
        <v>0</v>
      </c>
      <c r="CO20" s="329">
        <v>0</v>
      </c>
      <c r="CP20" s="329">
        <v>0</v>
      </c>
      <c r="CQ20" s="329">
        <v>0</v>
      </c>
      <c r="CR20" s="329">
        <v>0</v>
      </c>
      <c r="CS20" s="329">
        <v>0</v>
      </c>
      <c r="CT20" s="329">
        <v>0</v>
      </c>
      <c r="CU20" s="329">
        <v>0</v>
      </c>
      <c r="CV20" s="329">
        <v>0</v>
      </c>
      <c r="CW20" s="329">
        <v>0</v>
      </c>
      <c r="CX20" s="329">
        <v>0</v>
      </c>
      <c r="CY20" s="329">
        <v>0</v>
      </c>
      <c r="CZ20" s="329">
        <v>0</v>
      </c>
      <c r="DA20" s="329">
        <v>0</v>
      </c>
      <c r="DB20" s="329">
        <v>0</v>
      </c>
      <c r="DC20" s="329">
        <v>0</v>
      </c>
      <c r="DD20" s="329">
        <v>0</v>
      </c>
      <c r="DE20" s="329">
        <v>0</v>
      </c>
      <c r="DF20" s="329">
        <v>0</v>
      </c>
      <c r="DG20" s="329">
        <v>0</v>
      </c>
      <c r="DH20" s="329">
        <v>0</v>
      </c>
      <c r="DI20" s="331"/>
      <c r="DJ20" s="331"/>
      <c r="DK20" s="331"/>
      <c r="DL20" s="331"/>
      <c r="DM20" s="331"/>
      <c r="DN20" s="331"/>
      <c r="DO20" s="331"/>
      <c r="DP20" s="331"/>
      <c r="DQ20" s="331"/>
      <c r="DR20" s="331"/>
      <c r="DS20" s="331"/>
      <c r="DT20" s="331"/>
      <c r="DU20" s="330">
        <v>120.42</v>
      </c>
      <c r="DV20" s="330">
        <v>117.41</v>
      </c>
      <c r="DW20" s="330">
        <v>117.38</v>
      </c>
      <c r="DX20" s="330">
        <v>113.36</v>
      </c>
      <c r="DY20" s="330">
        <v>109.92</v>
      </c>
      <c r="DZ20" s="330">
        <v>125.19</v>
      </c>
      <c r="EA20" s="330">
        <v>142.61000000000001</v>
      </c>
      <c r="EB20" s="330">
        <v>133.13</v>
      </c>
      <c r="EC20" s="330">
        <v>126.64</v>
      </c>
      <c r="ED20" s="330">
        <v>115.52</v>
      </c>
      <c r="EE20" s="330">
        <v>114.09</v>
      </c>
      <c r="EF20" s="330">
        <v>122.16</v>
      </c>
      <c r="EG20" s="329">
        <v>0</v>
      </c>
      <c r="EH20" s="329">
        <v>0</v>
      </c>
      <c r="EI20" s="329">
        <v>0</v>
      </c>
      <c r="EJ20" s="329">
        <v>0</v>
      </c>
      <c r="EK20" s="329">
        <v>0</v>
      </c>
      <c r="EL20" s="329">
        <v>0</v>
      </c>
      <c r="EM20" s="329">
        <v>0</v>
      </c>
      <c r="EN20" s="329">
        <v>0</v>
      </c>
      <c r="EO20" s="329">
        <v>0</v>
      </c>
      <c r="EP20" s="329">
        <v>0</v>
      </c>
      <c r="EQ20" s="329">
        <v>0</v>
      </c>
      <c r="ER20" s="329">
        <v>0</v>
      </c>
      <c r="ES20" s="331"/>
      <c r="ET20" s="331"/>
      <c r="EU20" s="331"/>
      <c r="EV20" s="331"/>
      <c r="EW20" s="331"/>
      <c r="EX20" s="331"/>
      <c r="EY20" s="331"/>
      <c r="EZ20" s="331"/>
      <c r="FA20" s="331"/>
      <c r="FB20" s="331"/>
      <c r="FC20" s="331"/>
      <c r="FD20" s="331"/>
      <c r="FE20" s="329">
        <v>0</v>
      </c>
      <c r="FF20" s="329">
        <v>0</v>
      </c>
      <c r="FG20" s="329">
        <v>0</v>
      </c>
      <c r="FH20" s="329">
        <v>0</v>
      </c>
      <c r="FI20" s="329">
        <v>0</v>
      </c>
      <c r="FJ20" s="329">
        <v>0</v>
      </c>
      <c r="FK20" s="329">
        <v>0</v>
      </c>
      <c r="FL20" s="329">
        <v>0</v>
      </c>
      <c r="FM20" s="329">
        <v>0</v>
      </c>
      <c r="FN20" s="329">
        <v>0</v>
      </c>
      <c r="FO20" s="329">
        <v>0</v>
      </c>
      <c r="FP20" s="329">
        <v>0</v>
      </c>
      <c r="FQ20" s="329">
        <v>0</v>
      </c>
      <c r="FR20" s="329">
        <v>0</v>
      </c>
      <c r="FS20" s="329">
        <v>0</v>
      </c>
      <c r="FT20" s="329">
        <v>0</v>
      </c>
      <c r="FU20" s="329">
        <v>0</v>
      </c>
      <c r="FV20" s="329">
        <v>0</v>
      </c>
      <c r="FW20" s="329">
        <v>0</v>
      </c>
      <c r="FX20" s="329">
        <v>0</v>
      </c>
      <c r="FY20" s="329">
        <v>0</v>
      </c>
      <c r="FZ20" s="329">
        <v>0</v>
      </c>
      <c r="GA20" s="329">
        <v>0</v>
      </c>
      <c r="GB20" s="329">
        <v>0</v>
      </c>
      <c r="GC20" s="330">
        <v>7010.99</v>
      </c>
      <c r="GD20" s="330">
        <v>6972.89</v>
      </c>
      <c r="GE20" s="330">
        <v>6972.61</v>
      </c>
      <c r="GF20" s="330">
        <v>12550.37</v>
      </c>
      <c r="GG20" s="330">
        <v>12506.86</v>
      </c>
      <c r="GH20" s="330">
        <v>11555.23</v>
      </c>
      <c r="GI20" s="330">
        <v>11775.57</v>
      </c>
      <c r="GJ20" s="330">
        <v>11655.69</v>
      </c>
      <c r="GK20" s="330">
        <v>11573.59</v>
      </c>
      <c r="GL20" s="330">
        <v>11432.87</v>
      </c>
      <c r="GM20" s="330">
        <v>11414.72</v>
      </c>
      <c r="GN20" s="330">
        <v>11634.45</v>
      </c>
      <c r="GO20" s="331"/>
      <c r="GP20" s="331"/>
      <c r="GQ20" s="331"/>
      <c r="GR20" s="331"/>
      <c r="GS20" s="331"/>
      <c r="GT20" s="331"/>
      <c r="GU20" s="331"/>
      <c r="GV20" s="331"/>
      <c r="GW20" s="331"/>
      <c r="GX20" s="331"/>
      <c r="GY20" s="331"/>
      <c r="GZ20" s="331"/>
      <c r="HA20" s="330">
        <v>152.38999999999999</v>
      </c>
      <c r="HB20" s="330">
        <v>212.98</v>
      </c>
      <c r="HC20" s="330">
        <v>121.18</v>
      </c>
      <c r="HD20" s="330">
        <v>335.99</v>
      </c>
      <c r="HE20" s="330">
        <v>227.66</v>
      </c>
      <c r="HF20" s="330">
        <v>626.17999999999995</v>
      </c>
      <c r="HG20" s="330">
        <v>741.79</v>
      </c>
      <c r="HH20" s="330">
        <v>488.1</v>
      </c>
      <c r="HI20" s="330">
        <v>455.99</v>
      </c>
      <c r="HJ20" s="330">
        <v>308.27999999999997</v>
      </c>
      <c r="HK20" s="330">
        <v>494.52</v>
      </c>
      <c r="HL20" s="330">
        <v>555.54</v>
      </c>
      <c r="HM20" s="331"/>
      <c r="HN20" s="331"/>
      <c r="HO20" s="331"/>
      <c r="HP20" s="331"/>
      <c r="HQ20" s="331"/>
      <c r="HR20" s="331"/>
      <c r="HS20" s="331"/>
      <c r="HT20" s="331"/>
      <c r="HU20" s="331"/>
      <c r="HV20" s="331"/>
      <c r="HW20" s="331"/>
      <c r="HX20" s="331"/>
      <c r="HY20" s="329">
        <v>0</v>
      </c>
      <c r="HZ20" s="329">
        <v>0</v>
      </c>
      <c r="IA20" s="329">
        <v>0</v>
      </c>
      <c r="IB20" s="329">
        <v>0</v>
      </c>
      <c r="IC20" s="329">
        <v>0</v>
      </c>
      <c r="ID20" s="329">
        <v>0</v>
      </c>
      <c r="IE20" s="329">
        <v>0</v>
      </c>
      <c r="IF20" s="329">
        <v>0</v>
      </c>
      <c r="IG20" s="329">
        <v>0</v>
      </c>
      <c r="IH20" s="329">
        <v>0</v>
      </c>
      <c r="II20" s="329">
        <v>0</v>
      </c>
      <c r="IJ20" s="329">
        <v>0</v>
      </c>
      <c r="IK20" s="331"/>
      <c r="IL20" s="331"/>
      <c r="IM20" s="331"/>
      <c r="IN20" s="331"/>
      <c r="IO20" s="331"/>
      <c r="IP20" s="331"/>
      <c r="IQ20" s="331"/>
      <c r="IR20" s="331"/>
      <c r="IS20" s="331"/>
      <c r="IT20" s="331"/>
      <c r="IU20" s="331"/>
      <c r="IV20" s="331"/>
      <c r="IW20" s="331"/>
      <c r="IX20" s="331"/>
      <c r="IY20" s="331"/>
      <c r="IZ20" s="331"/>
      <c r="JA20" s="331"/>
      <c r="JB20" s="331"/>
      <c r="JC20" s="331"/>
      <c r="JD20" s="331"/>
      <c r="JE20" s="331"/>
      <c r="JF20" s="331"/>
      <c r="JG20" s="331"/>
      <c r="JH20" s="331"/>
      <c r="JI20" s="330">
        <v>333.26</v>
      </c>
      <c r="JJ20" s="331"/>
      <c r="JK20" s="331"/>
      <c r="JL20" s="331"/>
      <c r="JM20" s="331"/>
      <c r="JN20" s="331"/>
      <c r="JO20" s="331"/>
      <c r="JP20" s="331"/>
      <c r="JQ20" s="331"/>
      <c r="JR20" s="331"/>
      <c r="JS20" s="331"/>
      <c r="JT20" s="331"/>
      <c r="JU20" s="331"/>
      <c r="JV20" s="331"/>
      <c r="JW20" s="331"/>
      <c r="JX20" s="331"/>
      <c r="JY20" s="331"/>
      <c r="JZ20" s="331"/>
      <c r="KA20" s="331"/>
      <c r="KB20" s="331"/>
      <c r="KC20" s="331"/>
      <c r="KD20" s="331"/>
      <c r="KE20" s="331"/>
      <c r="KF20" s="331"/>
      <c r="KG20" s="331"/>
      <c r="KH20" s="331"/>
      <c r="KI20" s="331"/>
      <c r="KJ20" s="331"/>
      <c r="KK20" s="331"/>
      <c r="KL20" s="331"/>
      <c r="KM20" s="331"/>
      <c r="KN20" s="331"/>
      <c r="KO20" s="331"/>
      <c r="KP20" s="331"/>
      <c r="KQ20" s="331"/>
      <c r="KR20" s="331"/>
      <c r="KS20" s="331"/>
      <c r="KT20" s="331"/>
      <c r="KU20" s="331"/>
      <c r="KV20" s="331"/>
      <c r="KW20" s="331"/>
      <c r="KX20" s="331"/>
      <c r="KY20" s="331"/>
      <c r="KZ20" s="331"/>
      <c r="LA20" s="331"/>
      <c r="LB20" s="331"/>
      <c r="LC20" s="331"/>
      <c r="LD20" s="331"/>
      <c r="LE20" s="331"/>
      <c r="LF20" s="331"/>
      <c r="LG20" s="331"/>
      <c r="LH20" s="331"/>
      <c r="LI20" s="331"/>
      <c r="LJ20" s="331"/>
      <c r="LK20" s="331"/>
      <c r="LL20" s="331"/>
      <c r="LM20" s="331"/>
      <c r="LN20" s="331"/>
      <c r="LO20" s="331"/>
      <c r="LP20" s="331"/>
      <c r="LQ20" s="331"/>
      <c r="LR20" s="331"/>
      <c r="LS20" s="331"/>
      <c r="LT20" s="331"/>
      <c r="LU20" s="331"/>
      <c r="LV20" s="331"/>
      <c r="LW20" s="331"/>
      <c r="LX20" s="331"/>
      <c r="LY20" s="331"/>
      <c r="LZ20" s="331"/>
      <c r="MA20" s="331"/>
      <c r="MB20" s="331"/>
      <c r="MC20" s="331"/>
      <c r="MD20" s="331"/>
      <c r="ME20" s="331"/>
      <c r="MF20" s="331"/>
      <c r="MG20" s="331"/>
      <c r="MH20" s="331"/>
      <c r="MI20" s="331"/>
      <c r="MJ20" s="331"/>
      <c r="MK20" s="331"/>
      <c r="ML20" s="331"/>
      <c r="MM20" s="331"/>
      <c r="MN20" s="331"/>
      <c r="MO20" s="331"/>
      <c r="MP20" s="331"/>
      <c r="MQ20" s="331"/>
      <c r="MR20" s="331"/>
      <c r="MS20" s="331"/>
      <c r="MT20" s="331"/>
      <c r="MU20" s="331"/>
      <c r="MV20" s="331"/>
      <c r="MW20" s="331"/>
      <c r="MX20" s="331"/>
      <c r="MY20" s="331"/>
      <c r="MZ20" s="331"/>
      <c r="NA20" s="331"/>
      <c r="NB20" s="331"/>
      <c r="NC20" s="331"/>
      <c r="ND20" s="331"/>
      <c r="NE20" s="331"/>
      <c r="NF20" s="331"/>
      <c r="NG20" s="331"/>
      <c r="NH20" s="331"/>
      <c r="NI20" s="331"/>
      <c r="NJ20" s="331"/>
      <c r="NK20" s="331"/>
      <c r="NL20" s="331"/>
      <c r="NM20" s="331"/>
      <c r="NN20" s="331"/>
      <c r="NO20" s="331"/>
      <c r="NP20" s="331"/>
      <c r="NQ20" s="331"/>
      <c r="NR20" s="331"/>
      <c r="NS20" s="331"/>
      <c r="NT20" s="331"/>
      <c r="NU20" s="331"/>
      <c r="NV20" s="331"/>
      <c r="NW20" s="331"/>
      <c r="NX20" s="331"/>
      <c r="NY20" s="331"/>
      <c r="NZ20" s="331"/>
      <c r="OA20" s="331"/>
      <c r="OB20" s="331"/>
      <c r="OC20" s="331"/>
      <c r="OD20" s="331"/>
      <c r="OE20" s="331"/>
      <c r="OF20" s="331"/>
      <c r="OG20" s="331"/>
      <c r="OH20" s="331"/>
      <c r="OI20" s="331"/>
      <c r="OJ20" s="331"/>
      <c r="OK20" s="331"/>
      <c r="OL20" s="332">
        <f t="shared" si="0"/>
        <v>239276.13000000006</v>
      </c>
    </row>
    <row r="21" spans="1:402" ht="12.75" customHeight="1" thickBot="1">
      <c r="A21" s="320" t="s">
        <v>404</v>
      </c>
      <c r="B21" s="320" t="s">
        <v>405</v>
      </c>
      <c r="C21" s="320" t="s">
        <v>406</v>
      </c>
      <c r="D21" s="328" t="s">
        <v>425</v>
      </c>
      <c r="E21" s="329">
        <v>0</v>
      </c>
      <c r="F21" s="329">
        <v>0</v>
      </c>
      <c r="G21" s="329">
        <v>0</v>
      </c>
      <c r="H21" s="329">
        <v>0</v>
      </c>
      <c r="I21" s="329">
        <v>0</v>
      </c>
      <c r="J21" s="329">
        <v>0</v>
      </c>
      <c r="K21" s="329">
        <v>0</v>
      </c>
      <c r="L21" s="329">
        <v>0</v>
      </c>
      <c r="M21" s="329">
        <v>0</v>
      </c>
      <c r="N21" s="329">
        <v>0</v>
      </c>
      <c r="O21" s="329">
        <v>0</v>
      </c>
      <c r="P21" s="329">
        <v>0</v>
      </c>
      <c r="Q21" s="329">
        <v>0</v>
      </c>
      <c r="R21" s="329">
        <v>0</v>
      </c>
      <c r="S21" s="329">
        <v>0</v>
      </c>
      <c r="T21" s="329">
        <v>0</v>
      </c>
      <c r="U21" s="329">
        <v>0</v>
      </c>
      <c r="V21" s="329">
        <v>0</v>
      </c>
      <c r="W21" s="329">
        <v>0</v>
      </c>
      <c r="X21" s="329">
        <v>0</v>
      </c>
      <c r="Y21" s="329">
        <v>0</v>
      </c>
      <c r="Z21" s="329">
        <v>0</v>
      </c>
      <c r="AA21" s="329">
        <v>0</v>
      </c>
      <c r="AB21" s="329">
        <v>0</v>
      </c>
      <c r="AC21" s="329">
        <v>0</v>
      </c>
      <c r="AD21" s="329">
        <v>0</v>
      </c>
      <c r="AE21" s="329">
        <v>0</v>
      </c>
      <c r="AF21" s="329">
        <v>0</v>
      </c>
      <c r="AG21" s="329">
        <v>0</v>
      </c>
      <c r="AH21" s="329">
        <v>0</v>
      </c>
      <c r="AI21" s="329">
        <v>0</v>
      </c>
      <c r="AJ21" s="329">
        <v>0</v>
      </c>
      <c r="AK21" s="329">
        <v>0</v>
      </c>
      <c r="AL21" s="329">
        <v>0</v>
      </c>
      <c r="AM21" s="329">
        <v>0</v>
      </c>
      <c r="AN21" s="329">
        <v>0</v>
      </c>
      <c r="AO21" s="330">
        <v>2314.8000000000002</v>
      </c>
      <c r="AP21" s="330">
        <v>2181.29</v>
      </c>
      <c r="AQ21" s="330">
        <v>2206.5</v>
      </c>
      <c r="AR21" s="330">
        <v>3842.17</v>
      </c>
      <c r="AS21" s="330">
        <v>3854.62</v>
      </c>
      <c r="AT21" s="330">
        <v>4141.8500000000004</v>
      </c>
      <c r="AU21" s="330">
        <v>4182.3100000000004</v>
      </c>
      <c r="AV21" s="330">
        <v>4166.75</v>
      </c>
      <c r="AW21" s="330">
        <v>4152.12</v>
      </c>
      <c r="AX21" s="330">
        <v>4172.04</v>
      </c>
      <c r="AY21" s="330">
        <v>4131.2700000000004</v>
      </c>
      <c r="AZ21" s="330">
        <v>4137.5</v>
      </c>
      <c r="BA21" s="329">
        <v>0</v>
      </c>
      <c r="BB21" s="329">
        <v>0</v>
      </c>
      <c r="BC21" s="329">
        <v>0</v>
      </c>
      <c r="BD21" s="329">
        <v>0</v>
      </c>
      <c r="BE21" s="329">
        <v>0</v>
      </c>
      <c r="BF21" s="329">
        <v>0</v>
      </c>
      <c r="BG21" s="329">
        <v>0</v>
      </c>
      <c r="BH21" s="329">
        <v>0</v>
      </c>
      <c r="BI21" s="329">
        <v>0</v>
      </c>
      <c r="BJ21" s="329">
        <v>0</v>
      </c>
      <c r="BK21" s="329">
        <v>0</v>
      </c>
      <c r="BL21" s="329">
        <v>0</v>
      </c>
      <c r="BM21" s="331"/>
      <c r="BN21" s="331"/>
      <c r="BO21" s="331"/>
      <c r="BP21" s="331"/>
      <c r="BQ21" s="331"/>
      <c r="BR21" s="331"/>
      <c r="BS21" s="331"/>
      <c r="BT21" s="331"/>
      <c r="BU21" s="331"/>
      <c r="BV21" s="331"/>
      <c r="BW21" s="331"/>
      <c r="BX21" s="331"/>
      <c r="BY21" s="329">
        <v>0</v>
      </c>
      <c r="BZ21" s="329">
        <v>0</v>
      </c>
      <c r="CA21" s="329">
        <v>0</v>
      </c>
      <c r="CB21" s="329">
        <v>0</v>
      </c>
      <c r="CC21" s="329">
        <v>0</v>
      </c>
      <c r="CD21" s="329">
        <v>0</v>
      </c>
      <c r="CE21" s="329">
        <v>0</v>
      </c>
      <c r="CF21" s="329">
        <v>0</v>
      </c>
      <c r="CG21" s="329">
        <v>0</v>
      </c>
      <c r="CH21" s="329">
        <v>0</v>
      </c>
      <c r="CI21" s="329">
        <v>0</v>
      </c>
      <c r="CJ21" s="329">
        <v>0</v>
      </c>
      <c r="CK21" s="329">
        <v>0</v>
      </c>
      <c r="CL21" s="329">
        <v>0</v>
      </c>
      <c r="CM21" s="329">
        <v>0</v>
      </c>
      <c r="CN21" s="329">
        <v>0</v>
      </c>
      <c r="CO21" s="329">
        <v>0</v>
      </c>
      <c r="CP21" s="329">
        <v>0</v>
      </c>
      <c r="CQ21" s="329">
        <v>0</v>
      </c>
      <c r="CR21" s="329">
        <v>0</v>
      </c>
      <c r="CS21" s="329">
        <v>0</v>
      </c>
      <c r="CT21" s="329">
        <v>0</v>
      </c>
      <c r="CU21" s="329">
        <v>0</v>
      </c>
      <c r="CV21" s="329">
        <v>0</v>
      </c>
      <c r="CW21" s="329">
        <v>0</v>
      </c>
      <c r="CX21" s="329">
        <v>0</v>
      </c>
      <c r="CY21" s="329">
        <v>0</v>
      </c>
      <c r="CZ21" s="329">
        <v>0</v>
      </c>
      <c r="DA21" s="329">
        <v>0</v>
      </c>
      <c r="DB21" s="329">
        <v>0</v>
      </c>
      <c r="DC21" s="329">
        <v>0</v>
      </c>
      <c r="DD21" s="329">
        <v>0</v>
      </c>
      <c r="DE21" s="329">
        <v>0</v>
      </c>
      <c r="DF21" s="329">
        <v>0</v>
      </c>
      <c r="DG21" s="329">
        <v>0</v>
      </c>
      <c r="DH21" s="329">
        <v>0</v>
      </c>
      <c r="DI21" s="331"/>
      <c r="DJ21" s="331"/>
      <c r="DK21" s="331"/>
      <c r="DL21" s="331"/>
      <c r="DM21" s="331"/>
      <c r="DN21" s="331"/>
      <c r="DO21" s="331"/>
      <c r="DP21" s="331"/>
      <c r="DQ21" s="331"/>
      <c r="DR21" s="331"/>
      <c r="DS21" s="331"/>
      <c r="DT21" s="331"/>
      <c r="DU21" s="330">
        <v>30.54</v>
      </c>
      <c r="DV21" s="330">
        <v>28.67</v>
      </c>
      <c r="DW21" s="330">
        <v>29.02</v>
      </c>
      <c r="DX21" s="330">
        <v>51.93</v>
      </c>
      <c r="DY21" s="330">
        <v>52.1</v>
      </c>
      <c r="DZ21" s="330">
        <v>56.12</v>
      </c>
      <c r="EA21" s="330">
        <v>56.69</v>
      </c>
      <c r="EB21" s="330">
        <v>56.47</v>
      </c>
      <c r="EC21" s="330">
        <v>56.27</v>
      </c>
      <c r="ED21" s="330">
        <v>56.55</v>
      </c>
      <c r="EE21" s="330">
        <v>55.98</v>
      </c>
      <c r="EF21" s="330">
        <v>56.06</v>
      </c>
      <c r="EG21" s="329">
        <v>0</v>
      </c>
      <c r="EH21" s="329">
        <v>0</v>
      </c>
      <c r="EI21" s="329">
        <v>0</v>
      </c>
      <c r="EJ21" s="329">
        <v>0</v>
      </c>
      <c r="EK21" s="329">
        <v>0</v>
      </c>
      <c r="EL21" s="329">
        <v>0</v>
      </c>
      <c r="EM21" s="329">
        <v>0</v>
      </c>
      <c r="EN21" s="329">
        <v>0</v>
      </c>
      <c r="EO21" s="329">
        <v>0</v>
      </c>
      <c r="EP21" s="329">
        <v>0</v>
      </c>
      <c r="EQ21" s="329">
        <v>0</v>
      </c>
      <c r="ER21" s="329">
        <v>0</v>
      </c>
      <c r="ES21" s="331"/>
      <c r="ET21" s="331"/>
      <c r="EU21" s="331"/>
      <c r="EV21" s="331"/>
      <c r="EW21" s="331"/>
      <c r="EX21" s="331"/>
      <c r="EY21" s="331"/>
      <c r="EZ21" s="331"/>
      <c r="FA21" s="331"/>
      <c r="FB21" s="331"/>
      <c r="FC21" s="331"/>
      <c r="FD21" s="331"/>
      <c r="FE21" s="329">
        <v>0</v>
      </c>
      <c r="FF21" s="329">
        <v>0</v>
      </c>
      <c r="FG21" s="329">
        <v>0</v>
      </c>
      <c r="FH21" s="329">
        <v>0</v>
      </c>
      <c r="FI21" s="329">
        <v>0</v>
      </c>
      <c r="FJ21" s="329">
        <v>0</v>
      </c>
      <c r="FK21" s="329">
        <v>0</v>
      </c>
      <c r="FL21" s="329">
        <v>0</v>
      </c>
      <c r="FM21" s="329">
        <v>0</v>
      </c>
      <c r="FN21" s="329">
        <v>0</v>
      </c>
      <c r="FO21" s="329">
        <v>0</v>
      </c>
      <c r="FP21" s="329">
        <v>0</v>
      </c>
      <c r="FQ21" s="329">
        <v>0</v>
      </c>
      <c r="FR21" s="329">
        <v>0</v>
      </c>
      <c r="FS21" s="329">
        <v>0</v>
      </c>
      <c r="FT21" s="329">
        <v>0</v>
      </c>
      <c r="FU21" s="329">
        <v>0</v>
      </c>
      <c r="FV21" s="329">
        <v>0</v>
      </c>
      <c r="FW21" s="329">
        <v>0</v>
      </c>
      <c r="FX21" s="329">
        <v>0</v>
      </c>
      <c r="FY21" s="329">
        <v>0</v>
      </c>
      <c r="FZ21" s="329">
        <v>0</v>
      </c>
      <c r="GA21" s="329">
        <v>0</v>
      </c>
      <c r="GB21" s="329">
        <v>0</v>
      </c>
      <c r="GC21" s="330">
        <v>4494.51</v>
      </c>
      <c r="GD21" s="330">
        <v>4470.8500000000004</v>
      </c>
      <c r="GE21" s="330">
        <v>4475.32</v>
      </c>
      <c r="GF21" s="330">
        <v>4811.78</v>
      </c>
      <c r="GG21" s="330">
        <v>4813.9799999999996</v>
      </c>
      <c r="GH21" s="330">
        <v>4436.9799999999996</v>
      </c>
      <c r="GI21" s="330">
        <v>4444.1499999999996</v>
      </c>
      <c r="GJ21" s="330">
        <v>4441.3900000000003</v>
      </c>
      <c r="GK21" s="330">
        <v>4438.8</v>
      </c>
      <c r="GL21" s="330">
        <v>4442.33</v>
      </c>
      <c r="GM21" s="330">
        <v>4435.1000000000004</v>
      </c>
      <c r="GN21" s="330">
        <v>4531.4799999999996</v>
      </c>
      <c r="GO21" s="331"/>
      <c r="GP21" s="331"/>
      <c r="GQ21" s="331"/>
      <c r="GR21" s="331"/>
      <c r="GS21" s="331"/>
      <c r="GT21" s="331"/>
      <c r="GU21" s="331"/>
      <c r="GV21" s="331"/>
      <c r="GW21" s="331"/>
      <c r="GX21" s="331"/>
      <c r="GY21" s="331"/>
      <c r="GZ21" s="331"/>
      <c r="HA21" s="330">
        <v>122.3</v>
      </c>
      <c r="HB21" s="330">
        <v>113.73</v>
      </c>
      <c r="HC21" s="330">
        <v>132.04</v>
      </c>
      <c r="HD21" s="330">
        <v>119.75</v>
      </c>
      <c r="HE21" s="330">
        <v>219.81</v>
      </c>
      <c r="HF21" s="330">
        <v>352.52</v>
      </c>
      <c r="HG21" s="330">
        <v>362.15</v>
      </c>
      <c r="HH21" s="330">
        <v>381.15</v>
      </c>
      <c r="HI21" s="330">
        <v>402.02</v>
      </c>
      <c r="HJ21" s="330">
        <v>366.79</v>
      </c>
      <c r="HK21" s="330">
        <v>365.9</v>
      </c>
      <c r="HL21" s="330">
        <v>400.42</v>
      </c>
      <c r="HM21" s="331"/>
      <c r="HN21" s="331"/>
      <c r="HO21" s="331"/>
      <c r="HP21" s="331"/>
      <c r="HQ21" s="331"/>
      <c r="HR21" s="331"/>
      <c r="HS21" s="331"/>
      <c r="HT21" s="331"/>
      <c r="HU21" s="331"/>
      <c r="HV21" s="331"/>
      <c r="HW21" s="331"/>
      <c r="HX21" s="331"/>
      <c r="HY21" s="329">
        <v>0</v>
      </c>
      <c r="HZ21" s="329">
        <v>0</v>
      </c>
      <c r="IA21" s="329">
        <v>0</v>
      </c>
      <c r="IB21" s="329">
        <v>0</v>
      </c>
      <c r="IC21" s="329">
        <v>0</v>
      </c>
      <c r="ID21" s="329">
        <v>0</v>
      </c>
      <c r="IE21" s="329">
        <v>0</v>
      </c>
      <c r="IF21" s="329">
        <v>0</v>
      </c>
      <c r="IG21" s="329">
        <v>0</v>
      </c>
      <c r="IH21" s="329">
        <v>0</v>
      </c>
      <c r="II21" s="329">
        <v>0</v>
      </c>
      <c r="IJ21" s="329">
        <v>0</v>
      </c>
      <c r="IK21" s="331"/>
      <c r="IL21" s="331"/>
      <c r="IM21" s="331"/>
      <c r="IN21" s="331"/>
      <c r="IO21" s="331"/>
      <c r="IP21" s="331"/>
      <c r="IQ21" s="331"/>
      <c r="IR21" s="331"/>
      <c r="IS21" s="331"/>
      <c r="IT21" s="331"/>
      <c r="IU21" s="331"/>
      <c r="IV21" s="331"/>
      <c r="IW21" s="331"/>
      <c r="IX21" s="331"/>
      <c r="IY21" s="331"/>
      <c r="IZ21" s="331"/>
      <c r="JA21" s="331"/>
      <c r="JB21" s="331"/>
      <c r="JC21" s="331"/>
      <c r="JD21" s="331"/>
      <c r="JE21" s="331"/>
      <c r="JF21" s="331"/>
      <c r="JG21" s="331"/>
      <c r="JH21" s="331"/>
      <c r="JI21" s="330">
        <v>152.94999999999999</v>
      </c>
      <c r="JJ21" s="331"/>
      <c r="JK21" s="331"/>
      <c r="JL21" s="331"/>
      <c r="JM21" s="331"/>
      <c r="JN21" s="331"/>
      <c r="JO21" s="331"/>
      <c r="JP21" s="331"/>
      <c r="JQ21" s="331"/>
      <c r="JR21" s="331"/>
      <c r="JS21" s="331"/>
      <c r="JT21" s="331"/>
      <c r="JU21" s="331"/>
      <c r="JV21" s="331"/>
      <c r="JW21" s="331"/>
      <c r="JX21" s="331"/>
      <c r="JY21" s="331"/>
      <c r="JZ21" s="331"/>
      <c r="KA21" s="331"/>
      <c r="KB21" s="331"/>
      <c r="KC21" s="331"/>
      <c r="KD21" s="331"/>
      <c r="KE21" s="331"/>
      <c r="KF21" s="331"/>
      <c r="KG21" s="331"/>
      <c r="KH21" s="331"/>
      <c r="KI21" s="331"/>
      <c r="KJ21" s="331"/>
      <c r="KK21" s="331"/>
      <c r="KL21" s="331"/>
      <c r="KM21" s="331"/>
      <c r="KN21" s="331"/>
      <c r="KO21" s="331"/>
      <c r="KP21" s="331"/>
      <c r="KQ21" s="331"/>
      <c r="KR21" s="331"/>
      <c r="KS21" s="331"/>
      <c r="KT21" s="331"/>
      <c r="KU21" s="331"/>
      <c r="KV21" s="331"/>
      <c r="KW21" s="331"/>
      <c r="KX21" s="331"/>
      <c r="KY21" s="331"/>
      <c r="KZ21" s="331"/>
      <c r="LA21" s="331"/>
      <c r="LB21" s="331"/>
      <c r="LC21" s="331"/>
      <c r="LD21" s="331"/>
      <c r="LE21" s="331"/>
      <c r="LF21" s="331"/>
      <c r="LG21" s="331"/>
      <c r="LH21" s="331"/>
      <c r="LI21" s="331"/>
      <c r="LJ21" s="331"/>
      <c r="LK21" s="331"/>
      <c r="LL21" s="331"/>
      <c r="LM21" s="331"/>
      <c r="LN21" s="331"/>
      <c r="LO21" s="331"/>
      <c r="LP21" s="331"/>
      <c r="LQ21" s="331"/>
      <c r="LR21" s="331"/>
      <c r="LS21" s="331"/>
      <c r="LT21" s="331"/>
      <c r="LU21" s="331"/>
      <c r="LV21" s="331"/>
      <c r="LW21" s="331"/>
      <c r="LX21" s="331"/>
      <c r="LY21" s="331"/>
      <c r="LZ21" s="331"/>
      <c r="MA21" s="331"/>
      <c r="MB21" s="331"/>
      <c r="MC21" s="331"/>
      <c r="MD21" s="331"/>
      <c r="ME21" s="331"/>
      <c r="MF21" s="331"/>
      <c r="MG21" s="331"/>
      <c r="MH21" s="331"/>
      <c r="MI21" s="331"/>
      <c r="MJ21" s="331"/>
      <c r="MK21" s="331"/>
      <c r="ML21" s="331"/>
      <c r="MM21" s="331"/>
      <c r="MN21" s="331"/>
      <c r="MO21" s="331"/>
      <c r="MP21" s="331"/>
      <c r="MQ21" s="331"/>
      <c r="MR21" s="331"/>
      <c r="MS21" s="331"/>
      <c r="MT21" s="331"/>
      <c r="MU21" s="331"/>
      <c r="MV21" s="331"/>
      <c r="MW21" s="331"/>
      <c r="MX21" s="331"/>
      <c r="MY21" s="331"/>
      <c r="MZ21" s="331"/>
      <c r="NA21" s="331"/>
      <c r="NB21" s="331"/>
      <c r="NC21" s="331"/>
      <c r="ND21" s="331"/>
      <c r="NE21" s="331"/>
      <c r="NF21" s="331"/>
      <c r="NG21" s="331"/>
      <c r="NH21" s="331"/>
      <c r="NI21" s="331"/>
      <c r="NJ21" s="331"/>
      <c r="NK21" s="331"/>
      <c r="NL21" s="331"/>
      <c r="NM21" s="331"/>
      <c r="NN21" s="331"/>
      <c r="NO21" s="331"/>
      <c r="NP21" s="331"/>
      <c r="NQ21" s="331"/>
      <c r="NR21" s="331"/>
      <c r="NS21" s="331"/>
      <c r="NT21" s="331"/>
      <c r="NU21" s="331"/>
      <c r="NV21" s="331"/>
      <c r="NW21" s="331"/>
      <c r="NX21" s="331"/>
      <c r="NY21" s="331"/>
      <c r="NZ21" s="331"/>
      <c r="OA21" s="331"/>
      <c r="OB21" s="331"/>
      <c r="OC21" s="331"/>
      <c r="OD21" s="331"/>
      <c r="OE21" s="331"/>
      <c r="OF21" s="331"/>
      <c r="OG21" s="331"/>
      <c r="OH21" s="331"/>
      <c r="OI21" s="331"/>
      <c r="OJ21" s="331"/>
      <c r="OK21" s="331"/>
      <c r="OL21" s="332">
        <f t="shared" si="0"/>
        <v>101797.81999999996</v>
      </c>
    </row>
    <row r="22" spans="1:402" ht="12.75" customHeight="1" thickBot="1">
      <c r="A22" s="320" t="s">
        <v>404</v>
      </c>
      <c r="B22" s="320" t="s">
        <v>405</v>
      </c>
      <c r="C22" s="320" t="s">
        <v>406</v>
      </c>
      <c r="D22" s="328" t="s">
        <v>426</v>
      </c>
      <c r="E22" s="329">
        <v>0</v>
      </c>
      <c r="F22" s="329">
        <v>0</v>
      </c>
      <c r="G22" s="329">
        <v>0</v>
      </c>
      <c r="H22" s="329">
        <v>0</v>
      </c>
      <c r="I22" s="329">
        <v>0</v>
      </c>
      <c r="J22" s="329">
        <v>0</v>
      </c>
      <c r="K22" s="329">
        <v>0</v>
      </c>
      <c r="L22" s="329">
        <v>0</v>
      </c>
      <c r="M22" s="329">
        <v>0</v>
      </c>
      <c r="N22" s="329">
        <v>0</v>
      </c>
      <c r="O22" s="329">
        <v>0</v>
      </c>
      <c r="P22" s="329">
        <v>0</v>
      </c>
      <c r="Q22" s="329">
        <v>0</v>
      </c>
      <c r="R22" s="329">
        <v>0</v>
      </c>
      <c r="S22" s="329">
        <v>0</v>
      </c>
      <c r="T22" s="329">
        <v>0</v>
      </c>
      <c r="U22" s="329">
        <v>0</v>
      </c>
      <c r="V22" s="329">
        <v>0</v>
      </c>
      <c r="W22" s="329">
        <v>0</v>
      </c>
      <c r="X22" s="329">
        <v>0</v>
      </c>
      <c r="Y22" s="329">
        <v>0</v>
      </c>
      <c r="Z22" s="329">
        <v>0</v>
      </c>
      <c r="AA22" s="329">
        <v>0</v>
      </c>
      <c r="AB22" s="329">
        <v>0</v>
      </c>
      <c r="AC22" s="329">
        <v>0</v>
      </c>
      <c r="AD22" s="329">
        <v>0</v>
      </c>
      <c r="AE22" s="329">
        <v>0</v>
      </c>
      <c r="AF22" s="329">
        <v>0</v>
      </c>
      <c r="AG22" s="329">
        <v>0</v>
      </c>
      <c r="AH22" s="329">
        <v>0</v>
      </c>
      <c r="AI22" s="329">
        <v>0</v>
      </c>
      <c r="AJ22" s="329">
        <v>0</v>
      </c>
      <c r="AK22" s="329">
        <v>0</v>
      </c>
      <c r="AL22" s="329">
        <v>0</v>
      </c>
      <c r="AM22" s="329">
        <v>0</v>
      </c>
      <c r="AN22" s="329">
        <v>0</v>
      </c>
      <c r="AO22" s="330">
        <v>26089.86</v>
      </c>
      <c r="AP22" s="330">
        <v>26251.06</v>
      </c>
      <c r="AQ22" s="330">
        <v>26645.35</v>
      </c>
      <c r="AR22" s="330">
        <v>26591.82</v>
      </c>
      <c r="AS22" s="330">
        <v>26645.35</v>
      </c>
      <c r="AT22" s="330">
        <v>26609.56</v>
      </c>
      <c r="AU22" s="330">
        <v>26573.77</v>
      </c>
      <c r="AV22" s="330">
        <v>26143.69</v>
      </c>
      <c r="AW22" s="330">
        <v>25910.6</v>
      </c>
      <c r="AX22" s="330">
        <v>26161.43</v>
      </c>
      <c r="AY22" s="330">
        <v>25928.34</v>
      </c>
      <c r="AZ22" s="330">
        <v>26143.69</v>
      </c>
      <c r="BA22" s="329">
        <v>0</v>
      </c>
      <c r="BB22" s="329">
        <v>0</v>
      </c>
      <c r="BC22" s="329">
        <v>0</v>
      </c>
      <c r="BD22" s="329">
        <v>0</v>
      </c>
      <c r="BE22" s="329">
        <v>0</v>
      </c>
      <c r="BF22" s="329">
        <v>0</v>
      </c>
      <c r="BG22" s="329">
        <v>0</v>
      </c>
      <c r="BH22" s="329">
        <v>0</v>
      </c>
      <c r="BI22" s="329">
        <v>0</v>
      </c>
      <c r="BJ22" s="329">
        <v>0</v>
      </c>
      <c r="BK22" s="329">
        <v>0</v>
      </c>
      <c r="BL22" s="329">
        <v>0</v>
      </c>
      <c r="BM22" s="331"/>
      <c r="BN22" s="331"/>
      <c r="BO22" s="331"/>
      <c r="BP22" s="331"/>
      <c r="BQ22" s="331"/>
      <c r="BR22" s="331"/>
      <c r="BS22" s="331"/>
      <c r="BT22" s="331"/>
      <c r="BU22" s="331"/>
      <c r="BV22" s="331"/>
      <c r="BW22" s="331"/>
      <c r="BX22" s="331"/>
      <c r="BY22" s="329">
        <v>0</v>
      </c>
      <c r="BZ22" s="329">
        <v>0</v>
      </c>
      <c r="CA22" s="329">
        <v>0</v>
      </c>
      <c r="CB22" s="329">
        <v>0</v>
      </c>
      <c r="CC22" s="329">
        <v>0</v>
      </c>
      <c r="CD22" s="329">
        <v>0</v>
      </c>
      <c r="CE22" s="329">
        <v>0</v>
      </c>
      <c r="CF22" s="329">
        <v>0</v>
      </c>
      <c r="CG22" s="329">
        <v>0</v>
      </c>
      <c r="CH22" s="329">
        <v>0</v>
      </c>
      <c r="CI22" s="329">
        <v>0</v>
      </c>
      <c r="CJ22" s="329">
        <v>0</v>
      </c>
      <c r="CK22" s="329">
        <v>0</v>
      </c>
      <c r="CL22" s="329">
        <v>0</v>
      </c>
      <c r="CM22" s="329">
        <v>0</v>
      </c>
      <c r="CN22" s="329">
        <v>0</v>
      </c>
      <c r="CO22" s="329">
        <v>0</v>
      </c>
      <c r="CP22" s="329">
        <v>0</v>
      </c>
      <c r="CQ22" s="329">
        <v>0</v>
      </c>
      <c r="CR22" s="329">
        <v>0</v>
      </c>
      <c r="CS22" s="329">
        <v>0</v>
      </c>
      <c r="CT22" s="329">
        <v>0</v>
      </c>
      <c r="CU22" s="329">
        <v>0</v>
      </c>
      <c r="CV22" s="329">
        <v>0</v>
      </c>
      <c r="CW22" s="329">
        <v>0</v>
      </c>
      <c r="CX22" s="329">
        <v>0</v>
      </c>
      <c r="CY22" s="329">
        <v>0</v>
      </c>
      <c r="CZ22" s="329">
        <v>0</v>
      </c>
      <c r="DA22" s="329">
        <v>0</v>
      </c>
      <c r="DB22" s="329">
        <v>0</v>
      </c>
      <c r="DC22" s="329">
        <v>0</v>
      </c>
      <c r="DD22" s="329">
        <v>0</v>
      </c>
      <c r="DE22" s="329">
        <v>0</v>
      </c>
      <c r="DF22" s="329">
        <v>0</v>
      </c>
      <c r="DG22" s="329">
        <v>0</v>
      </c>
      <c r="DH22" s="329">
        <v>0</v>
      </c>
      <c r="DI22" s="331"/>
      <c r="DJ22" s="331"/>
      <c r="DK22" s="331"/>
      <c r="DL22" s="331"/>
      <c r="DM22" s="331"/>
      <c r="DN22" s="331"/>
      <c r="DO22" s="331"/>
      <c r="DP22" s="331"/>
      <c r="DQ22" s="331"/>
      <c r="DR22" s="331"/>
      <c r="DS22" s="331"/>
      <c r="DT22" s="331"/>
      <c r="DU22" s="330">
        <v>363.5</v>
      </c>
      <c r="DV22" s="330">
        <v>365.75</v>
      </c>
      <c r="DW22" s="330">
        <v>371.28</v>
      </c>
      <c r="DX22" s="330">
        <v>370.53</v>
      </c>
      <c r="DY22" s="330">
        <v>371.28</v>
      </c>
      <c r="DZ22" s="330">
        <v>370.77</v>
      </c>
      <c r="EA22" s="330">
        <v>370.27</v>
      </c>
      <c r="EB22" s="330">
        <v>364.25</v>
      </c>
      <c r="EC22" s="330">
        <v>360.99</v>
      </c>
      <c r="ED22" s="330">
        <v>364.5</v>
      </c>
      <c r="EE22" s="330">
        <v>361.23</v>
      </c>
      <c r="EF22" s="330">
        <v>364.25</v>
      </c>
      <c r="EG22" s="329">
        <v>0</v>
      </c>
      <c r="EH22" s="329">
        <v>0</v>
      </c>
      <c r="EI22" s="329">
        <v>0</v>
      </c>
      <c r="EJ22" s="329">
        <v>0</v>
      </c>
      <c r="EK22" s="329">
        <v>0</v>
      </c>
      <c r="EL22" s="329">
        <v>0</v>
      </c>
      <c r="EM22" s="329">
        <v>0</v>
      </c>
      <c r="EN22" s="329">
        <v>0</v>
      </c>
      <c r="EO22" s="329">
        <v>0</v>
      </c>
      <c r="EP22" s="329">
        <v>0</v>
      </c>
      <c r="EQ22" s="329">
        <v>0</v>
      </c>
      <c r="ER22" s="329">
        <v>0</v>
      </c>
      <c r="ES22" s="331"/>
      <c r="ET22" s="331"/>
      <c r="EU22" s="331"/>
      <c r="EV22" s="331"/>
      <c r="EW22" s="331"/>
      <c r="EX22" s="331"/>
      <c r="EY22" s="331"/>
      <c r="EZ22" s="331"/>
      <c r="FA22" s="331"/>
      <c r="FB22" s="331"/>
      <c r="FC22" s="331"/>
      <c r="FD22" s="331"/>
      <c r="FE22" s="329">
        <v>0</v>
      </c>
      <c r="FF22" s="329">
        <v>0</v>
      </c>
      <c r="FG22" s="329">
        <v>0</v>
      </c>
      <c r="FH22" s="329">
        <v>0</v>
      </c>
      <c r="FI22" s="329">
        <v>0</v>
      </c>
      <c r="FJ22" s="329">
        <v>0</v>
      </c>
      <c r="FK22" s="329">
        <v>0</v>
      </c>
      <c r="FL22" s="329">
        <v>0</v>
      </c>
      <c r="FM22" s="329">
        <v>0</v>
      </c>
      <c r="FN22" s="329">
        <v>0</v>
      </c>
      <c r="FO22" s="329">
        <v>0</v>
      </c>
      <c r="FP22" s="329">
        <v>0</v>
      </c>
      <c r="FQ22" s="329">
        <v>0</v>
      </c>
      <c r="FR22" s="329">
        <v>0</v>
      </c>
      <c r="FS22" s="329">
        <v>0</v>
      </c>
      <c r="FT22" s="329">
        <v>0</v>
      </c>
      <c r="FU22" s="329">
        <v>0</v>
      </c>
      <c r="FV22" s="329">
        <v>0</v>
      </c>
      <c r="FW22" s="329">
        <v>0</v>
      </c>
      <c r="FX22" s="329">
        <v>0</v>
      </c>
      <c r="FY22" s="329">
        <v>0</v>
      </c>
      <c r="FZ22" s="329">
        <v>0</v>
      </c>
      <c r="GA22" s="329">
        <v>0</v>
      </c>
      <c r="GB22" s="329">
        <v>0</v>
      </c>
      <c r="GC22" s="330">
        <v>49392.51</v>
      </c>
      <c r="GD22" s="330">
        <v>49421.07</v>
      </c>
      <c r="GE22" s="330">
        <v>49490.94</v>
      </c>
      <c r="GF22" s="330">
        <v>58833.7</v>
      </c>
      <c r="GG22" s="330">
        <v>58843.19</v>
      </c>
      <c r="GH22" s="330">
        <v>53260.37</v>
      </c>
      <c r="GI22" s="330">
        <v>53254.03</v>
      </c>
      <c r="GJ22" s="330">
        <v>53177.82</v>
      </c>
      <c r="GK22" s="330">
        <v>53136.52</v>
      </c>
      <c r="GL22" s="330">
        <v>53180.959999999999</v>
      </c>
      <c r="GM22" s="330">
        <v>53139.66</v>
      </c>
      <c r="GN22" s="330">
        <v>52613.18</v>
      </c>
      <c r="GO22" s="331"/>
      <c r="GP22" s="331"/>
      <c r="GQ22" s="331"/>
      <c r="GR22" s="331"/>
      <c r="GS22" s="331"/>
      <c r="GT22" s="331"/>
      <c r="GU22" s="331"/>
      <c r="GV22" s="331"/>
      <c r="GW22" s="331"/>
      <c r="GX22" s="331"/>
      <c r="GY22" s="331"/>
      <c r="GZ22" s="331"/>
      <c r="HA22" s="330">
        <v>1600.99</v>
      </c>
      <c r="HB22" s="330">
        <v>1435.75</v>
      </c>
      <c r="HC22" s="330">
        <v>1648.73</v>
      </c>
      <c r="HD22" s="330">
        <v>1498.18</v>
      </c>
      <c r="HE22" s="330">
        <v>1556.93</v>
      </c>
      <c r="HF22" s="330">
        <v>2556.12</v>
      </c>
      <c r="HG22" s="329">
        <v>2524</v>
      </c>
      <c r="HH22" s="330">
        <v>2562.54</v>
      </c>
      <c r="HI22" s="330">
        <v>2761.63</v>
      </c>
      <c r="HJ22" s="330">
        <v>2488.6799999999998</v>
      </c>
      <c r="HK22" s="330">
        <v>2517.58</v>
      </c>
      <c r="HL22" s="330">
        <v>2703.83</v>
      </c>
      <c r="HM22" s="331"/>
      <c r="HN22" s="331"/>
      <c r="HO22" s="331"/>
      <c r="HP22" s="331"/>
      <c r="HQ22" s="331"/>
      <c r="HR22" s="331"/>
      <c r="HS22" s="331"/>
      <c r="HT22" s="331"/>
      <c r="HU22" s="331"/>
      <c r="HV22" s="331"/>
      <c r="HW22" s="331"/>
      <c r="HX22" s="331"/>
      <c r="HY22" s="329">
        <v>0</v>
      </c>
      <c r="HZ22" s="329">
        <v>0</v>
      </c>
      <c r="IA22" s="329">
        <v>0</v>
      </c>
      <c r="IB22" s="329">
        <v>0</v>
      </c>
      <c r="IC22" s="329">
        <v>0</v>
      </c>
      <c r="ID22" s="329">
        <v>0</v>
      </c>
      <c r="IE22" s="329">
        <v>0</v>
      </c>
      <c r="IF22" s="329">
        <v>0</v>
      </c>
      <c r="IG22" s="329">
        <v>0</v>
      </c>
      <c r="IH22" s="329">
        <v>0</v>
      </c>
      <c r="II22" s="329">
        <v>0</v>
      </c>
      <c r="IJ22" s="329">
        <v>0</v>
      </c>
      <c r="IK22" s="331"/>
      <c r="IL22" s="331"/>
      <c r="IM22" s="331"/>
      <c r="IN22" s="331"/>
      <c r="IO22" s="331"/>
      <c r="IP22" s="331"/>
      <c r="IQ22" s="331"/>
      <c r="IR22" s="331"/>
      <c r="IS22" s="331"/>
      <c r="IT22" s="331"/>
      <c r="IU22" s="331"/>
      <c r="IV22" s="331"/>
      <c r="IW22" s="331"/>
      <c r="IX22" s="331"/>
      <c r="IY22" s="331"/>
      <c r="IZ22" s="331"/>
      <c r="JA22" s="331"/>
      <c r="JB22" s="331"/>
      <c r="JC22" s="331"/>
      <c r="JD22" s="331"/>
      <c r="JE22" s="331"/>
      <c r="JF22" s="331"/>
      <c r="JG22" s="331"/>
      <c r="JH22" s="331"/>
      <c r="JI22" s="330">
        <v>993.74</v>
      </c>
      <c r="JJ22" s="331"/>
      <c r="JK22" s="331"/>
      <c r="JL22" s="331"/>
      <c r="JM22" s="331"/>
      <c r="JN22" s="331"/>
      <c r="JO22" s="331"/>
      <c r="JP22" s="331"/>
      <c r="JQ22" s="331"/>
      <c r="JR22" s="331"/>
      <c r="JS22" s="331"/>
      <c r="JT22" s="331"/>
      <c r="JU22" s="331"/>
      <c r="JV22" s="331"/>
      <c r="JW22" s="331"/>
      <c r="JX22" s="331"/>
      <c r="JY22" s="331"/>
      <c r="JZ22" s="331"/>
      <c r="KA22" s="331"/>
      <c r="KB22" s="331"/>
      <c r="KC22" s="331"/>
      <c r="KD22" s="331"/>
      <c r="KE22" s="331"/>
      <c r="KF22" s="331"/>
      <c r="KG22" s="331"/>
      <c r="KH22" s="331"/>
      <c r="KI22" s="331"/>
      <c r="KJ22" s="331"/>
      <c r="KK22" s="331"/>
      <c r="KL22" s="331"/>
      <c r="KM22" s="331"/>
      <c r="KN22" s="331"/>
      <c r="KO22" s="331"/>
      <c r="KP22" s="331"/>
      <c r="KQ22" s="331"/>
      <c r="KR22" s="331"/>
      <c r="KS22" s="331"/>
      <c r="KT22" s="331"/>
      <c r="KU22" s="331"/>
      <c r="KV22" s="331"/>
      <c r="KW22" s="331"/>
      <c r="KX22" s="331"/>
      <c r="KY22" s="331"/>
      <c r="KZ22" s="331"/>
      <c r="LA22" s="331"/>
      <c r="LB22" s="331"/>
      <c r="LC22" s="331"/>
      <c r="LD22" s="331"/>
      <c r="LE22" s="331"/>
      <c r="LF22" s="331"/>
      <c r="LG22" s="331"/>
      <c r="LH22" s="331"/>
      <c r="LI22" s="331"/>
      <c r="LJ22" s="331"/>
      <c r="LK22" s="331"/>
      <c r="LL22" s="331"/>
      <c r="LM22" s="331"/>
      <c r="LN22" s="331"/>
      <c r="LO22" s="331"/>
      <c r="LP22" s="331"/>
      <c r="LQ22" s="331"/>
      <c r="LR22" s="331"/>
      <c r="LS22" s="331"/>
      <c r="LT22" s="331"/>
      <c r="LU22" s="331"/>
      <c r="LV22" s="331"/>
      <c r="LW22" s="331"/>
      <c r="LX22" s="331"/>
      <c r="LY22" s="331"/>
      <c r="LZ22" s="331"/>
      <c r="MA22" s="331"/>
      <c r="MB22" s="331"/>
      <c r="MC22" s="331"/>
      <c r="MD22" s="331"/>
      <c r="ME22" s="331"/>
      <c r="MF22" s="331"/>
      <c r="MG22" s="331"/>
      <c r="MH22" s="331"/>
      <c r="MI22" s="331"/>
      <c r="MJ22" s="331"/>
      <c r="MK22" s="331"/>
      <c r="ML22" s="331"/>
      <c r="MM22" s="331"/>
      <c r="MN22" s="331"/>
      <c r="MO22" s="331"/>
      <c r="MP22" s="331"/>
      <c r="MQ22" s="331"/>
      <c r="MR22" s="331"/>
      <c r="MS22" s="331"/>
      <c r="MT22" s="331"/>
      <c r="MU22" s="331"/>
      <c r="MV22" s="331"/>
      <c r="MW22" s="331"/>
      <c r="MX22" s="331"/>
      <c r="MY22" s="331"/>
      <c r="MZ22" s="331"/>
      <c r="NA22" s="331"/>
      <c r="NB22" s="331"/>
      <c r="NC22" s="331"/>
      <c r="ND22" s="331"/>
      <c r="NE22" s="331"/>
      <c r="NF22" s="331"/>
      <c r="NG22" s="331"/>
      <c r="NH22" s="331"/>
      <c r="NI22" s="331"/>
      <c r="NJ22" s="331"/>
      <c r="NK22" s="331"/>
      <c r="NL22" s="331"/>
      <c r="NM22" s="331"/>
      <c r="NN22" s="331"/>
      <c r="NO22" s="331"/>
      <c r="NP22" s="331"/>
      <c r="NQ22" s="331"/>
      <c r="NR22" s="331"/>
      <c r="NS22" s="331"/>
      <c r="NT22" s="331"/>
      <c r="NU22" s="331"/>
      <c r="NV22" s="331"/>
      <c r="NW22" s="331"/>
      <c r="NX22" s="331"/>
      <c r="NY22" s="331"/>
      <c r="NZ22" s="331"/>
      <c r="OA22" s="331"/>
      <c r="OB22" s="331"/>
      <c r="OC22" s="331"/>
      <c r="OD22" s="331"/>
      <c r="OE22" s="331"/>
      <c r="OF22" s="331"/>
      <c r="OG22" s="331"/>
      <c r="OH22" s="331"/>
      <c r="OI22" s="331"/>
      <c r="OJ22" s="331"/>
      <c r="OK22" s="331"/>
      <c r="OL22" s="332">
        <f t="shared" si="0"/>
        <v>984685.77000000014</v>
      </c>
    </row>
    <row r="23" spans="1:402" ht="12.75" customHeight="1" thickBot="1">
      <c r="A23" s="320" t="s">
        <v>404</v>
      </c>
      <c r="B23" s="320" t="s">
        <v>405</v>
      </c>
      <c r="C23" s="320" t="s">
        <v>406</v>
      </c>
      <c r="D23" s="328" t="s">
        <v>427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Z23" s="329">
        <v>0</v>
      </c>
      <c r="AA23" s="329">
        <v>0</v>
      </c>
      <c r="AB23" s="329">
        <v>0</v>
      </c>
      <c r="AC23" s="329">
        <v>0</v>
      </c>
      <c r="AD23" s="329">
        <v>0</v>
      </c>
      <c r="AE23" s="329">
        <v>0</v>
      </c>
      <c r="AF23" s="329">
        <v>0</v>
      </c>
      <c r="AG23" s="329">
        <v>0</v>
      </c>
      <c r="AH23" s="329">
        <v>0</v>
      </c>
      <c r="AI23" s="329">
        <v>0</v>
      </c>
      <c r="AJ23" s="329">
        <v>0</v>
      </c>
      <c r="AK23" s="329">
        <v>0</v>
      </c>
      <c r="AL23" s="329">
        <v>0</v>
      </c>
      <c r="AM23" s="329">
        <v>0</v>
      </c>
      <c r="AN23" s="329">
        <v>0</v>
      </c>
      <c r="AO23" s="330">
        <v>6133.22</v>
      </c>
      <c r="AP23" s="330">
        <v>6169.01</v>
      </c>
      <c r="AQ23" s="330">
        <v>6007.81</v>
      </c>
      <c r="AR23" s="330">
        <v>5971.71</v>
      </c>
      <c r="AS23" s="330">
        <v>5882.08</v>
      </c>
      <c r="AT23" s="330">
        <v>5828.56</v>
      </c>
      <c r="AU23" s="330">
        <v>5822.33</v>
      </c>
      <c r="AV23" s="330">
        <v>5780.63</v>
      </c>
      <c r="AW23" s="330">
        <v>5756.67</v>
      </c>
      <c r="AX23" s="330">
        <v>5714.97</v>
      </c>
      <c r="AY23" s="330">
        <v>5756.67</v>
      </c>
      <c r="AZ23" s="330">
        <v>5625.34</v>
      </c>
      <c r="BA23" s="329">
        <v>0</v>
      </c>
      <c r="BB23" s="329">
        <v>0</v>
      </c>
      <c r="BC23" s="329">
        <v>0</v>
      </c>
      <c r="BD23" s="329">
        <v>0</v>
      </c>
      <c r="BE23" s="329">
        <v>0</v>
      </c>
      <c r="BF23" s="329">
        <v>0</v>
      </c>
      <c r="BG23" s="329">
        <v>0</v>
      </c>
      <c r="BH23" s="329">
        <v>0</v>
      </c>
      <c r="BI23" s="329">
        <v>0</v>
      </c>
      <c r="BJ23" s="329">
        <v>0</v>
      </c>
      <c r="BK23" s="329">
        <v>0</v>
      </c>
      <c r="BL23" s="329">
        <v>0</v>
      </c>
      <c r="BM23" s="331"/>
      <c r="BN23" s="331"/>
      <c r="BO23" s="331"/>
      <c r="BP23" s="331"/>
      <c r="BQ23" s="331"/>
      <c r="BR23" s="331"/>
      <c r="BS23" s="331"/>
      <c r="BT23" s="331"/>
      <c r="BU23" s="331"/>
      <c r="BV23" s="331"/>
      <c r="BW23" s="331"/>
      <c r="BX23" s="331"/>
      <c r="BY23" s="329">
        <v>0</v>
      </c>
      <c r="BZ23" s="329">
        <v>0</v>
      </c>
      <c r="CA23" s="329">
        <v>0</v>
      </c>
      <c r="CB23" s="329">
        <v>0</v>
      </c>
      <c r="CC23" s="329">
        <v>0</v>
      </c>
      <c r="CD23" s="329">
        <v>0</v>
      </c>
      <c r="CE23" s="329">
        <v>0</v>
      </c>
      <c r="CF23" s="329">
        <v>0</v>
      </c>
      <c r="CG23" s="329">
        <v>0</v>
      </c>
      <c r="CH23" s="329">
        <v>0</v>
      </c>
      <c r="CI23" s="329">
        <v>0</v>
      </c>
      <c r="CJ23" s="329">
        <v>0</v>
      </c>
      <c r="CK23" s="329">
        <v>0</v>
      </c>
      <c r="CL23" s="329">
        <v>0</v>
      </c>
      <c r="CM23" s="329">
        <v>0</v>
      </c>
      <c r="CN23" s="329">
        <v>0</v>
      </c>
      <c r="CO23" s="329">
        <v>0</v>
      </c>
      <c r="CP23" s="329">
        <v>0</v>
      </c>
      <c r="CQ23" s="329">
        <v>0</v>
      </c>
      <c r="CR23" s="329">
        <v>0</v>
      </c>
      <c r="CS23" s="329">
        <v>0</v>
      </c>
      <c r="CT23" s="329">
        <v>0</v>
      </c>
      <c r="CU23" s="329">
        <v>0</v>
      </c>
      <c r="CV23" s="329">
        <v>0</v>
      </c>
      <c r="CW23" s="329">
        <v>0</v>
      </c>
      <c r="CX23" s="329">
        <v>0</v>
      </c>
      <c r="CY23" s="329">
        <v>0</v>
      </c>
      <c r="CZ23" s="329">
        <v>0</v>
      </c>
      <c r="DA23" s="329">
        <v>0</v>
      </c>
      <c r="DB23" s="329">
        <v>0</v>
      </c>
      <c r="DC23" s="329">
        <v>0</v>
      </c>
      <c r="DD23" s="329">
        <v>0</v>
      </c>
      <c r="DE23" s="329">
        <v>0</v>
      </c>
      <c r="DF23" s="329">
        <v>0</v>
      </c>
      <c r="DG23" s="329">
        <v>0</v>
      </c>
      <c r="DH23" s="329">
        <v>0</v>
      </c>
      <c r="DI23" s="331"/>
      <c r="DJ23" s="331"/>
      <c r="DK23" s="331"/>
      <c r="DL23" s="331"/>
      <c r="DM23" s="331"/>
      <c r="DN23" s="331"/>
      <c r="DO23" s="331"/>
      <c r="DP23" s="331"/>
      <c r="DQ23" s="331"/>
      <c r="DR23" s="331"/>
      <c r="DS23" s="331"/>
      <c r="DT23" s="331"/>
      <c r="DU23" s="330">
        <v>84.01</v>
      </c>
      <c r="DV23" s="330">
        <v>84.51</v>
      </c>
      <c r="DW23" s="330">
        <v>82.26</v>
      </c>
      <c r="DX23" s="330">
        <v>81.75</v>
      </c>
      <c r="DY23" s="330">
        <v>80.5</v>
      </c>
      <c r="DZ23" s="330">
        <v>79.75</v>
      </c>
      <c r="EA23" s="330">
        <v>79.66</v>
      </c>
      <c r="EB23" s="330">
        <v>79.08</v>
      </c>
      <c r="EC23" s="330">
        <v>78.739999999999995</v>
      </c>
      <c r="ED23" s="330">
        <v>78.16</v>
      </c>
      <c r="EE23" s="330">
        <v>78.739999999999995</v>
      </c>
      <c r="EF23" s="330">
        <v>76.900000000000006</v>
      </c>
      <c r="EG23" s="329">
        <v>0</v>
      </c>
      <c r="EH23" s="329">
        <v>0</v>
      </c>
      <c r="EI23" s="329">
        <v>0</v>
      </c>
      <c r="EJ23" s="329">
        <v>0</v>
      </c>
      <c r="EK23" s="329">
        <v>0</v>
      </c>
      <c r="EL23" s="329">
        <v>0</v>
      </c>
      <c r="EM23" s="329">
        <v>0</v>
      </c>
      <c r="EN23" s="329">
        <v>0</v>
      </c>
      <c r="EO23" s="329">
        <v>0</v>
      </c>
      <c r="EP23" s="329">
        <v>0</v>
      </c>
      <c r="EQ23" s="329">
        <v>0</v>
      </c>
      <c r="ER23" s="329">
        <v>0</v>
      </c>
      <c r="ES23" s="331"/>
      <c r="ET23" s="331"/>
      <c r="EU23" s="331"/>
      <c r="EV23" s="331"/>
      <c r="EW23" s="331"/>
      <c r="EX23" s="331"/>
      <c r="EY23" s="331"/>
      <c r="EZ23" s="331"/>
      <c r="FA23" s="331"/>
      <c r="FB23" s="331"/>
      <c r="FC23" s="331"/>
      <c r="FD23" s="331"/>
      <c r="FE23" s="329">
        <v>0</v>
      </c>
      <c r="FF23" s="329">
        <v>0</v>
      </c>
      <c r="FG23" s="329">
        <v>0</v>
      </c>
      <c r="FH23" s="329">
        <v>0</v>
      </c>
      <c r="FI23" s="329">
        <v>0</v>
      </c>
      <c r="FJ23" s="329">
        <v>0</v>
      </c>
      <c r="FK23" s="329">
        <v>0</v>
      </c>
      <c r="FL23" s="329">
        <v>0</v>
      </c>
      <c r="FM23" s="329">
        <v>0</v>
      </c>
      <c r="FN23" s="329">
        <v>0</v>
      </c>
      <c r="FO23" s="329">
        <v>0</v>
      </c>
      <c r="FP23" s="329">
        <v>0</v>
      </c>
      <c r="FQ23" s="329">
        <v>0</v>
      </c>
      <c r="FR23" s="329">
        <v>0</v>
      </c>
      <c r="FS23" s="329">
        <v>0</v>
      </c>
      <c r="FT23" s="329">
        <v>0</v>
      </c>
      <c r="FU23" s="329">
        <v>0</v>
      </c>
      <c r="FV23" s="329">
        <v>0</v>
      </c>
      <c r="FW23" s="329">
        <v>0</v>
      </c>
      <c r="FX23" s="329">
        <v>0</v>
      </c>
      <c r="FY23" s="329">
        <v>0</v>
      </c>
      <c r="FZ23" s="329">
        <v>0</v>
      </c>
      <c r="GA23" s="329">
        <v>0</v>
      </c>
      <c r="GB23" s="329">
        <v>0</v>
      </c>
      <c r="GC23" s="330">
        <v>13625.91</v>
      </c>
      <c r="GD23" s="330">
        <v>13632.25</v>
      </c>
      <c r="GE23" s="330">
        <v>13603.69</v>
      </c>
      <c r="GF23" s="330">
        <v>13490.51</v>
      </c>
      <c r="GG23" s="330">
        <v>13474.63</v>
      </c>
      <c r="GH23" s="330">
        <v>12182.29</v>
      </c>
      <c r="GI23" s="330">
        <v>12181.18</v>
      </c>
      <c r="GJ23" s="330">
        <v>12173.79</v>
      </c>
      <c r="GK23" s="330">
        <v>12169.55</v>
      </c>
      <c r="GL23" s="330">
        <v>12162.16</v>
      </c>
      <c r="GM23" s="330">
        <v>12169.55</v>
      </c>
      <c r="GN23" s="330">
        <v>11982.39</v>
      </c>
      <c r="GO23" s="331"/>
      <c r="GP23" s="331"/>
      <c r="GQ23" s="331"/>
      <c r="GR23" s="331"/>
      <c r="GS23" s="331"/>
      <c r="GT23" s="331"/>
      <c r="GU23" s="331"/>
      <c r="GV23" s="331"/>
      <c r="GW23" s="331"/>
      <c r="GX23" s="331"/>
      <c r="GY23" s="331"/>
      <c r="GZ23" s="331"/>
      <c r="HA23" s="330">
        <v>350.68</v>
      </c>
      <c r="HB23" s="330">
        <v>327.42</v>
      </c>
      <c r="HC23" s="330">
        <v>342.72</v>
      </c>
      <c r="HD23" s="330">
        <v>359.86</v>
      </c>
      <c r="HE23" s="330">
        <v>310.89999999999998</v>
      </c>
      <c r="HF23" s="330">
        <v>579.09</v>
      </c>
      <c r="HG23" s="330">
        <v>557.67999999999995</v>
      </c>
      <c r="HH23" s="330">
        <v>543.76</v>
      </c>
      <c r="HI23" s="330">
        <v>594.07000000000005</v>
      </c>
      <c r="HJ23" s="330">
        <v>535.20000000000005</v>
      </c>
      <c r="HK23" s="330">
        <v>519.14</v>
      </c>
      <c r="HL23" s="330">
        <v>570.52</v>
      </c>
      <c r="HM23" s="331"/>
      <c r="HN23" s="331"/>
      <c r="HO23" s="331"/>
      <c r="HP23" s="331"/>
      <c r="HQ23" s="331"/>
      <c r="HR23" s="331"/>
      <c r="HS23" s="331"/>
      <c r="HT23" s="331"/>
      <c r="HU23" s="331"/>
      <c r="HV23" s="331"/>
      <c r="HW23" s="331"/>
      <c r="HX23" s="331"/>
      <c r="HY23" s="329">
        <v>0</v>
      </c>
      <c r="HZ23" s="329">
        <v>0</v>
      </c>
      <c r="IA23" s="329">
        <v>0</v>
      </c>
      <c r="IB23" s="329">
        <v>0</v>
      </c>
      <c r="IC23" s="329">
        <v>0</v>
      </c>
      <c r="ID23" s="329">
        <v>0</v>
      </c>
      <c r="IE23" s="329">
        <v>0</v>
      </c>
      <c r="IF23" s="329">
        <v>0</v>
      </c>
      <c r="IG23" s="329">
        <v>0</v>
      </c>
      <c r="IH23" s="329">
        <v>0</v>
      </c>
      <c r="II23" s="329">
        <v>0</v>
      </c>
      <c r="IJ23" s="329">
        <v>0</v>
      </c>
      <c r="IK23" s="331"/>
      <c r="IL23" s="331"/>
      <c r="IM23" s="331"/>
      <c r="IN23" s="331"/>
      <c r="IO23" s="331"/>
      <c r="IP23" s="331"/>
      <c r="IQ23" s="331"/>
      <c r="IR23" s="331"/>
      <c r="IS23" s="331"/>
      <c r="IT23" s="331"/>
      <c r="IU23" s="331"/>
      <c r="IV23" s="331"/>
      <c r="IW23" s="331"/>
      <c r="IX23" s="331"/>
      <c r="IY23" s="331"/>
      <c r="IZ23" s="331"/>
      <c r="JA23" s="331"/>
      <c r="JB23" s="331"/>
      <c r="JC23" s="331"/>
      <c r="JD23" s="331"/>
      <c r="JE23" s="331"/>
      <c r="JF23" s="331"/>
      <c r="JG23" s="331"/>
      <c r="JH23" s="331"/>
      <c r="JI23" s="330">
        <v>209.8</v>
      </c>
      <c r="JJ23" s="331"/>
      <c r="JK23" s="331"/>
      <c r="JL23" s="331"/>
      <c r="JM23" s="331"/>
      <c r="JN23" s="331"/>
      <c r="JO23" s="331"/>
      <c r="JP23" s="331"/>
      <c r="JQ23" s="331"/>
      <c r="JR23" s="331"/>
      <c r="JS23" s="331"/>
      <c r="JT23" s="331"/>
      <c r="JU23" s="331"/>
      <c r="JV23" s="331"/>
      <c r="JW23" s="331"/>
      <c r="JX23" s="331"/>
      <c r="JY23" s="331"/>
      <c r="JZ23" s="331"/>
      <c r="KA23" s="331"/>
      <c r="KB23" s="331"/>
      <c r="KC23" s="331"/>
      <c r="KD23" s="331"/>
      <c r="KE23" s="331"/>
      <c r="KF23" s="331"/>
      <c r="KG23" s="331"/>
      <c r="KH23" s="331"/>
      <c r="KI23" s="331"/>
      <c r="KJ23" s="331"/>
      <c r="KK23" s="331"/>
      <c r="KL23" s="331"/>
      <c r="KM23" s="331"/>
      <c r="KN23" s="331"/>
      <c r="KO23" s="331"/>
      <c r="KP23" s="331"/>
      <c r="KQ23" s="331"/>
      <c r="KR23" s="331"/>
      <c r="KS23" s="331"/>
      <c r="KT23" s="331"/>
      <c r="KU23" s="331"/>
      <c r="KV23" s="331"/>
      <c r="KW23" s="331"/>
      <c r="KX23" s="331"/>
      <c r="KY23" s="331"/>
      <c r="KZ23" s="331"/>
      <c r="LA23" s="331"/>
      <c r="LB23" s="331"/>
      <c r="LC23" s="331"/>
      <c r="LD23" s="331"/>
      <c r="LE23" s="331"/>
      <c r="LF23" s="331"/>
      <c r="LG23" s="331"/>
      <c r="LH23" s="331"/>
      <c r="LI23" s="331"/>
      <c r="LJ23" s="331"/>
      <c r="LK23" s="331"/>
      <c r="LL23" s="331"/>
      <c r="LM23" s="331"/>
      <c r="LN23" s="331"/>
      <c r="LO23" s="331"/>
      <c r="LP23" s="331"/>
      <c r="LQ23" s="331"/>
      <c r="LR23" s="331"/>
      <c r="LS23" s="331"/>
      <c r="LT23" s="331"/>
      <c r="LU23" s="331"/>
      <c r="LV23" s="331"/>
      <c r="LW23" s="331"/>
      <c r="LX23" s="331"/>
      <c r="LY23" s="331"/>
      <c r="LZ23" s="331"/>
      <c r="MA23" s="331"/>
      <c r="MB23" s="331"/>
      <c r="MC23" s="331"/>
      <c r="MD23" s="331"/>
      <c r="ME23" s="331"/>
      <c r="MF23" s="331"/>
      <c r="MG23" s="331"/>
      <c r="MH23" s="331"/>
      <c r="MI23" s="331"/>
      <c r="MJ23" s="331"/>
      <c r="MK23" s="331"/>
      <c r="ML23" s="331"/>
      <c r="MM23" s="331"/>
      <c r="MN23" s="331"/>
      <c r="MO23" s="331"/>
      <c r="MP23" s="331"/>
      <c r="MQ23" s="331"/>
      <c r="MR23" s="331"/>
      <c r="MS23" s="331"/>
      <c r="MT23" s="331"/>
      <c r="MU23" s="331"/>
      <c r="MV23" s="331"/>
      <c r="MW23" s="331"/>
      <c r="MX23" s="331"/>
      <c r="MY23" s="331"/>
      <c r="MZ23" s="331"/>
      <c r="NA23" s="331"/>
      <c r="NB23" s="331"/>
      <c r="NC23" s="331"/>
      <c r="ND23" s="331"/>
      <c r="NE23" s="331"/>
      <c r="NF23" s="331"/>
      <c r="NG23" s="331"/>
      <c r="NH23" s="331"/>
      <c r="NI23" s="331"/>
      <c r="NJ23" s="331"/>
      <c r="NK23" s="331"/>
      <c r="NL23" s="331"/>
      <c r="NM23" s="331"/>
      <c r="NN23" s="331"/>
      <c r="NO23" s="331"/>
      <c r="NP23" s="331"/>
      <c r="NQ23" s="331"/>
      <c r="NR23" s="331"/>
      <c r="NS23" s="331"/>
      <c r="NT23" s="331"/>
      <c r="NU23" s="331"/>
      <c r="NV23" s="331"/>
      <c r="NW23" s="331"/>
      <c r="NX23" s="331"/>
      <c r="NY23" s="331"/>
      <c r="NZ23" s="331"/>
      <c r="OA23" s="331"/>
      <c r="OB23" s="331"/>
      <c r="OC23" s="331"/>
      <c r="OD23" s="331"/>
      <c r="OE23" s="331"/>
      <c r="OF23" s="331"/>
      <c r="OG23" s="331"/>
      <c r="OH23" s="331"/>
      <c r="OI23" s="331"/>
      <c r="OJ23" s="331"/>
      <c r="OK23" s="331"/>
      <c r="OL23" s="332">
        <f t="shared" si="0"/>
        <v>230061.79999999996</v>
      </c>
    </row>
    <row r="24" spans="1:402" ht="12.75" customHeight="1" thickBot="1">
      <c r="A24" s="320" t="s">
        <v>404</v>
      </c>
      <c r="B24" s="320" t="s">
        <v>405</v>
      </c>
      <c r="C24" s="320" t="s">
        <v>406</v>
      </c>
      <c r="D24" s="328" t="s">
        <v>428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Z24" s="329">
        <v>0</v>
      </c>
      <c r="AA24" s="329">
        <v>0</v>
      </c>
      <c r="AB24" s="329">
        <v>0</v>
      </c>
      <c r="AC24" s="329">
        <v>0</v>
      </c>
      <c r="AD24" s="329">
        <v>0</v>
      </c>
      <c r="AE24" s="329">
        <v>0</v>
      </c>
      <c r="AF24" s="329">
        <v>0</v>
      </c>
      <c r="AG24" s="329">
        <v>0</v>
      </c>
      <c r="AH24" s="329">
        <v>0</v>
      </c>
      <c r="AI24" s="329">
        <v>0</v>
      </c>
      <c r="AJ24" s="329">
        <v>0</v>
      </c>
      <c r="AK24" s="329">
        <v>0</v>
      </c>
      <c r="AL24" s="329">
        <v>0</v>
      </c>
      <c r="AM24" s="329">
        <v>0</v>
      </c>
      <c r="AN24" s="329">
        <v>0</v>
      </c>
      <c r="AO24" s="330">
        <v>8336.83</v>
      </c>
      <c r="AP24" s="330">
        <v>8336.83</v>
      </c>
      <c r="AQ24" s="330">
        <v>8336.83</v>
      </c>
      <c r="AR24" s="330">
        <v>8336.83</v>
      </c>
      <c r="AS24" s="330">
        <v>8336.83</v>
      </c>
      <c r="AT24" s="330">
        <v>8336.83</v>
      </c>
      <c r="AU24" s="330">
        <v>8336.83</v>
      </c>
      <c r="AV24" s="330">
        <v>8487.4500000000007</v>
      </c>
      <c r="AW24" s="330">
        <v>8336.83</v>
      </c>
      <c r="AX24" s="330">
        <v>8336.83</v>
      </c>
      <c r="AY24" s="330">
        <v>7089.23</v>
      </c>
      <c r="AZ24" s="330">
        <v>7662.77</v>
      </c>
      <c r="BA24" s="329">
        <v>0</v>
      </c>
      <c r="BB24" s="329">
        <v>0</v>
      </c>
      <c r="BC24" s="329">
        <v>0</v>
      </c>
      <c r="BD24" s="329">
        <v>0</v>
      </c>
      <c r="BE24" s="329">
        <v>0</v>
      </c>
      <c r="BF24" s="329">
        <v>0</v>
      </c>
      <c r="BG24" s="329">
        <v>0</v>
      </c>
      <c r="BH24" s="329">
        <v>0</v>
      </c>
      <c r="BI24" s="329">
        <v>0</v>
      </c>
      <c r="BJ24" s="329">
        <v>0</v>
      </c>
      <c r="BK24" s="329">
        <v>0</v>
      </c>
      <c r="BL24" s="329">
        <v>0</v>
      </c>
      <c r="BM24" s="331"/>
      <c r="BN24" s="331"/>
      <c r="BO24" s="331"/>
      <c r="BP24" s="331"/>
      <c r="BQ24" s="331"/>
      <c r="BR24" s="331"/>
      <c r="BS24" s="331"/>
      <c r="BT24" s="331"/>
      <c r="BU24" s="331"/>
      <c r="BV24" s="331"/>
      <c r="BW24" s="331"/>
      <c r="BX24" s="331"/>
      <c r="BY24" s="329">
        <v>0</v>
      </c>
      <c r="BZ24" s="329">
        <v>0</v>
      </c>
      <c r="CA24" s="329">
        <v>0</v>
      </c>
      <c r="CB24" s="329">
        <v>0</v>
      </c>
      <c r="CC24" s="329">
        <v>0</v>
      </c>
      <c r="CD24" s="329">
        <v>0</v>
      </c>
      <c r="CE24" s="329">
        <v>0</v>
      </c>
      <c r="CF24" s="329">
        <v>0</v>
      </c>
      <c r="CG24" s="329">
        <v>0</v>
      </c>
      <c r="CH24" s="329">
        <v>0</v>
      </c>
      <c r="CI24" s="329">
        <v>0</v>
      </c>
      <c r="CJ24" s="329">
        <v>0</v>
      </c>
      <c r="CK24" s="329">
        <v>0</v>
      </c>
      <c r="CL24" s="329">
        <v>0</v>
      </c>
      <c r="CM24" s="329">
        <v>0</v>
      </c>
      <c r="CN24" s="329">
        <v>0</v>
      </c>
      <c r="CO24" s="329">
        <v>0</v>
      </c>
      <c r="CP24" s="329">
        <v>0</v>
      </c>
      <c r="CQ24" s="329">
        <v>0</v>
      </c>
      <c r="CR24" s="329">
        <v>0</v>
      </c>
      <c r="CS24" s="329">
        <v>0</v>
      </c>
      <c r="CT24" s="329">
        <v>0</v>
      </c>
      <c r="CU24" s="329">
        <v>0</v>
      </c>
      <c r="CV24" s="329">
        <v>0</v>
      </c>
      <c r="CW24" s="329">
        <v>0</v>
      </c>
      <c r="CX24" s="329">
        <v>0</v>
      </c>
      <c r="CY24" s="329">
        <v>0</v>
      </c>
      <c r="CZ24" s="329">
        <v>0</v>
      </c>
      <c r="DA24" s="329">
        <v>0</v>
      </c>
      <c r="DB24" s="329">
        <v>0</v>
      </c>
      <c r="DC24" s="329">
        <v>0</v>
      </c>
      <c r="DD24" s="329">
        <v>0</v>
      </c>
      <c r="DE24" s="329">
        <v>0</v>
      </c>
      <c r="DF24" s="329">
        <v>0</v>
      </c>
      <c r="DG24" s="329">
        <v>0</v>
      </c>
      <c r="DH24" s="329">
        <v>0</v>
      </c>
      <c r="DI24" s="331"/>
      <c r="DJ24" s="331"/>
      <c r="DK24" s="331"/>
      <c r="DL24" s="331"/>
      <c r="DM24" s="331"/>
      <c r="DN24" s="331"/>
      <c r="DO24" s="331"/>
      <c r="DP24" s="331"/>
      <c r="DQ24" s="331"/>
      <c r="DR24" s="331"/>
      <c r="DS24" s="331"/>
      <c r="DT24" s="331"/>
      <c r="DU24" s="330">
        <v>114.87</v>
      </c>
      <c r="DV24" s="330">
        <v>114.87</v>
      </c>
      <c r="DW24" s="330">
        <v>114.87</v>
      </c>
      <c r="DX24" s="330">
        <v>114.87</v>
      </c>
      <c r="DY24" s="330">
        <v>114.87</v>
      </c>
      <c r="DZ24" s="330">
        <v>114.87</v>
      </c>
      <c r="EA24" s="330">
        <v>114.87</v>
      </c>
      <c r="EB24" s="330">
        <v>116.98</v>
      </c>
      <c r="EC24" s="330">
        <v>114.87</v>
      </c>
      <c r="ED24" s="330">
        <v>114.87</v>
      </c>
      <c r="EE24" s="330">
        <v>97.4</v>
      </c>
      <c r="EF24" s="330">
        <v>105.43</v>
      </c>
      <c r="EG24" s="329">
        <v>0</v>
      </c>
      <c r="EH24" s="329">
        <v>0</v>
      </c>
      <c r="EI24" s="329">
        <v>0</v>
      </c>
      <c r="EJ24" s="329">
        <v>0</v>
      </c>
      <c r="EK24" s="329">
        <v>0</v>
      </c>
      <c r="EL24" s="329">
        <v>0</v>
      </c>
      <c r="EM24" s="329">
        <v>0</v>
      </c>
      <c r="EN24" s="329">
        <v>0</v>
      </c>
      <c r="EO24" s="329">
        <v>0</v>
      </c>
      <c r="EP24" s="329">
        <v>0</v>
      </c>
      <c r="EQ24" s="329">
        <v>0</v>
      </c>
      <c r="ER24" s="329">
        <v>0</v>
      </c>
      <c r="ES24" s="331"/>
      <c r="ET24" s="331"/>
      <c r="EU24" s="331"/>
      <c r="EV24" s="331"/>
      <c r="EW24" s="331"/>
      <c r="EX24" s="331"/>
      <c r="EY24" s="331"/>
      <c r="EZ24" s="331"/>
      <c r="FA24" s="331"/>
      <c r="FB24" s="331"/>
      <c r="FC24" s="331"/>
      <c r="FD24" s="331"/>
      <c r="FE24" s="329">
        <v>0</v>
      </c>
      <c r="FF24" s="329">
        <v>0</v>
      </c>
      <c r="FG24" s="329">
        <v>0</v>
      </c>
      <c r="FH24" s="329">
        <v>0</v>
      </c>
      <c r="FI24" s="329">
        <v>0</v>
      </c>
      <c r="FJ24" s="329">
        <v>0</v>
      </c>
      <c r="FK24" s="329">
        <v>0</v>
      </c>
      <c r="FL24" s="329">
        <v>0</v>
      </c>
      <c r="FM24" s="329">
        <v>0</v>
      </c>
      <c r="FN24" s="329">
        <v>0</v>
      </c>
      <c r="FO24" s="329">
        <v>0</v>
      </c>
      <c r="FP24" s="329">
        <v>0</v>
      </c>
      <c r="FQ24" s="329">
        <v>0</v>
      </c>
      <c r="FR24" s="329">
        <v>0</v>
      </c>
      <c r="FS24" s="329">
        <v>0</v>
      </c>
      <c r="FT24" s="329">
        <v>0</v>
      </c>
      <c r="FU24" s="329">
        <v>0</v>
      </c>
      <c r="FV24" s="329">
        <v>0</v>
      </c>
      <c r="FW24" s="329">
        <v>0</v>
      </c>
      <c r="FX24" s="329">
        <v>0</v>
      </c>
      <c r="FY24" s="329">
        <v>0</v>
      </c>
      <c r="FZ24" s="329">
        <v>0</v>
      </c>
      <c r="GA24" s="329">
        <v>0</v>
      </c>
      <c r="GB24" s="329">
        <v>0</v>
      </c>
      <c r="GC24" s="330">
        <v>8508.68</v>
      </c>
      <c r="GD24" s="330">
        <v>8508.68</v>
      </c>
      <c r="GE24" s="330">
        <v>8508.68</v>
      </c>
      <c r="GF24" s="330">
        <v>6842.18</v>
      </c>
      <c r="GG24" s="330">
        <v>6842.18</v>
      </c>
      <c r="GH24" s="330">
        <v>6287.19</v>
      </c>
      <c r="GI24" s="330">
        <v>6287.19</v>
      </c>
      <c r="GJ24" s="330">
        <v>6313.88</v>
      </c>
      <c r="GK24" s="330">
        <v>6287.19</v>
      </c>
      <c r="GL24" s="330">
        <v>6287.19</v>
      </c>
      <c r="GM24" s="330">
        <v>6066.13</v>
      </c>
      <c r="GN24" s="330">
        <v>6452.64</v>
      </c>
      <c r="GO24" s="331"/>
      <c r="GP24" s="331"/>
      <c r="GQ24" s="331"/>
      <c r="GR24" s="331"/>
      <c r="GS24" s="331"/>
      <c r="GT24" s="331"/>
      <c r="GU24" s="331"/>
      <c r="GV24" s="331"/>
      <c r="GW24" s="331"/>
      <c r="GX24" s="331"/>
      <c r="GY24" s="331"/>
      <c r="GZ24" s="331"/>
      <c r="HA24" s="330">
        <v>89.96</v>
      </c>
      <c r="HB24" s="330">
        <v>156.06</v>
      </c>
      <c r="HC24" s="330">
        <v>31.21</v>
      </c>
      <c r="HD24" s="330">
        <v>22.03</v>
      </c>
      <c r="HE24" s="330">
        <v>14.69</v>
      </c>
      <c r="HF24" s="330">
        <v>38.53</v>
      </c>
      <c r="HG24" s="330">
        <v>221.57</v>
      </c>
      <c r="HH24" s="330">
        <v>292.22000000000003</v>
      </c>
      <c r="HI24" s="330">
        <v>176.62</v>
      </c>
      <c r="HJ24" s="329">
        <v>228</v>
      </c>
      <c r="HK24" s="330">
        <v>250.47</v>
      </c>
      <c r="HL24" s="330">
        <v>247.26</v>
      </c>
      <c r="HM24" s="331"/>
      <c r="HN24" s="331"/>
      <c r="HO24" s="331"/>
      <c r="HP24" s="331"/>
      <c r="HQ24" s="331"/>
      <c r="HR24" s="331"/>
      <c r="HS24" s="331"/>
      <c r="HT24" s="331"/>
      <c r="HU24" s="331"/>
      <c r="HV24" s="331"/>
      <c r="HW24" s="331"/>
      <c r="HX24" s="331"/>
      <c r="HY24" s="329">
        <v>0</v>
      </c>
      <c r="HZ24" s="329">
        <v>0</v>
      </c>
      <c r="IA24" s="329">
        <v>0</v>
      </c>
      <c r="IB24" s="329">
        <v>0</v>
      </c>
      <c r="IC24" s="329">
        <v>0</v>
      </c>
      <c r="ID24" s="329">
        <v>0</v>
      </c>
      <c r="IE24" s="329">
        <v>0</v>
      </c>
      <c r="IF24" s="329">
        <v>0</v>
      </c>
      <c r="IG24" s="329">
        <v>0</v>
      </c>
      <c r="IH24" s="329">
        <v>0</v>
      </c>
      <c r="II24" s="329">
        <v>0</v>
      </c>
      <c r="IJ24" s="329">
        <v>0</v>
      </c>
      <c r="IK24" s="331"/>
      <c r="IL24" s="331"/>
      <c r="IM24" s="331"/>
      <c r="IN24" s="331"/>
      <c r="IO24" s="331"/>
      <c r="IP24" s="331"/>
      <c r="IQ24" s="331"/>
      <c r="IR24" s="331"/>
      <c r="IS24" s="331"/>
      <c r="IT24" s="331"/>
      <c r="IU24" s="331"/>
      <c r="IV24" s="331"/>
      <c r="IW24" s="331"/>
      <c r="IX24" s="331"/>
      <c r="IY24" s="331"/>
      <c r="IZ24" s="331"/>
      <c r="JA24" s="331"/>
      <c r="JB24" s="331"/>
      <c r="JC24" s="331"/>
      <c r="JD24" s="331"/>
      <c r="JE24" s="331"/>
      <c r="JF24" s="331"/>
      <c r="JG24" s="331"/>
      <c r="JH24" s="331"/>
      <c r="JI24" s="330">
        <v>287.64</v>
      </c>
      <c r="JJ24" s="331"/>
      <c r="JK24" s="331"/>
      <c r="JL24" s="331"/>
      <c r="JM24" s="331"/>
      <c r="JN24" s="331"/>
      <c r="JO24" s="331"/>
      <c r="JP24" s="331"/>
      <c r="JQ24" s="331"/>
      <c r="JR24" s="331"/>
      <c r="JS24" s="331"/>
      <c r="JT24" s="331"/>
      <c r="JU24" s="331"/>
      <c r="JV24" s="331"/>
      <c r="JW24" s="331"/>
      <c r="JX24" s="331"/>
      <c r="JY24" s="331"/>
      <c r="JZ24" s="331"/>
      <c r="KA24" s="331"/>
      <c r="KB24" s="331"/>
      <c r="KC24" s="331"/>
      <c r="KD24" s="331"/>
      <c r="KE24" s="331"/>
      <c r="KF24" s="331"/>
      <c r="KG24" s="331"/>
      <c r="KH24" s="331"/>
      <c r="KI24" s="331"/>
      <c r="KJ24" s="331"/>
      <c r="KK24" s="331"/>
      <c r="KL24" s="331"/>
      <c r="KM24" s="331"/>
      <c r="KN24" s="331"/>
      <c r="KO24" s="331"/>
      <c r="KP24" s="331"/>
      <c r="KQ24" s="331"/>
      <c r="KR24" s="331"/>
      <c r="KS24" s="331"/>
      <c r="KT24" s="331"/>
      <c r="KU24" s="331"/>
      <c r="KV24" s="331"/>
      <c r="KW24" s="331"/>
      <c r="KX24" s="331"/>
      <c r="KY24" s="331"/>
      <c r="KZ24" s="331"/>
      <c r="LA24" s="331"/>
      <c r="LB24" s="331"/>
      <c r="LC24" s="331"/>
      <c r="LD24" s="331"/>
      <c r="LE24" s="331"/>
      <c r="LF24" s="331"/>
      <c r="LG24" s="331"/>
      <c r="LH24" s="331"/>
      <c r="LI24" s="331"/>
      <c r="LJ24" s="331"/>
      <c r="LK24" s="331"/>
      <c r="LL24" s="331"/>
      <c r="LM24" s="331"/>
      <c r="LN24" s="331"/>
      <c r="LO24" s="331"/>
      <c r="LP24" s="331"/>
      <c r="LQ24" s="331"/>
      <c r="LR24" s="331"/>
      <c r="LS24" s="331"/>
      <c r="LT24" s="331"/>
      <c r="LU24" s="331"/>
      <c r="LV24" s="331"/>
      <c r="LW24" s="331"/>
      <c r="LX24" s="331"/>
      <c r="LY24" s="331"/>
      <c r="LZ24" s="331"/>
      <c r="MA24" s="331"/>
      <c r="MB24" s="331"/>
      <c r="MC24" s="331"/>
      <c r="MD24" s="331"/>
      <c r="ME24" s="331"/>
      <c r="MF24" s="331"/>
      <c r="MG24" s="331"/>
      <c r="MH24" s="331"/>
      <c r="MI24" s="331"/>
      <c r="MJ24" s="331"/>
      <c r="MK24" s="331"/>
      <c r="ML24" s="331"/>
      <c r="MM24" s="331"/>
      <c r="MN24" s="331"/>
      <c r="MO24" s="331"/>
      <c r="MP24" s="331"/>
      <c r="MQ24" s="331"/>
      <c r="MR24" s="331"/>
      <c r="MS24" s="331"/>
      <c r="MT24" s="331"/>
      <c r="MU24" s="331"/>
      <c r="MV24" s="331"/>
      <c r="MW24" s="331"/>
      <c r="MX24" s="331"/>
      <c r="MY24" s="331"/>
      <c r="MZ24" s="331"/>
      <c r="NA24" s="331"/>
      <c r="NB24" s="331"/>
      <c r="NC24" s="331"/>
      <c r="ND24" s="331"/>
      <c r="NE24" s="331"/>
      <c r="NF24" s="331"/>
      <c r="NG24" s="331"/>
      <c r="NH24" s="331"/>
      <c r="NI24" s="331"/>
      <c r="NJ24" s="331"/>
      <c r="NK24" s="331"/>
      <c r="NL24" s="331"/>
      <c r="NM24" s="331"/>
      <c r="NN24" s="331"/>
      <c r="NO24" s="331"/>
      <c r="NP24" s="331"/>
      <c r="NQ24" s="331"/>
      <c r="NR24" s="331"/>
      <c r="NS24" s="331"/>
      <c r="NT24" s="331"/>
      <c r="NU24" s="331"/>
      <c r="NV24" s="331"/>
      <c r="NW24" s="331"/>
      <c r="NX24" s="331"/>
      <c r="NY24" s="331"/>
      <c r="NZ24" s="331"/>
      <c r="OA24" s="331"/>
      <c r="OB24" s="331"/>
      <c r="OC24" s="331"/>
      <c r="OD24" s="331"/>
      <c r="OE24" s="331"/>
      <c r="OF24" s="331"/>
      <c r="OG24" s="331"/>
      <c r="OH24" s="331"/>
      <c r="OI24" s="331"/>
      <c r="OJ24" s="331"/>
      <c r="OK24" s="331"/>
      <c r="OL24" s="332">
        <f t="shared" si="0"/>
        <v>184872.62999999998</v>
      </c>
    </row>
    <row r="25" spans="1:402" ht="12.75" customHeight="1" thickBot="1">
      <c r="A25" s="320" t="s">
        <v>404</v>
      </c>
      <c r="B25" s="320" t="s">
        <v>405</v>
      </c>
      <c r="C25" s="320" t="s">
        <v>406</v>
      </c>
      <c r="D25" s="328" t="s">
        <v>429</v>
      </c>
      <c r="E25" s="329">
        <v>0</v>
      </c>
      <c r="F25" s="329">
        <v>0</v>
      </c>
      <c r="G25" s="329">
        <v>0</v>
      </c>
      <c r="H25" s="329">
        <v>0</v>
      </c>
      <c r="I25" s="329">
        <v>0</v>
      </c>
      <c r="J25" s="329">
        <v>0</v>
      </c>
      <c r="K25" s="329">
        <v>0</v>
      </c>
      <c r="L25" s="329">
        <v>0</v>
      </c>
      <c r="M25" s="329">
        <v>0</v>
      </c>
      <c r="N25" s="329">
        <v>0</v>
      </c>
      <c r="O25" s="329">
        <v>0</v>
      </c>
      <c r="P25" s="329">
        <v>0</v>
      </c>
      <c r="Q25" s="329">
        <v>0</v>
      </c>
      <c r="R25" s="329">
        <v>0</v>
      </c>
      <c r="S25" s="329">
        <v>0</v>
      </c>
      <c r="T25" s="329">
        <v>0</v>
      </c>
      <c r="U25" s="329">
        <v>0</v>
      </c>
      <c r="V25" s="329">
        <v>0</v>
      </c>
      <c r="W25" s="329">
        <v>0</v>
      </c>
      <c r="X25" s="329">
        <v>0</v>
      </c>
      <c r="Y25" s="329">
        <v>0</v>
      </c>
      <c r="Z25" s="329">
        <v>0</v>
      </c>
      <c r="AA25" s="329">
        <v>0</v>
      </c>
      <c r="AB25" s="329">
        <v>0</v>
      </c>
      <c r="AC25" s="329">
        <v>0</v>
      </c>
      <c r="AD25" s="329">
        <v>0</v>
      </c>
      <c r="AE25" s="329">
        <v>0</v>
      </c>
      <c r="AF25" s="329">
        <v>0</v>
      </c>
      <c r="AG25" s="329">
        <v>0</v>
      </c>
      <c r="AH25" s="329">
        <v>0</v>
      </c>
      <c r="AI25" s="329">
        <v>0</v>
      </c>
      <c r="AJ25" s="329">
        <v>0</v>
      </c>
      <c r="AK25" s="329">
        <v>0</v>
      </c>
      <c r="AL25" s="329">
        <v>0</v>
      </c>
      <c r="AM25" s="329">
        <v>0</v>
      </c>
      <c r="AN25" s="329">
        <v>0</v>
      </c>
      <c r="AO25" s="330">
        <v>18374.900000000001</v>
      </c>
      <c r="AP25" s="330">
        <v>18374.900000000001</v>
      </c>
      <c r="AQ25" s="330">
        <v>18374.900000000001</v>
      </c>
      <c r="AR25" s="330">
        <v>18374.900000000001</v>
      </c>
      <c r="AS25" s="330">
        <v>18374.900000000001</v>
      </c>
      <c r="AT25" s="330">
        <v>18374.900000000001</v>
      </c>
      <c r="AU25" s="330">
        <v>18374.900000000001</v>
      </c>
      <c r="AV25" s="330">
        <v>18374.900000000001</v>
      </c>
      <c r="AW25" s="330">
        <v>18374.900000000001</v>
      </c>
      <c r="AX25" s="330">
        <v>14632.09</v>
      </c>
      <c r="AY25" s="330">
        <v>14632.09</v>
      </c>
      <c r="AZ25" s="330">
        <v>14632.09</v>
      </c>
      <c r="BA25" s="329">
        <v>0</v>
      </c>
      <c r="BB25" s="329">
        <v>0</v>
      </c>
      <c r="BC25" s="329">
        <v>0</v>
      </c>
      <c r="BD25" s="329">
        <v>0</v>
      </c>
      <c r="BE25" s="329">
        <v>0</v>
      </c>
      <c r="BF25" s="329">
        <v>0</v>
      </c>
      <c r="BG25" s="329">
        <v>0</v>
      </c>
      <c r="BH25" s="329">
        <v>0</v>
      </c>
      <c r="BI25" s="329">
        <v>0</v>
      </c>
      <c r="BJ25" s="329">
        <v>0</v>
      </c>
      <c r="BK25" s="329">
        <v>0</v>
      </c>
      <c r="BL25" s="329">
        <v>0</v>
      </c>
      <c r="BM25" s="331"/>
      <c r="BN25" s="331"/>
      <c r="BO25" s="331"/>
      <c r="BP25" s="331"/>
      <c r="BQ25" s="331"/>
      <c r="BR25" s="331"/>
      <c r="BS25" s="331"/>
      <c r="BT25" s="331"/>
      <c r="BU25" s="331"/>
      <c r="BV25" s="331"/>
      <c r="BW25" s="331"/>
      <c r="BX25" s="331"/>
      <c r="BY25" s="329">
        <v>0</v>
      </c>
      <c r="BZ25" s="329">
        <v>0</v>
      </c>
      <c r="CA25" s="329">
        <v>0</v>
      </c>
      <c r="CB25" s="329">
        <v>0</v>
      </c>
      <c r="CC25" s="329">
        <v>0</v>
      </c>
      <c r="CD25" s="329">
        <v>0</v>
      </c>
      <c r="CE25" s="329">
        <v>0</v>
      </c>
      <c r="CF25" s="329">
        <v>0</v>
      </c>
      <c r="CG25" s="329">
        <v>0</v>
      </c>
      <c r="CH25" s="329">
        <v>0</v>
      </c>
      <c r="CI25" s="329">
        <v>0</v>
      </c>
      <c r="CJ25" s="329">
        <v>0</v>
      </c>
      <c r="CK25" s="329">
        <v>0</v>
      </c>
      <c r="CL25" s="329">
        <v>0</v>
      </c>
      <c r="CM25" s="329">
        <v>0</v>
      </c>
      <c r="CN25" s="329">
        <v>0</v>
      </c>
      <c r="CO25" s="329">
        <v>0</v>
      </c>
      <c r="CP25" s="329">
        <v>0</v>
      </c>
      <c r="CQ25" s="329">
        <v>0</v>
      </c>
      <c r="CR25" s="329">
        <v>0</v>
      </c>
      <c r="CS25" s="329">
        <v>0</v>
      </c>
      <c r="CT25" s="329">
        <v>0</v>
      </c>
      <c r="CU25" s="329">
        <v>0</v>
      </c>
      <c r="CV25" s="329">
        <v>0</v>
      </c>
      <c r="CW25" s="329">
        <v>0</v>
      </c>
      <c r="CX25" s="329">
        <v>0</v>
      </c>
      <c r="CY25" s="329">
        <v>0</v>
      </c>
      <c r="CZ25" s="329">
        <v>0</v>
      </c>
      <c r="DA25" s="329">
        <v>0</v>
      </c>
      <c r="DB25" s="329">
        <v>0</v>
      </c>
      <c r="DC25" s="329">
        <v>0</v>
      </c>
      <c r="DD25" s="329">
        <v>0</v>
      </c>
      <c r="DE25" s="329">
        <v>0</v>
      </c>
      <c r="DF25" s="329">
        <v>0</v>
      </c>
      <c r="DG25" s="329">
        <v>0</v>
      </c>
      <c r="DH25" s="329">
        <v>0</v>
      </c>
      <c r="DI25" s="331"/>
      <c r="DJ25" s="331"/>
      <c r="DK25" s="331"/>
      <c r="DL25" s="331"/>
      <c r="DM25" s="331"/>
      <c r="DN25" s="331"/>
      <c r="DO25" s="331"/>
      <c r="DP25" s="331"/>
      <c r="DQ25" s="331"/>
      <c r="DR25" s="331"/>
      <c r="DS25" s="331"/>
      <c r="DT25" s="331"/>
      <c r="DU25" s="330">
        <v>255.45</v>
      </c>
      <c r="DV25" s="330">
        <v>255.45</v>
      </c>
      <c r="DW25" s="330">
        <v>255.45</v>
      </c>
      <c r="DX25" s="330">
        <v>255.45</v>
      </c>
      <c r="DY25" s="330">
        <v>255.45</v>
      </c>
      <c r="DZ25" s="330">
        <v>255.45</v>
      </c>
      <c r="EA25" s="330">
        <v>255.45</v>
      </c>
      <c r="EB25" s="330">
        <v>255.45</v>
      </c>
      <c r="EC25" s="330">
        <v>255.45</v>
      </c>
      <c r="ED25" s="330">
        <v>203.04</v>
      </c>
      <c r="EE25" s="330">
        <v>203.04</v>
      </c>
      <c r="EF25" s="330">
        <v>203.04</v>
      </c>
      <c r="EG25" s="329">
        <v>0</v>
      </c>
      <c r="EH25" s="329">
        <v>0</v>
      </c>
      <c r="EI25" s="329">
        <v>0</v>
      </c>
      <c r="EJ25" s="329">
        <v>0</v>
      </c>
      <c r="EK25" s="329">
        <v>0</v>
      </c>
      <c r="EL25" s="329">
        <v>0</v>
      </c>
      <c r="EM25" s="329">
        <v>0</v>
      </c>
      <c r="EN25" s="329">
        <v>0</v>
      </c>
      <c r="EO25" s="329">
        <v>0</v>
      </c>
      <c r="EP25" s="329">
        <v>0</v>
      </c>
      <c r="EQ25" s="329">
        <v>0</v>
      </c>
      <c r="ER25" s="329">
        <v>0</v>
      </c>
      <c r="ES25" s="331"/>
      <c r="ET25" s="331"/>
      <c r="EU25" s="331"/>
      <c r="EV25" s="331"/>
      <c r="EW25" s="331"/>
      <c r="EX25" s="331"/>
      <c r="EY25" s="331"/>
      <c r="EZ25" s="331"/>
      <c r="FA25" s="331"/>
      <c r="FB25" s="331"/>
      <c r="FC25" s="331"/>
      <c r="FD25" s="331"/>
      <c r="FE25" s="329">
        <v>0</v>
      </c>
      <c r="FF25" s="329">
        <v>0</v>
      </c>
      <c r="FG25" s="329">
        <v>0</v>
      </c>
      <c r="FH25" s="329">
        <v>0</v>
      </c>
      <c r="FI25" s="329">
        <v>0</v>
      </c>
      <c r="FJ25" s="329">
        <v>0</v>
      </c>
      <c r="FK25" s="329">
        <v>0</v>
      </c>
      <c r="FL25" s="329">
        <v>0</v>
      </c>
      <c r="FM25" s="329">
        <v>0</v>
      </c>
      <c r="FN25" s="329">
        <v>0</v>
      </c>
      <c r="FO25" s="329">
        <v>0</v>
      </c>
      <c r="FP25" s="329">
        <v>0</v>
      </c>
      <c r="FQ25" s="329">
        <v>0</v>
      </c>
      <c r="FR25" s="329">
        <v>0</v>
      </c>
      <c r="FS25" s="329">
        <v>0</v>
      </c>
      <c r="FT25" s="329">
        <v>0</v>
      </c>
      <c r="FU25" s="329">
        <v>0</v>
      </c>
      <c r="FV25" s="329">
        <v>0</v>
      </c>
      <c r="FW25" s="329">
        <v>0</v>
      </c>
      <c r="FX25" s="329">
        <v>0</v>
      </c>
      <c r="FY25" s="329">
        <v>0</v>
      </c>
      <c r="FZ25" s="329">
        <v>0</v>
      </c>
      <c r="GA25" s="329">
        <v>0</v>
      </c>
      <c r="GB25" s="329">
        <v>0</v>
      </c>
      <c r="GC25" s="330">
        <v>29691.98</v>
      </c>
      <c r="GD25" s="330">
        <v>29691.98</v>
      </c>
      <c r="GE25" s="330">
        <v>29691.98</v>
      </c>
      <c r="GF25" s="330">
        <v>23473.360000000001</v>
      </c>
      <c r="GG25" s="330">
        <v>23473.360000000001</v>
      </c>
      <c r="GH25" s="330">
        <v>21388.7</v>
      </c>
      <c r="GI25" s="330">
        <v>21388.7</v>
      </c>
      <c r="GJ25" s="330">
        <v>21388.7</v>
      </c>
      <c r="GK25" s="330">
        <v>21388.7</v>
      </c>
      <c r="GL25" s="330">
        <v>20725.509999999998</v>
      </c>
      <c r="GM25" s="330">
        <v>20725.509999999998</v>
      </c>
      <c r="GN25" s="330">
        <v>20844.099999999999</v>
      </c>
      <c r="GO25" s="331"/>
      <c r="GP25" s="331"/>
      <c r="GQ25" s="331"/>
      <c r="GR25" s="331"/>
      <c r="GS25" s="331"/>
      <c r="GT25" s="331"/>
      <c r="GU25" s="331"/>
      <c r="GV25" s="331"/>
      <c r="GW25" s="331"/>
      <c r="GX25" s="331"/>
      <c r="GY25" s="331"/>
      <c r="GZ25" s="331"/>
      <c r="HA25" s="330">
        <v>668.3</v>
      </c>
      <c r="HB25" s="330">
        <v>514.08000000000004</v>
      </c>
      <c r="HC25" s="330">
        <v>539.78</v>
      </c>
      <c r="HD25" s="330">
        <v>567.32000000000005</v>
      </c>
      <c r="HE25" s="330">
        <v>442.48</v>
      </c>
      <c r="HF25" s="330">
        <v>105.97</v>
      </c>
      <c r="HG25" s="330">
        <v>889.5</v>
      </c>
      <c r="HH25" s="330">
        <v>9.6300000000000008</v>
      </c>
      <c r="HI25" s="330">
        <v>12.84</v>
      </c>
      <c r="HJ25" s="330">
        <v>12.84</v>
      </c>
      <c r="HK25" s="330">
        <v>16.059999999999999</v>
      </c>
      <c r="HL25" s="330">
        <v>9.6300000000000008</v>
      </c>
      <c r="HM25" s="331"/>
      <c r="HN25" s="331"/>
      <c r="HO25" s="331"/>
      <c r="HP25" s="331"/>
      <c r="HQ25" s="331"/>
      <c r="HR25" s="331"/>
      <c r="HS25" s="331"/>
      <c r="HT25" s="331"/>
      <c r="HU25" s="331"/>
      <c r="HV25" s="331"/>
      <c r="HW25" s="331"/>
      <c r="HX25" s="331"/>
      <c r="HY25" s="329">
        <v>0</v>
      </c>
      <c r="HZ25" s="329">
        <v>0</v>
      </c>
      <c r="IA25" s="329">
        <v>0</v>
      </c>
      <c r="IB25" s="329">
        <v>0</v>
      </c>
      <c r="IC25" s="329">
        <v>0</v>
      </c>
      <c r="ID25" s="329">
        <v>0</v>
      </c>
      <c r="IE25" s="329">
        <v>0</v>
      </c>
      <c r="IF25" s="329">
        <v>0</v>
      </c>
      <c r="IG25" s="329">
        <v>0</v>
      </c>
      <c r="IH25" s="329">
        <v>0</v>
      </c>
      <c r="II25" s="329">
        <v>0</v>
      </c>
      <c r="IJ25" s="329">
        <v>0</v>
      </c>
      <c r="IK25" s="331"/>
      <c r="IL25" s="331"/>
      <c r="IM25" s="331"/>
      <c r="IN25" s="331"/>
      <c r="IO25" s="331"/>
      <c r="IP25" s="331"/>
      <c r="IQ25" s="331"/>
      <c r="IR25" s="331"/>
      <c r="IS25" s="331"/>
      <c r="IT25" s="331"/>
      <c r="IU25" s="331"/>
      <c r="IV25" s="331"/>
      <c r="IW25" s="331"/>
      <c r="IX25" s="331"/>
      <c r="IY25" s="331"/>
      <c r="IZ25" s="331"/>
      <c r="JA25" s="331"/>
      <c r="JB25" s="331"/>
      <c r="JC25" s="331"/>
      <c r="JD25" s="331"/>
      <c r="JE25" s="331"/>
      <c r="JF25" s="331"/>
      <c r="JG25" s="331"/>
      <c r="JH25" s="331"/>
      <c r="JI25" s="330">
        <v>553.91999999999996</v>
      </c>
      <c r="JJ25" s="331"/>
      <c r="JK25" s="331"/>
      <c r="JL25" s="331"/>
      <c r="JM25" s="331"/>
      <c r="JN25" s="331"/>
      <c r="JO25" s="331"/>
      <c r="JP25" s="331"/>
      <c r="JQ25" s="331"/>
      <c r="JR25" s="331"/>
      <c r="JS25" s="331"/>
      <c r="JT25" s="331"/>
      <c r="JU25" s="331"/>
      <c r="JV25" s="331"/>
      <c r="JW25" s="331"/>
      <c r="JX25" s="331"/>
      <c r="JY25" s="331"/>
      <c r="JZ25" s="331"/>
      <c r="KA25" s="331"/>
      <c r="KB25" s="331"/>
      <c r="KC25" s="331"/>
      <c r="KD25" s="331"/>
      <c r="KE25" s="331"/>
      <c r="KF25" s="331"/>
      <c r="KG25" s="331"/>
      <c r="KH25" s="331"/>
      <c r="KI25" s="331"/>
      <c r="KJ25" s="331"/>
      <c r="KK25" s="331"/>
      <c r="KL25" s="331"/>
      <c r="KM25" s="331"/>
      <c r="KN25" s="331"/>
      <c r="KO25" s="331"/>
      <c r="KP25" s="331"/>
      <c r="KQ25" s="331"/>
      <c r="KR25" s="331"/>
      <c r="KS25" s="331"/>
      <c r="KT25" s="331"/>
      <c r="KU25" s="331"/>
      <c r="KV25" s="331"/>
      <c r="KW25" s="331"/>
      <c r="KX25" s="331"/>
      <c r="KY25" s="331"/>
      <c r="KZ25" s="331"/>
      <c r="LA25" s="331"/>
      <c r="LB25" s="331"/>
      <c r="LC25" s="331"/>
      <c r="LD25" s="331"/>
      <c r="LE25" s="331"/>
      <c r="LF25" s="331"/>
      <c r="LG25" s="331"/>
      <c r="LH25" s="331"/>
      <c r="LI25" s="331"/>
      <c r="LJ25" s="331"/>
      <c r="LK25" s="331"/>
      <c r="LL25" s="331"/>
      <c r="LM25" s="331"/>
      <c r="LN25" s="331"/>
      <c r="LO25" s="331"/>
      <c r="LP25" s="331"/>
      <c r="LQ25" s="331"/>
      <c r="LR25" s="331"/>
      <c r="LS25" s="331"/>
      <c r="LT25" s="331"/>
      <c r="LU25" s="331"/>
      <c r="LV25" s="331"/>
      <c r="LW25" s="331"/>
      <c r="LX25" s="331"/>
      <c r="LY25" s="331"/>
      <c r="LZ25" s="331"/>
      <c r="MA25" s="331"/>
      <c r="MB25" s="331"/>
      <c r="MC25" s="331"/>
      <c r="MD25" s="331"/>
      <c r="ME25" s="331"/>
      <c r="MF25" s="331"/>
      <c r="MG25" s="331"/>
      <c r="MH25" s="331"/>
      <c r="MI25" s="331"/>
      <c r="MJ25" s="331"/>
      <c r="MK25" s="331"/>
      <c r="ML25" s="331"/>
      <c r="MM25" s="331"/>
      <c r="MN25" s="331"/>
      <c r="MO25" s="331"/>
      <c r="MP25" s="331"/>
      <c r="MQ25" s="331"/>
      <c r="MR25" s="331"/>
      <c r="MS25" s="331"/>
      <c r="MT25" s="331"/>
      <c r="MU25" s="331"/>
      <c r="MV25" s="331"/>
      <c r="MW25" s="331"/>
      <c r="MX25" s="331"/>
      <c r="MY25" s="331"/>
      <c r="MZ25" s="331"/>
      <c r="NA25" s="331"/>
      <c r="NB25" s="331"/>
      <c r="NC25" s="331"/>
      <c r="ND25" s="331"/>
      <c r="NE25" s="331"/>
      <c r="NF25" s="331"/>
      <c r="NG25" s="331"/>
      <c r="NH25" s="331"/>
      <c r="NI25" s="331"/>
      <c r="NJ25" s="331"/>
      <c r="NK25" s="331"/>
      <c r="NL25" s="331"/>
      <c r="NM25" s="331"/>
      <c r="NN25" s="331"/>
      <c r="NO25" s="331"/>
      <c r="NP25" s="331"/>
      <c r="NQ25" s="331"/>
      <c r="NR25" s="331"/>
      <c r="NS25" s="331"/>
      <c r="NT25" s="331"/>
      <c r="NU25" s="331"/>
      <c r="NV25" s="331"/>
      <c r="NW25" s="331"/>
      <c r="NX25" s="331"/>
      <c r="NY25" s="331"/>
      <c r="NZ25" s="331"/>
      <c r="OA25" s="331"/>
      <c r="OB25" s="331"/>
      <c r="OC25" s="331"/>
      <c r="OD25" s="331"/>
      <c r="OE25" s="331"/>
      <c r="OF25" s="331"/>
      <c r="OG25" s="331"/>
      <c r="OH25" s="331"/>
      <c r="OI25" s="331"/>
      <c r="OJ25" s="331"/>
      <c r="OK25" s="331"/>
      <c r="OL25" s="332">
        <f t="shared" si="0"/>
        <v>500393.47000000015</v>
      </c>
    </row>
    <row r="26" spans="1:402" ht="12.75" customHeight="1" thickBot="1">
      <c r="A26" s="320" t="s">
        <v>404</v>
      </c>
      <c r="B26" s="320" t="s">
        <v>405</v>
      </c>
      <c r="C26" s="320" t="s">
        <v>406</v>
      </c>
      <c r="D26" s="328" t="s">
        <v>430</v>
      </c>
      <c r="E26" s="329">
        <v>0</v>
      </c>
      <c r="F26" s="329">
        <v>0</v>
      </c>
      <c r="G26" s="329">
        <v>0</v>
      </c>
      <c r="H26" s="329">
        <v>0</v>
      </c>
      <c r="I26" s="329">
        <v>0</v>
      </c>
      <c r="J26" s="329">
        <v>0</v>
      </c>
      <c r="K26" s="329">
        <v>0</v>
      </c>
      <c r="L26" s="329">
        <v>0</v>
      </c>
      <c r="M26" s="329">
        <v>0</v>
      </c>
      <c r="N26" s="329">
        <v>0</v>
      </c>
      <c r="O26" s="329">
        <v>0</v>
      </c>
      <c r="P26" s="329">
        <v>0</v>
      </c>
      <c r="Q26" s="329">
        <v>0</v>
      </c>
      <c r="R26" s="329">
        <v>0</v>
      </c>
      <c r="S26" s="329">
        <v>0</v>
      </c>
      <c r="T26" s="329">
        <v>0</v>
      </c>
      <c r="U26" s="329">
        <v>0</v>
      </c>
      <c r="V26" s="329">
        <v>0</v>
      </c>
      <c r="W26" s="329">
        <v>0</v>
      </c>
      <c r="X26" s="329">
        <v>0</v>
      </c>
      <c r="Y26" s="329">
        <v>0</v>
      </c>
      <c r="Z26" s="329">
        <v>0</v>
      </c>
      <c r="AA26" s="329">
        <v>0</v>
      </c>
      <c r="AB26" s="329">
        <v>0</v>
      </c>
      <c r="AC26" s="329">
        <v>0</v>
      </c>
      <c r="AD26" s="329">
        <v>0</v>
      </c>
      <c r="AE26" s="329">
        <v>0</v>
      </c>
      <c r="AF26" s="329">
        <v>0</v>
      </c>
      <c r="AG26" s="329">
        <v>0</v>
      </c>
      <c r="AH26" s="329">
        <v>0</v>
      </c>
      <c r="AI26" s="329">
        <v>0</v>
      </c>
      <c r="AJ26" s="329">
        <v>0</v>
      </c>
      <c r="AK26" s="329">
        <v>0</v>
      </c>
      <c r="AL26" s="329">
        <v>0</v>
      </c>
      <c r="AM26" s="329">
        <v>0</v>
      </c>
      <c r="AN26" s="329">
        <v>0</v>
      </c>
      <c r="AO26" s="330">
        <v>42778.27</v>
      </c>
      <c r="AP26" s="330">
        <v>41316.870000000003</v>
      </c>
      <c r="AQ26" s="330">
        <v>40417.5</v>
      </c>
      <c r="AR26" s="330">
        <v>40890.839999999997</v>
      </c>
      <c r="AS26" s="330">
        <v>39609.32</v>
      </c>
      <c r="AT26" s="330">
        <v>42230.239999999998</v>
      </c>
      <c r="AU26" s="330">
        <v>41249.96</v>
      </c>
      <c r="AV26" s="330">
        <v>39587.22</v>
      </c>
      <c r="AW26" s="330">
        <v>40562.21</v>
      </c>
      <c r="AX26" s="330">
        <v>37745.230000000003</v>
      </c>
      <c r="AY26" s="330">
        <v>37895.54</v>
      </c>
      <c r="AZ26" s="330">
        <v>36937.040000000001</v>
      </c>
      <c r="BA26" s="329">
        <v>0</v>
      </c>
      <c r="BB26" s="329">
        <v>0</v>
      </c>
      <c r="BC26" s="329">
        <v>0</v>
      </c>
      <c r="BD26" s="329">
        <v>0</v>
      </c>
      <c r="BE26" s="329">
        <v>0</v>
      </c>
      <c r="BF26" s="329">
        <v>0</v>
      </c>
      <c r="BG26" s="329">
        <v>0</v>
      </c>
      <c r="BH26" s="329">
        <v>0</v>
      </c>
      <c r="BI26" s="329">
        <v>0</v>
      </c>
      <c r="BJ26" s="329">
        <v>0</v>
      </c>
      <c r="BK26" s="329">
        <v>0</v>
      </c>
      <c r="BL26" s="329">
        <v>0</v>
      </c>
      <c r="BM26" s="331"/>
      <c r="BN26" s="331"/>
      <c r="BO26" s="331"/>
      <c r="BP26" s="331"/>
      <c r="BQ26" s="331"/>
      <c r="BR26" s="331"/>
      <c r="BS26" s="331"/>
      <c r="BT26" s="331"/>
      <c r="BU26" s="331"/>
      <c r="BV26" s="331"/>
      <c r="BW26" s="331"/>
      <c r="BX26" s="331"/>
      <c r="BY26" s="329">
        <v>0</v>
      </c>
      <c r="BZ26" s="329">
        <v>0</v>
      </c>
      <c r="CA26" s="329">
        <v>0</v>
      </c>
      <c r="CB26" s="329">
        <v>0</v>
      </c>
      <c r="CC26" s="329">
        <v>0</v>
      </c>
      <c r="CD26" s="329">
        <v>0</v>
      </c>
      <c r="CE26" s="329">
        <v>0</v>
      </c>
      <c r="CF26" s="329">
        <v>0</v>
      </c>
      <c r="CG26" s="329">
        <v>0</v>
      </c>
      <c r="CH26" s="329">
        <v>0</v>
      </c>
      <c r="CI26" s="329">
        <v>0</v>
      </c>
      <c r="CJ26" s="329">
        <v>0</v>
      </c>
      <c r="CK26" s="329">
        <v>0</v>
      </c>
      <c r="CL26" s="329">
        <v>0</v>
      </c>
      <c r="CM26" s="329">
        <v>0</v>
      </c>
      <c r="CN26" s="329">
        <v>0</v>
      </c>
      <c r="CO26" s="329">
        <v>0</v>
      </c>
      <c r="CP26" s="329">
        <v>0</v>
      </c>
      <c r="CQ26" s="329">
        <v>0</v>
      </c>
      <c r="CR26" s="329">
        <v>0</v>
      </c>
      <c r="CS26" s="329">
        <v>0</v>
      </c>
      <c r="CT26" s="329">
        <v>0</v>
      </c>
      <c r="CU26" s="329">
        <v>0</v>
      </c>
      <c r="CV26" s="329">
        <v>0</v>
      </c>
      <c r="CW26" s="329">
        <v>0</v>
      </c>
      <c r="CX26" s="329">
        <v>0</v>
      </c>
      <c r="CY26" s="329">
        <v>0</v>
      </c>
      <c r="CZ26" s="329">
        <v>0</v>
      </c>
      <c r="DA26" s="329">
        <v>0</v>
      </c>
      <c r="DB26" s="329">
        <v>0</v>
      </c>
      <c r="DC26" s="329">
        <v>0</v>
      </c>
      <c r="DD26" s="329">
        <v>0</v>
      </c>
      <c r="DE26" s="329">
        <v>0</v>
      </c>
      <c r="DF26" s="329">
        <v>0</v>
      </c>
      <c r="DG26" s="329">
        <v>0</v>
      </c>
      <c r="DH26" s="329">
        <v>0</v>
      </c>
      <c r="DI26" s="331"/>
      <c r="DJ26" s="331"/>
      <c r="DK26" s="331"/>
      <c r="DL26" s="331"/>
      <c r="DM26" s="331"/>
      <c r="DN26" s="331"/>
      <c r="DO26" s="331"/>
      <c r="DP26" s="331"/>
      <c r="DQ26" s="331"/>
      <c r="DR26" s="331"/>
      <c r="DS26" s="331"/>
      <c r="DT26" s="331"/>
      <c r="DU26" s="330">
        <v>597.21</v>
      </c>
      <c r="DV26" s="330">
        <v>576.74</v>
      </c>
      <c r="DW26" s="330">
        <v>564.15</v>
      </c>
      <c r="DX26" s="330">
        <v>570.78</v>
      </c>
      <c r="DY26" s="330">
        <v>552.83000000000004</v>
      </c>
      <c r="DZ26" s="330">
        <v>589.53</v>
      </c>
      <c r="EA26" s="330">
        <v>575.80999999999995</v>
      </c>
      <c r="EB26" s="330">
        <v>552.52</v>
      </c>
      <c r="EC26" s="330">
        <v>566.16999999999996</v>
      </c>
      <c r="ED26" s="330">
        <v>526.72</v>
      </c>
      <c r="EE26" s="330">
        <v>528.83000000000004</v>
      </c>
      <c r="EF26" s="330">
        <v>515.41</v>
      </c>
      <c r="EG26" s="329">
        <v>0</v>
      </c>
      <c r="EH26" s="329">
        <v>0</v>
      </c>
      <c r="EI26" s="329">
        <v>0</v>
      </c>
      <c r="EJ26" s="329">
        <v>0</v>
      </c>
      <c r="EK26" s="329">
        <v>0</v>
      </c>
      <c r="EL26" s="329">
        <v>0</v>
      </c>
      <c r="EM26" s="329">
        <v>0</v>
      </c>
      <c r="EN26" s="329">
        <v>0</v>
      </c>
      <c r="EO26" s="329">
        <v>0</v>
      </c>
      <c r="EP26" s="329">
        <v>0</v>
      </c>
      <c r="EQ26" s="329">
        <v>0</v>
      </c>
      <c r="ER26" s="329">
        <v>0</v>
      </c>
      <c r="ES26" s="331"/>
      <c r="ET26" s="331"/>
      <c r="EU26" s="331"/>
      <c r="EV26" s="331"/>
      <c r="EW26" s="331"/>
      <c r="EX26" s="331"/>
      <c r="EY26" s="331"/>
      <c r="EZ26" s="331"/>
      <c r="FA26" s="331"/>
      <c r="FB26" s="331"/>
      <c r="FC26" s="331"/>
      <c r="FD26" s="331"/>
      <c r="FE26" s="329">
        <v>0</v>
      </c>
      <c r="FF26" s="329">
        <v>0</v>
      </c>
      <c r="FG26" s="329">
        <v>0</v>
      </c>
      <c r="FH26" s="329">
        <v>0</v>
      </c>
      <c r="FI26" s="329">
        <v>0</v>
      </c>
      <c r="FJ26" s="329">
        <v>0</v>
      </c>
      <c r="FK26" s="329">
        <v>0</v>
      </c>
      <c r="FL26" s="329">
        <v>0</v>
      </c>
      <c r="FM26" s="329">
        <v>0</v>
      </c>
      <c r="FN26" s="329">
        <v>0</v>
      </c>
      <c r="FO26" s="329">
        <v>0</v>
      </c>
      <c r="FP26" s="329">
        <v>0</v>
      </c>
      <c r="FQ26" s="329">
        <v>0</v>
      </c>
      <c r="FR26" s="329">
        <v>0</v>
      </c>
      <c r="FS26" s="329">
        <v>0</v>
      </c>
      <c r="FT26" s="329">
        <v>0</v>
      </c>
      <c r="FU26" s="329">
        <v>0</v>
      </c>
      <c r="FV26" s="329">
        <v>0</v>
      </c>
      <c r="FW26" s="329">
        <v>0</v>
      </c>
      <c r="FX26" s="329">
        <v>0</v>
      </c>
      <c r="FY26" s="329">
        <v>0</v>
      </c>
      <c r="FZ26" s="329">
        <v>0</v>
      </c>
      <c r="GA26" s="329">
        <v>0</v>
      </c>
      <c r="GB26" s="329">
        <v>0</v>
      </c>
      <c r="GC26" s="330">
        <v>48662.43</v>
      </c>
      <c r="GD26" s="330">
        <v>48403.48</v>
      </c>
      <c r="GE26" s="330">
        <v>48244.12</v>
      </c>
      <c r="GF26" s="330">
        <v>74018.16</v>
      </c>
      <c r="GG26" s="330">
        <v>73791.09</v>
      </c>
      <c r="GH26" s="330">
        <v>67376.09</v>
      </c>
      <c r="GI26" s="330">
        <v>67202.399999999994</v>
      </c>
      <c r="GJ26" s="330">
        <v>66907.77</v>
      </c>
      <c r="GK26" s="330">
        <v>67080.53</v>
      </c>
      <c r="GL26" s="330">
        <v>66581.39</v>
      </c>
      <c r="GM26" s="330">
        <v>66608.02</v>
      </c>
      <c r="GN26" s="330">
        <v>66067.27</v>
      </c>
      <c r="GO26" s="331"/>
      <c r="GP26" s="331"/>
      <c r="GQ26" s="331"/>
      <c r="GR26" s="331"/>
      <c r="GS26" s="331"/>
      <c r="GT26" s="331"/>
      <c r="GU26" s="331"/>
      <c r="GV26" s="331"/>
      <c r="GW26" s="331"/>
      <c r="GX26" s="331"/>
      <c r="GY26" s="331"/>
      <c r="GZ26" s="331"/>
      <c r="HA26" s="330">
        <v>765.49</v>
      </c>
      <c r="HB26" s="330">
        <v>1174.93</v>
      </c>
      <c r="HC26" s="330">
        <v>657.13</v>
      </c>
      <c r="HD26" s="330">
        <v>2331.4899999999998</v>
      </c>
      <c r="HE26" s="330">
        <v>1457.61</v>
      </c>
      <c r="HF26" s="330">
        <v>3236.53</v>
      </c>
      <c r="HG26" s="330">
        <v>3772.71</v>
      </c>
      <c r="HH26" s="330">
        <v>2449.4899999999998</v>
      </c>
      <c r="HI26" s="330">
        <v>2655.1</v>
      </c>
      <c r="HJ26" s="330">
        <v>1804.1</v>
      </c>
      <c r="HK26" s="330">
        <v>3146.3</v>
      </c>
      <c r="HL26" s="330">
        <v>3069.29</v>
      </c>
      <c r="HM26" s="331"/>
      <c r="HN26" s="331"/>
      <c r="HO26" s="331"/>
      <c r="HP26" s="331"/>
      <c r="HQ26" s="331"/>
      <c r="HR26" s="331"/>
      <c r="HS26" s="331"/>
      <c r="HT26" s="331"/>
      <c r="HU26" s="331"/>
      <c r="HV26" s="331"/>
      <c r="HW26" s="331"/>
      <c r="HX26" s="331"/>
      <c r="HY26" s="329">
        <v>0</v>
      </c>
      <c r="HZ26" s="329">
        <v>0</v>
      </c>
      <c r="IA26" s="329">
        <v>0</v>
      </c>
      <c r="IB26" s="329">
        <v>0</v>
      </c>
      <c r="IC26" s="329">
        <v>0</v>
      </c>
      <c r="ID26" s="329">
        <v>0</v>
      </c>
      <c r="IE26" s="329">
        <v>0</v>
      </c>
      <c r="IF26" s="329">
        <v>0</v>
      </c>
      <c r="IG26" s="329">
        <v>0</v>
      </c>
      <c r="IH26" s="329">
        <v>0</v>
      </c>
      <c r="II26" s="329">
        <v>0</v>
      </c>
      <c r="IJ26" s="329">
        <v>0</v>
      </c>
      <c r="IK26" s="331"/>
      <c r="IL26" s="331"/>
      <c r="IM26" s="331"/>
      <c r="IN26" s="331"/>
      <c r="IO26" s="331"/>
      <c r="IP26" s="331"/>
      <c r="IQ26" s="331"/>
      <c r="IR26" s="331"/>
      <c r="IS26" s="331"/>
      <c r="IT26" s="331"/>
      <c r="IU26" s="331"/>
      <c r="IV26" s="331"/>
      <c r="IW26" s="331"/>
      <c r="IX26" s="331"/>
      <c r="IY26" s="331"/>
      <c r="IZ26" s="331"/>
      <c r="JA26" s="331"/>
      <c r="JB26" s="331"/>
      <c r="JC26" s="331"/>
      <c r="JD26" s="331"/>
      <c r="JE26" s="331"/>
      <c r="JF26" s="331"/>
      <c r="JG26" s="331"/>
      <c r="JH26" s="331"/>
      <c r="JI26" s="330">
        <v>1406.12</v>
      </c>
      <c r="JJ26" s="331"/>
      <c r="JK26" s="331"/>
      <c r="JL26" s="331"/>
      <c r="JM26" s="331"/>
      <c r="JN26" s="331"/>
      <c r="JO26" s="331"/>
      <c r="JP26" s="331"/>
      <c r="JQ26" s="331"/>
      <c r="JR26" s="331"/>
      <c r="JS26" s="331"/>
      <c r="JT26" s="331"/>
      <c r="JU26" s="331"/>
      <c r="JV26" s="331"/>
      <c r="JW26" s="331"/>
      <c r="JX26" s="331"/>
      <c r="JY26" s="331"/>
      <c r="JZ26" s="331"/>
      <c r="KA26" s="331"/>
      <c r="KB26" s="331"/>
      <c r="KC26" s="331"/>
      <c r="KD26" s="331"/>
      <c r="KE26" s="331"/>
      <c r="KF26" s="331"/>
      <c r="KG26" s="331"/>
      <c r="KH26" s="331"/>
      <c r="KI26" s="331"/>
      <c r="KJ26" s="331"/>
      <c r="KK26" s="331"/>
      <c r="KL26" s="331"/>
      <c r="KM26" s="331"/>
      <c r="KN26" s="331"/>
      <c r="KO26" s="331"/>
      <c r="KP26" s="331"/>
      <c r="KQ26" s="331"/>
      <c r="KR26" s="331"/>
      <c r="KS26" s="331"/>
      <c r="KT26" s="331"/>
      <c r="KU26" s="331"/>
      <c r="KV26" s="331"/>
      <c r="KW26" s="331"/>
      <c r="KX26" s="331"/>
      <c r="KY26" s="331"/>
      <c r="KZ26" s="331"/>
      <c r="LA26" s="331"/>
      <c r="LB26" s="331"/>
      <c r="LC26" s="331"/>
      <c r="LD26" s="331"/>
      <c r="LE26" s="331"/>
      <c r="LF26" s="331"/>
      <c r="LG26" s="331"/>
      <c r="LH26" s="331"/>
      <c r="LI26" s="331"/>
      <c r="LJ26" s="331"/>
      <c r="LK26" s="331"/>
      <c r="LL26" s="331"/>
      <c r="LM26" s="331"/>
      <c r="LN26" s="331"/>
      <c r="LO26" s="331"/>
      <c r="LP26" s="331"/>
      <c r="LQ26" s="331"/>
      <c r="LR26" s="331"/>
      <c r="LS26" s="331"/>
      <c r="LT26" s="331"/>
      <c r="LU26" s="331"/>
      <c r="LV26" s="331"/>
      <c r="LW26" s="331"/>
      <c r="LX26" s="331"/>
      <c r="LY26" s="331"/>
      <c r="LZ26" s="331"/>
      <c r="MA26" s="331"/>
      <c r="MB26" s="331"/>
      <c r="MC26" s="331"/>
      <c r="MD26" s="331"/>
      <c r="ME26" s="331"/>
      <c r="MF26" s="331"/>
      <c r="MG26" s="331"/>
      <c r="MH26" s="331"/>
      <c r="MI26" s="331"/>
      <c r="MJ26" s="331"/>
      <c r="MK26" s="331"/>
      <c r="ML26" s="331"/>
      <c r="MM26" s="331"/>
      <c r="MN26" s="331"/>
      <c r="MO26" s="331"/>
      <c r="MP26" s="331"/>
      <c r="MQ26" s="331"/>
      <c r="MR26" s="331"/>
      <c r="MS26" s="331"/>
      <c r="MT26" s="331"/>
      <c r="MU26" s="331"/>
      <c r="MV26" s="331"/>
      <c r="MW26" s="331"/>
      <c r="MX26" s="331"/>
      <c r="MY26" s="331"/>
      <c r="MZ26" s="331"/>
      <c r="NA26" s="331"/>
      <c r="NB26" s="331"/>
      <c r="NC26" s="331"/>
      <c r="ND26" s="331"/>
      <c r="NE26" s="331"/>
      <c r="NF26" s="331"/>
      <c r="NG26" s="331"/>
      <c r="NH26" s="331"/>
      <c r="NI26" s="331"/>
      <c r="NJ26" s="331"/>
      <c r="NK26" s="331"/>
      <c r="NL26" s="331"/>
      <c r="NM26" s="331"/>
      <c r="NN26" s="331"/>
      <c r="NO26" s="331"/>
      <c r="NP26" s="331"/>
      <c r="NQ26" s="331"/>
      <c r="NR26" s="331"/>
      <c r="NS26" s="331"/>
      <c r="NT26" s="331"/>
      <c r="NU26" s="331"/>
      <c r="NV26" s="331"/>
      <c r="NW26" s="331"/>
      <c r="NX26" s="331"/>
      <c r="NY26" s="331"/>
      <c r="NZ26" s="331"/>
      <c r="OA26" s="331"/>
      <c r="OB26" s="331"/>
      <c r="OC26" s="331"/>
      <c r="OD26" s="331"/>
      <c r="OE26" s="331"/>
      <c r="OF26" s="331"/>
      <c r="OG26" s="331"/>
      <c r="OH26" s="331"/>
      <c r="OI26" s="331"/>
      <c r="OJ26" s="331"/>
      <c r="OK26" s="331"/>
      <c r="OL26" s="332">
        <f t="shared" si="0"/>
        <v>1276805.9800000002</v>
      </c>
    </row>
    <row r="27" spans="1:402" ht="12.75" customHeight="1" thickBot="1">
      <c r="A27" s="320" t="s">
        <v>404</v>
      </c>
      <c r="B27" s="320" t="s">
        <v>405</v>
      </c>
      <c r="C27" s="320" t="s">
        <v>406</v>
      </c>
      <c r="D27" s="328" t="s">
        <v>431</v>
      </c>
      <c r="E27" s="329">
        <v>0</v>
      </c>
      <c r="F27" s="329">
        <v>0</v>
      </c>
      <c r="G27" s="329">
        <v>0</v>
      </c>
      <c r="H27" s="329">
        <v>0</v>
      </c>
      <c r="I27" s="329">
        <v>0</v>
      </c>
      <c r="J27" s="329">
        <v>0</v>
      </c>
      <c r="K27" s="329">
        <v>0</v>
      </c>
      <c r="L27" s="329">
        <v>0</v>
      </c>
      <c r="M27" s="329">
        <v>0</v>
      </c>
      <c r="N27" s="329">
        <v>0</v>
      </c>
      <c r="O27" s="329">
        <v>0</v>
      </c>
      <c r="P27" s="329">
        <v>0</v>
      </c>
      <c r="Q27" s="329">
        <v>0</v>
      </c>
      <c r="R27" s="329">
        <v>0</v>
      </c>
      <c r="S27" s="329">
        <v>0</v>
      </c>
      <c r="T27" s="329">
        <v>0</v>
      </c>
      <c r="U27" s="329">
        <v>0</v>
      </c>
      <c r="V27" s="329">
        <v>0</v>
      </c>
      <c r="W27" s="329">
        <v>0</v>
      </c>
      <c r="X27" s="329">
        <v>0</v>
      </c>
      <c r="Y27" s="329">
        <v>0</v>
      </c>
      <c r="Z27" s="329">
        <v>0</v>
      </c>
      <c r="AA27" s="329">
        <v>0</v>
      </c>
      <c r="AB27" s="329">
        <v>0</v>
      </c>
      <c r="AC27" s="329">
        <v>0</v>
      </c>
      <c r="AD27" s="329">
        <v>0</v>
      </c>
      <c r="AE27" s="329">
        <v>0</v>
      </c>
      <c r="AF27" s="329">
        <v>0</v>
      </c>
      <c r="AG27" s="329">
        <v>0</v>
      </c>
      <c r="AH27" s="329">
        <v>0</v>
      </c>
      <c r="AI27" s="329">
        <v>0</v>
      </c>
      <c r="AJ27" s="329">
        <v>0</v>
      </c>
      <c r="AK27" s="329">
        <v>0</v>
      </c>
      <c r="AL27" s="329">
        <v>0</v>
      </c>
      <c r="AM27" s="329">
        <v>0</v>
      </c>
      <c r="AN27" s="329">
        <v>0</v>
      </c>
      <c r="AO27" s="330">
        <v>13219.56</v>
      </c>
      <c r="AP27" s="330">
        <v>13363.02</v>
      </c>
      <c r="AQ27" s="330">
        <v>13380.76</v>
      </c>
      <c r="AR27" s="330">
        <v>13434.6</v>
      </c>
      <c r="AS27" s="330">
        <v>13416.86</v>
      </c>
      <c r="AT27" s="330">
        <v>13380.76</v>
      </c>
      <c r="AU27" s="330">
        <v>13309.18</v>
      </c>
      <c r="AV27" s="330">
        <v>13416.86</v>
      </c>
      <c r="AW27" s="330">
        <v>13380.76</v>
      </c>
      <c r="AX27" s="330">
        <v>13434.6</v>
      </c>
      <c r="AY27" s="330">
        <v>13416.86</v>
      </c>
      <c r="AZ27" s="330">
        <v>13506.48</v>
      </c>
      <c r="BA27" s="329">
        <v>0</v>
      </c>
      <c r="BB27" s="329">
        <v>0</v>
      </c>
      <c r="BC27" s="329">
        <v>0</v>
      </c>
      <c r="BD27" s="329">
        <v>0</v>
      </c>
      <c r="BE27" s="329">
        <v>0</v>
      </c>
      <c r="BF27" s="329">
        <v>0</v>
      </c>
      <c r="BG27" s="329">
        <v>0</v>
      </c>
      <c r="BH27" s="329">
        <v>0</v>
      </c>
      <c r="BI27" s="329">
        <v>0</v>
      </c>
      <c r="BJ27" s="329">
        <v>0</v>
      </c>
      <c r="BK27" s="329">
        <v>0</v>
      </c>
      <c r="BL27" s="329">
        <v>0</v>
      </c>
      <c r="BM27" s="331"/>
      <c r="BN27" s="331"/>
      <c r="BO27" s="331"/>
      <c r="BP27" s="331"/>
      <c r="BQ27" s="331"/>
      <c r="BR27" s="331"/>
      <c r="BS27" s="331"/>
      <c r="BT27" s="331"/>
      <c r="BU27" s="331"/>
      <c r="BV27" s="331"/>
      <c r="BW27" s="331"/>
      <c r="BX27" s="331"/>
      <c r="BY27" s="329">
        <v>0</v>
      </c>
      <c r="BZ27" s="329">
        <v>0</v>
      </c>
      <c r="CA27" s="329">
        <v>0</v>
      </c>
      <c r="CB27" s="329">
        <v>0</v>
      </c>
      <c r="CC27" s="329">
        <v>0</v>
      </c>
      <c r="CD27" s="329">
        <v>0</v>
      </c>
      <c r="CE27" s="329">
        <v>0</v>
      </c>
      <c r="CF27" s="329">
        <v>0</v>
      </c>
      <c r="CG27" s="329">
        <v>0</v>
      </c>
      <c r="CH27" s="329">
        <v>0</v>
      </c>
      <c r="CI27" s="329">
        <v>0</v>
      </c>
      <c r="CJ27" s="329">
        <v>0</v>
      </c>
      <c r="CK27" s="329">
        <v>0</v>
      </c>
      <c r="CL27" s="329">
        <v>0</v>
      </c>
      <c r="CM27" s="329">
        <v>0</v>
      </c>
      <c r="CN27" s="329">
        <v>0</v>
      </c>
      <c r="CO27" s="329">
        <v>0</v>
      </c>
      <c r="CP27" s="329">
        <v>0</v>
      </c>
      <c r="CQ27" s="329">
        <v>0</v>
      </c>
      <c r="CR27" s="329">
        <v>0</v>
      </c>
      <c r="CS27" s="329">
        <v>0</v>
      </c>
      <c r="CT27" s="329">
        <v>0</v>
      </c>
      <c r="CU27" s="329">
        <v>0</v>
      </c>
      <c r="CV27" s="329">
        <v>0</v>
      </c>
      <c r="CW27" s="329">
        <v>0</v>
      </c>
      <c r="CX27" s="329">
        <v>0</v>
      </c>
      <c r="CY27" s="329">
        <v>0</v>
      </c>
      <c r="CZ27" s="329">
        <v>0</v>
      </c>
      <c r="DA27" s="329">
        <v>0</v>
      </c>
      <c r="DB27" s="329">
        <v>0</v>
      </c>
      <c r="DC27" s="329">
        <v>0</v>
      </c>
      <c r="DD27" s="329">
        <v>0</v>
      </c>
      <c r="DE27" s="329">
        <v>0</v>
      </c>
      <c r="DF27" s="329">
        <v>0</v>
      </c>
      <c r="DG27" s="329">
        <v>0</v>
      </c>
      <c r="DH27" s="329">
        <v>0</v>
      </c>
      <c r="DI27" s="331"/>
      <c r="DJ27" s="331"/>
      <c r="DK27" s="331"/>
      <c r="DL27" s="331"/>
      <c r="DM27" s="331"/>
      <c r="DN27" s="331"/>
      <c r="DO27" s="331"/>
      <c r="DP27" s="331"/>
      <c r="DQ27" s="331"/>
      <c r="DR27" s="331"/>
      <c r="DS27" s="331"/>
      <c r="DT27" s="331"/>
      <c r="DU27" s="330">
        <v>183.25</v>
      </c>
      <c r="DV27" s="330">
        <v>185.26</v>
      </c>
      <c r="DW27" s="330">
        <v>185.51</v>
      </c>
      <c r="DX27" s="330">
        <v>186.27</v>
      </c>
      <c r="DY27" s="330">
        <v>186.02</v>
      </c>
      <c r="DZ27" s="330">
        <v>185.51</v>
      </c>
      <c r="EA27" s="330">
        <v>184.51</v>
      </c>
      <c r="EB27" s="330">
        <v>186.02</v>
      </c>
      <c r="EC27" s="330">
        <v>185.51</v>
      </c>
      <c r="ED27" s="330">
        <v>186.27</v>
      </c>
      <c r="EE27" s="330">
        <v>186.02</v>
      </c>
      <c r="EF27" s="330">
        <v>187.27</v>
      </c>
      <c r="EG27" s="329">
        <v>0</v>
      </c>
      <c r="EH27" s="329">
        <v>0</v>
      </c>
      <c r="EI27" s="329">
        <v>0</v>
      </c>
      <c r="EJ27" s="329">
        <v>0</v>
      </c>
      <c r="EK27" s="329">
        <v>0</v>
      </c>
      <c r="EL27" s="329">
        <v>0</v>
      </c>
      <c r="EM27" s="329">
        <v>0</v>
      </c>
      <c r="EN27" s="329">
        <v>0</v>
      </c>
      <c r="EO27" s="329">
        <v>0</v>
      </c>
      <c r="EP27" s="329">
        <v>0</v>
      </c>
      <c r="EQ27" s="329">
        <v>0</v>
      </c>
      <c r="ER27" s="329">
        <v>0</v>
      </c>
      <c r="ES27" s="331"/>
      <c r="ET27" s="331"/>
      <c r="EU27" s="331"/>
      <c r="EV27" s="331"/>
      <c r="EW27" s="331"/>
      <c r="EX27" s="331"/>
      <c r="EY27" s="331"/>
      <c r="EZ27" s="331"/>
      <c r="FA27" s="331"/>
      <c r="FB27" s="331"/>
      <c r="FC27" s="331"/>
      <c r="FD27" s="331"/>
      <c r="FE27" s="329">
        <v>0</v>
      </c>
      <c r="FF27" s="329">
        <v>0</v>
      </c>
      <c r="FG27" s="329">
        <v>0</v>
      </c>
      <c r="FH27" s="329">
        <v>0</v>
      </c>
      <c r="FI27" s="329">
        <v>0</v>
      </c>
      <c r="FJ27" s="329">
        <v>0</v>
      </c>
      <c r="FK27" s="329">
        <v>0</v>
      </c>
      <c r="FL27" s="329">
        <v>0</v>
      </c>
      <c r="FM27" s="329">
        <v>0</v>
      </c>
      <c r="FN27" s="329">
        <v>0</v>
      </c>
      <c r="FO27" s="329">
        <v>0</v>
      </c>
      <c r="FP27" s="329">
        <v>0</v>
      </c>
      <c r="FQ27" s="329">
        <v>0</v>
      </c>
      <c r="FR27" s="329">
        <v>0</v>
      </c>
      <c r="FS27" s="329">
        <v>0</v>
      </c>
      <c r="FT27" s="329">
        <v>0</v>
      </c>
      <c r="FU27" s="329">
        <v>0</v>
      </c>
      <c r="FV27" s="329">
        <v>0</v>
      </c>
      <c r="FW27" s="329">
        <v>0</v>
      </c>
      <c r="FX27" s="329">
        <v>0</v>
      </c>
      <c r="FY27" s="329">
        <v>0</v>
      </c>
      <c r="FZ27" s="329">
        <v>0</v>
      </c>
      <c r="GA27" s="329">
        <v>0</v>
      </c>
      <c r="GB27" s="329">
        <v>0</v>
      </c>
      <c r="GC27" s="330">
        <v>29478.61</v>
      </c>
      <c r="GD27" s="330">
        <v>29504.03</v>
      </c>
      <c r="GE27" s="330">
        <v>29507.17</v>
      </c>
      <c r="GF27" s="330">
        <v>29380.880000000001</v>
      </c>
      <c r="GG27" s="330">
        <v>29377.74</v>
      </c>
      <c r="GH27" s="330">
        <v>26588.11</v>
      </c>
      <c r="GI27" s="330">
        <v>26575.43</v>
      </c>
      <c r="GJ27" s="330">
        <v>26594.51</v>
      </c>
      <c r="GK27" s="330">
        <v>26588.11</v>
      </c>
      <c r="GL27" s="330">
        <v>26597.65</v>
      </c>
      <c r="GM27" s="330">
        <v>26594.51</v>
      </c>
      <c r="GN27" s="330">
        <v>26355.56</v>
      </c>
      <c r="GO27" s="331"/>
      <c r="GP27" s="331"/>
      <c r="GQ27" s="331"/>
      <c r="GR27" s="331"/>
      <c r="GS27" s="331"/>
      <c r="GT27" s="331"/>
      <c r="GU27" s="331"/>
      <c r="GV27" s="331"/>
      <c r="GW27" s="331"/>
      <c r="GX27" s="331"/>
      <c r="GY27" s="331"/>
      <c r="GZ27" s="331"/>
      <c r="HA27" s="330">
        <v>798.66</v>
      </c>
      <c r="HB27" s="330">
        <v>710.53</v>
      </c>
      <c r="HC27" s="330">
        <v>839.05</v>
      </c>
      <c r="HD27" s="330">
        <v>793.15</v>
      </c>
      <c r="HE27" s="330">
        <v>772.96</v>
      </c>
      <c r="HF27" s="330">
        <v>1274.8499999999999</v>
      </c>
      <c r="HG27" s="329">
        <v>1262</v>
      </c>
      <c r="HH27" s="330">
        <v>1265.21</v>
      </c>
      <c r="HI27" s="330">
        <v>1390.45</v>
      </c>
      <c r="HJ27" s="330">
        <v>1326.23</v>
      </c>
      <c r="HK27" s="330">
        <v>1271.6400000000001</v>
      </c>
      <c r="HL27" s="330">
        <v>1387.24</v>
      </c>
      <c r="HM27" s="331"/>
      <c r="HN27" s="331"/>
      <c r="HO27" s="331"/>
      <c r="HP27" s="331"/>
      <c r="HQ27" s="331"/>
      <c r="HR27" s="331"/>
      <c r="HS27" s="331"/>
      <c r="HT27" s="331"/>
      <c r="HU27" s="331"/>
      <c r="HV27" s="331"/>
      <c r="HW27" s="331"/>
      <c r="HX27" s="331"/>
      <c r="HY27" s="329">
        <v>0</v>
      </c>
      <c r="HZ27" s="329">
        <v>0</v>
      </c>
      <c r="IA27" s="329">
        <v>0</v>
      </c>
      <c r="IB27" s="329">
        <v>0</v>
      </c>
      <c r="IC27" s="329">
        <v>0</v>
      </c>
      <c r="ID27" s="329">
        <v>0</v>
      </c>
      <c r="IE27" s="329">
        <v>0</v>
      </c>
      <c r="IF27" s="329">
        <v>0</v>
      </c>
      <c r="IG27" s="329">
        <v>0</v>
      </c>
      <c r="IH27" s="329">
        <v>0</v>
      </c>
      <c r="II27" s="329">
        <v>0</v>
      </c>
      <c r="IJ27" s="329">
        <v>0</v>
      </c>
      <c r="IK27" s="331"/>
      <c r="IL27" s="331"/>
      <c r="IM27" s="331"/>
      <c r="IN27" s="331"/>
      <c r="IO27" s="331"/>
      <c r="IP27" s="331"/>
      <c r="IQ27" s="331"/>
      <c r="IR27" s="331"/>
      <c r="IS27" s="331"/>
      <c r="IT27" s="331"/>
      <c r="IU27" s="331"/>
      <c r="IV27" s="331"/>
      <c r="IW27" s="331"/>
      <c r="IX27" s="331"/>
      <c r="IY27" s="331"/>
      <c r="IZ27" s="331"/>
      <c r="JA27" s="331"/>
      <c r="JB27" s="331"/>
      <c r="JC27" s="331"/>
      <c r="JD27" s="331"/>
      <c r="JE27" s="331"/>
      <c r="JF27" s="331"/>
      <c r="JG27" s="331"/>
      <c r="JH27" s="331"/>
      <c r="JI27" s="330">
        <v>510.91</v>
      </c>
      <c r="JJ27" s="331"/>
      <c r="JK27" s="331"/>
      <c r="JL27" s="331"/>
      <c r="JM27" s="331"/>
      <c r="JN27" s="331"/>
      <c r="JO27" s="331"/>
      <c r="JP27" s="331"/>
      <c r="JQ27" s="331"/>
      <c r="JR27" s="331"/>
      <c r="JS27" s="331"/>
      <c r="JT27" s="331"/>
      <c r="JU27" s="331"/>
      <c r="JV27" s="331"/>
      <c r="JW27" s="331"/>
      <c r="JX27" s="331"/>
      <c r="JY27" s="331"/>
      <c r="JZ27" s="331"/>
      <c r="KA27" s="331"/>
      <c r="KB27" s="331"/>
      <c r="KC27" s="331"/>
      <c r="KD27" s="331"/>
      <c r="KE27" s="331"/>
      <c r="KF27" s="331"/>
      <c r="KG27" s="331"/>
      <c r="KH27" s="331"/>
      <c r="KI27" s="331"/>
      <c r="KJ27" s="331"/>
      <c r="KK27" s="331"/>
      <c r="KL27" s="331"/>
      <c r="KM27" s="331"/>
      <c r="KN27" s="331"/>
      <c r="KO27" s="331"/>
      <c r="KP27" s="331"/>
      <c r="KQ27" s="331"/>
      <c r="KR27" s="331"/>
      <c r="KS27" s="331"/>
      <c r="KT27" s="331"/>
      <c r="KU27" s="331"/>
      <c r="KV27" s="331"/>
      <c r="KW27" s="331"/>
      <c r="KX27" s="331"/>
      <c r="KY27" s="331"/>
      <c r="KZ27" s="331"/>
      <c r="LA27" s="331"/>
      <c r="LB27" s="331"/>
      <c r="LC27" s="331"/>
      <c r="LD27" s="331"/>
      <c r="LE27" s="331"/>
      <c r="LF27" s="331"/>
      <c r="LG27" s="331"/>
      <c r="LH27" s="331"/>
      <c r="LI27" s="331"/>
      <c r="LJ27" s="331"/>
      <c r="LK27" s="331"/>
      <c r="LL27" s="331"/>
      <c r="LM27" s="331"/>
      <c r="LN27" s="331"/>
      <c r="LO27" s="331"/>
      <c r="LP27" s="331"/>
      <c r="LQ27" s="331"/>
      <c r="LR27" s="331"/>
      <c r="LS27" s="331"/>
      <c r="LT27" s="331"/>
      <c r="LU27" s="331"/>
      <c r="LV27" s="331"/>
      <c r="LW27" s="331"/>
      <c r="LX27" s="331"/>
      <c r="LY27" s="331"/>
      <c r="LZ27" s="331"/>
      <c r="MA27" s="331"/>
      <c r="MB27" s="331"/>
      <c r="MC27" s="331"/>
      <c r="MD27" s="331"/>
      <c r="ME27" s="331"/>
      <c r="MF27" s="331"/>
      <c r="MG27" s="331"/>
      <c r="MH27" s="331"/>
      <c r="MI27" s="331"/>
      <c r="MJ27" s="331"/>
      <c r="MK27" s="331"/>
      <c r="ML27" s="331"/>
      <c r="MM27" s="331"/>
      <c r="MN27" s="331"/>
      <c r="MO27" s="331"/>
      <c r="MP27" s="331"/>
      <c r="MQ27" s="331"/>
      <c r="MR27" s="331"/>
      <c r="MS27" s="331"/>
      <c r="MT27" s="331"/>
      <c r="MU27" s="331"/>
      <c r="MV27" s="331"/>
      <c r="MW27" s="331"/>
      <c r="MX27" s="331"/>
      <c r="MY27" s="331"/>
      <c r="MZ27" s="331"/>
      <c r="NA27" s="331"/>
      <c r="NB27" s="331"/>
      <c r="NC27" s="331"/>
      <c r="ND27" s="331"/>
      <c r="NE27" s="331"/>
      <c r="NF27" s="331"/>
      <c r="NG27" s="331"/>
      <c r="NH27" s="331"/>
      <c r="NI27" s="331"/>
      <c r="NJ27" s="331"/>
      <c r="NK27" s="331"/>
      <c r="NL27" s="331"/>
      <c r="NM27" s="331"/>
      <c r="NN27" s="331"/>
      <c r="NO27" s="331"/>
      <c r="NP27" s="331"/>
      <c r="NQ27" s="331"/>
      <c r="NR27" s="331"/>
      <c r="NS27" s="331"/>
      <c r="NT27" s="331"/>
      <c r="NU27" s="331"/>
      <c r="NV27" s="331"/>
      <c r="NW27" s="331"/>
      <c r="NX27" s="331"/>
      <c r="NY27" s="331"/>
      <c r="NZ27" s="331"/>
      <c r="OA27" s="331"/>
      <c r="OB27" s="331"/>
      <c r="OC27" s="331"/>
      <c r="OD27" s="331"/>
      <c r="OE27" s="331"/>
      <c r="OF27" s="331"/>
      <c r="OG27" s="331"/>
      <c r="OH27" s="331"/>
      <c r="OI27" s="331"/>
      <c r="OJ27" s="331"/>
      <c r="OK27" s="331"/>
      <c r="OL27" s="332">
        <f t="shared" si="0"/>
        <v>509632.91000000003</v>
      </c>
    </row>
    <row r="28" spans="1:402" ht="12.75" customHeight="1" thickBot="1">
      <c r="A28" s="320" t="s">
        <v>404</v>
      </c>
      <c r="B28" s="320" t="s">
        <v>405</v>
      </c>
      <c r="C28" s="320" t="s">
        <v>406</v>
      </c>
      <c r="D28" s="328" t="s">
        <v>432</v>
      </c>
      <c r="E28" s="329">
        <v>0</v>
      </c>
      <c r="F28" s="329">
        <v>0</v>
      </c>
      <c r="G28" s="329">
        <v>0</v>
      </c>
      <c r="H28" s="329">
        <v>0</v>
      </c>
      <c r="I28" s="329">
        <v>0</v>
      </c>
      <c r="J28" s="329">
        <v>0</v>
      </c>
      <c r="K28" s="329">
        <v>0</v>
      </c>
      <c r="L28" s="329">
        <v>0</v>
      </c>
      <c r="M28" s="329">
        <v>0</v>
      </c>
      <c r="N28" s="329">
        <v>0</v>
      </c>
      <c r="O28" s="329">
        <v>0</v>
      </c>
      <c r="P28" s="329">
        <v>0</v>
      </c>
      <c r="Q28" s="329">
        <v>0</v>
      </c>
      <c r="R28" s="329">
        <v>0</v>
      </c>
      <c r="S28" s="329">
        <v>0</v>
      </c>
      <c r="T28" s="329">
        <v>0</v>
      </c>
      <c r="U28" s="329">
        <v>0</v>
      </c>
      <c r="V28" s="329">
        <v>0</v>
      </c>
      <c r="W28" s="329">
        <v>0</v>
      </c>
      <c r="X28" s="329">
        <v>0</v>
      </c>
      <c r="Y28" s="329">
        <v>0</v>
      </c>
      <c r="Z28" s="329">
        <v>0</v>
      </c>
      <c r="AA28" s="329">
        <v>0</v>
      </c>
      <c r="AB28" s="329">
        <v>0</v>
      </c>
      <c r="AC28" s="329">
        <v>0</v>
      </c>
      <c r="AD28" s="329">
        <v>0</v>
      </c>
      <c r="AE28" s="329">
        <v>0</v>
      </c>
      <c r="AF28" s="329">
        <v>0</v>
      </c>
      <c r="AG28" s="329">
        <v>0</v>
      </c>
      <c r="AH28" s="329">
        <v>0</v>
      </c>
      <c r="AI28" s="329">
        <v>0</v>
      </c>
      <c r="AJ28" s="329">
        <v>0</v>
      </c>
      <c r="AK28" s="329">
        <v>0</v>
      </c>
      <c r="AL28" s="329">
        <v>0</v>
      </c>
      <c r="AM28" s="329">
        <v>0</v>
      </c>
      <c r="AN28" s="329">
        <v>0</v>
      </c>
      <c r="AO28" s="330">
        <v>3749.12</v>
      </c>
      <c r="AP28" s="330">
        <v>3731.07</v>
      </c>
      <c r="AQ28" s="330">
        <v>3695.28</v>
      </c>
      <c r="AR28" s="330">
        <v>4113.53</v>
      </c>
      <c r="AS28" s="330">
        <v>4161.46</v>
      </c>
      <c r="AT28" s="330">
        <v>4161.46</v>
      </c>
      <c r="AU28" s="330">
        <v>4161.46</v>
      </c>
      <c r="AV28" s="330">
        <v>4382.41</v>
      </c>
      <c r="AW28" s="330">
        <v>4382.41</v>
      </c>
      <c r="AX28" s="330">
        <v>4394.55</v>
      </c>
      <c r="AY28" s="330">
        <v>4382.41</v>
      </c>
      <c r="AZ28" s="330">
        <v>4376.5</v>
      </c>
      <c r="BA28" s="329">
        <v>0</v>
      </c>
      <c r="BB28" s="329">
        <v>0</v>
      </c>
      <c r="BC28" s="329">
        <v>0</v>
      </c>
      <c r="BD28" s="329">
        <v>0</v>
      </c>
      <c r="BE28" s="329">
        <v>0</v>
      </c>
      <c r="BF28" s="329">
        <v>0</v>
      </c>
      <c r="BG28" s="329">
        <v>0</v>
      </c>
      <c r="BH28" s="329">
        <v>0</v>
      </c>
      <c r="BI28" s="329">
        <v>0</v>
      </c>
      <c r="BJ28" s="329">
        <v>0</v>
      </c>
      <c r="BK28" s="329">
        <v>0</v>
      </c>
      <c r="BL28" s="329">
        <v>0</v>
      </c>
      <c r="BM28" s="331"/>
      <c r="BN28" s="331"/>
      <c r="BO28" s="331"/>
      <c r="BP28" s="331"/>
      <c r="BQ28" s="331"/>
      <c r="BR28" s="331"/>
      <c r="BS28" s="331"/>
      <c r="BT28" s="331"/>
      <c r="BU28" s="331"/>
      <c r="BV28" s="331"/>
      <c r="BW28" s="331"/>
      <c r="BX28" s="331"/>
      <c r="BY28" s="329">
        <v>0</v>
      </c>
      <c r="BZ28" s="329">
        <v>0</v>
      </c>
      <c r="CA28" s="329">
        <v>0</v>
      </c>
      <c r="CB28" s="329">
        <v>0</v>
      </c>
      <c r="CC28" s="329">
        <v>0</v>
      </c>
      <c r="CD28" s="329">
        <v>0</v>
      </c>
      <c r="CE28" s="329">
        <v>0</v>
      </c>
      <c r="CF28" s="329">
        <v>0</v>
      </c>
      <c r="CG28" s="329">
        <v>0</v>
      </c>
      <c r="CH28" s="329">
        <v>0</v>
      </c>
      <c r="CI28" s="329">
        <v>0</v>
      </c>
      <c r="CJ28" s="329">
        <v>0</v>
      </c>
      <c r="CK28" s="329">
        <v>0</v>
      </c>
      <c r="CL28" s="329">
        <v>0</v>
      </c>
      <c r="CM28" s="329">
        <v>0</v>
      </c>
      <c r="CN28" s="329">
        <v>0</v>
      </c>
      <c r="CO28" s="329">
        <v>0</v>
      </c>
      <c r="CP28" s="329">
        <v>0</v>
      </c>
      <c r="CQ28" s="329">
        <v>0</v>
      </c>
      <c r="CR28" s="329">
        <v>0</v>
      </c>
      <c r="CS28" s="329">
        <v>0</v>
      </c>
      <c r="CT28" s="329">
        <v>0</v>
      </c>
      <c r="CU28" s="329">
        <v>0</v>
      </c>
      <c r="CV28" s="329">
        <v>0</v>
      </c>
      <c r="CW28" s="329">
        <v>0</v>
      </c>
      <c r="CX28" s="329">
        <v>0</v>
      </c>
      <c r="CY28" s="329">
        <v>0</v>
      </c>
      <c r="CZ28" s="329">
        <v>0</v>
      </c>
      <c r="DA28" s="329">
        <v>0</v>
      </c>
      <c r="DB28" s="329">
        <v>0</v>
      </c>
      <c r="DC28" s="329">
        <v>0</v>
      </c>
      <c r="DD28" s="329">
        <v>0</v>
      </c>
      <c r="DE28" s="329">
        <v>0</v>
      </c>
      <c r="DF28" s="329">
        <v>0</v>
      </c>
      <c r="DG28" s="329">
        <v>0</v>
      </c>
      <c r="DH28" s="329">
        <v>0</v>
      </c>
      <c r="DI28" s="331"/>
      <c r="DJ28" s="331"/>
      <c r="DK28" s="331"/>
      <c r="DL28" s="331"/>
      <c r="DM28" s="331"/>
      <c r="DN28" s="331"/>
      <c r="DO28" s="331"/>
      <c r="DP28" s="331"/>
      <c r="DQ28" s="331"/>
      <c r="DR28" s="331"/>
      <c r="DS28" s="331"/>
      <c r="DT28" s="331"/>
      <c r="DU28" s="330">
        <v>50.62</v>
      </c>
      <c r="DV28" s="330">
        <v>50.37</v>
      </c>
      <c r="DW28" s="330">
        <v>49.87</v>
      </c>
      <c r="DX28" s="330">
        <v>55.73</v>
      </c>
      <c r="DY28" s="330">
        <v>56.4</v>
      </c>
      <c r="DZ28" s="330">
        <v>56.4</v>
      </c>
      <c r="EA28" s="330">
        <v>56.4</v>
      </c>
      <c r="EB28" s="330">
        <v>59.49</v>
      </c>
      <c r="EC28" s="330">
        <v>59.49</v>
      </c>
      <c r="ED28" s="330">
        <v>59.66</v>
      </c>
      <c r="EE28" s="330">
        <v>59.49</v>
      </c>
      <c r="EF28" s="330">
        <v>59.41</v>
      </c>
      <c r="EG28" s="329">
        <v>0</v>
      </c>
      <c r="EH28" s="329">
        <v>0</v>
      </c>
      <c r="EI28" s="329">
        <v>0</v>
      </c>
      <c r="EJ28" s="329">
        <v>0</v>
      </c>
      <c r="EK28" s="329">
        <v>0</v>
      </c>
      <c r="EL28" s="329">
        <v>0</v>
      </c>
      <c r="EM28" s="329">
        <v>0</v>
      </c>
      <c r="EN28" s="329">
        <v>0</v>
      </c>
      <c r="EO28" s="329">
        <v>0</v>
      </c>
      <c r="EP28" s="329">
        <v>0</v>
      </c>
      <c r="EQ28" s="329">
        <v>0</v>
      </c>
      <c r="ER28" s="329">
        <v>0</v>
      </c>
      <c r="ES28" s="331"/>
      <c r="ET28" s="331"/>
      <c r="EU28" s="331"/>
      <c r="EV28" s="331"/>
      <c r="EW28" s="331"/>
      <c r="EX28" s="331"/>
      <c r="EY28" s="331"/>
      <c r="EZ28" s="331"/>
      <c r="FA28" s="331"/>
      <c r="FB28" s="331"/>
      <c r="FC28" s="331"/>
      <c r="FD28" s="331"/>
      <c r="FE28" s="329">
        <v>0</v>
      </c>
      <c r="FF28" s="329">
        <v>0</v>
      </c>
      <c r="FG28" s="329">
        <v>0</v>
      </c>
      <c r="FH28" s="329">
        <v>0</v>
      </c>
      <c r="FI28" s="329">
        <v>0</v>
      </c>
      <c r="FJ28" s="329">
        <v>0</v>
      </c>
      <c r="FK28" s="329">
        <v>0</v>
      </c>
      <c r="FL28" s="329">
        <v>0</v>
      </c>
      <c r="FM28" s="329">
        <v>0</v>
      </c>
      <c r="FN28" s="329">
        <v>0</v>
      </c>
      <c r="FO28" s="329">
        <v>0</v>
      </c>
      <c r="FP28" s="329">
        <v>0</v>
      </c>
      <c r="FQ28" s="329">
        <v>0</v>
      </c>
      <c r="FR28" s="329">
        <v>0</v>
      </c>
      <c r="FS28" s="329">
        <v>0</v>
      </c>
      <c r="FT28" s="329">
        <v>0</v>
      </c>
      <c r="FU28" s="329">
        <v>0</v>
      </c>
      <c r="FV28" s="329">
        <v>0</v>
      </c>
      <c r="FW28" s="329">
        <v>0</v>
      </c>
      <c r="FX28" s="329">
        <v>0</v>
      </c>
      <c r="FY28" s="329">
        <v>0</v>
      </c>
      <c r="FZ28" s="329">
        <v>0</v>
      </c>
      <c r="GA28" s="329">
        <v>0</v>
      </c>
      <c r="GB28" s="329">
        <v>0</v>
      </c>
      <c r="GC28" s="330">
        <v>9483.24</v>
      </c>
      <c r="GD28" s="330">
        <v>9480.0400000000009</v>
      </c>
      <c r="GE28" s="330">
        <v>9473.7000000000007</v>
      </c>
      <c r="GF28" s="330">
        <v>9349.81</v>
      </c>
      <c r="GG28" s="330">
        <v>9358.2999999999993</v>
      </c>
      <c r="GH28" s="330">
        <v>8467.98</v>
      </c>
      <c r="GI28" s="330">
        <v>8467.98</v>
      </c>
      <c r="GJ28" s="330">
        <v>8507.1299999999992</v>
      </c>
      <c r="GK28" s="330">
        <v>8507.1299999999992</v>
      </c>
      <c r="GL28" s="330">
        <v>8509.2800000000007</v>
      </c>
      <c r="GM28" s="330">
        <v>8507.1299999999992</v>
      </c>
      <c r="GN28" s="330">
        <v>8422.1200000000008</v>
      </c>
      <c r="GO28" s="331"/>
      <c r="GP28" s="331"/>
      <c r="GQ28" s="331"/>
      <c r="GR28" s="331"/>
      <c r="GS28" s="331"/>
      <c r="GT28" s="331"/>
      <c r="GU28" s="331"/>
      <c r="GV28" s="331"/>
      <c r="GW28" s="331"/>
      <c r="GX28" s="331"/>
      <c r="GY28" s="331"/>
      <c r="GZ28" s="331"/>
      <c r="HA28" s="330">
        <v>214.2</v>
      </c>
      <c r="HB28" s="330">
        <v>192.78</v>
      </c>
      <c r="HC28" s="330">
        <v>209.92</v>
      </c>
      <c r="HD28" s="330">
        <v>227.05</v>
      </c>
      <c r="HE28" s="330">
        <v>222.77</v>
      </c>
      <c r="HF28" s="330">
        <v>418.53</v>
      </c>
      <c r="HG28" s="330">
        <v>399.26</v>
      </c>
      <c r="HH28" s="330">
        <v>412.1</v>
      </c>
      <c r="HI28" s="330">
        <v>447.43</v>
      </c>
      <c r="HJ28" s="330">
        <v>421.74</v>
      </c>
      <c r="HK28" s="330">
        <v>414.24</v>
      </c>
      <c r="HL28" s="330">
        <v>450.64</v>
      </c>
      <c r="HM28" s="331"/>
      <c r="HN28" s="331"/>
      <c r="HO28" s="331"/>
      <c r="HP28" s="331"/>
      <c r="HQ28" s="331"/>
      <c r="HR28" s="331"/>
      <c r="HS28" s="331"/>
      <c r="HT28" s="331"/>
      <c r="HU28" s="331"/>
      <c r="HV28" s="331"/>
      <c r="HW28" s="331"/>
      <c r="HX28" s="331"/>
      <c r="HY28" s="329">
        <v>0</v>
      </c>
      <c r="HZ28" s="329">
        <v>0</v>
      </c>
      <c r="IA28" s="329">
        <v>0</v>
      </c>
      <c r="IB28" s="329">
        <v>0</v>
      </c>
      <c r="IC28" s="329">
        <v>0</v>
      </c>
      <c r="ID28" s="329">
        <v>0</v>
      </c>
      <c r="IE28" s="329">
        <v>0</v>
      </c>
      <c r="IF28" s="329">
        <v>0</v>
      </c>
      <c r="IG28" s="329">
        <v>0</v>
      </c>
      <c r="IH28" s="329">
        <v>0</v>
      </c>
      <c r="II28" s="329">
        <v>0</v>
      </c>
      <c r="IJ28" s="329">
        <v>0</v>
      </c>
      <c r="IK28" s="331"/>
      <c r="IL28" s="331"/>
      <c r="IM28" s="331"/>
      <c r="IN28" s="331"/>
      <c r="IO28" s="331"/>
      <c r="IP28" s="331"/>
      <c r="IQ28" s="331"/>
      <c r="IR28" s="331"/>
      <c r="IS28" s="331"/>
      <c r="IT28" s="331"/>
      <c r="IU28" s="331"/>
      <c r="IV28" s="331"/>
      <c r="IW28" s="331"/>
      <c r="IX28" s="331"/>
      <c r="IY28" s="331"/>
      <c r="IZ28" s="331"/>
      <c r="JA28" s="331"/>
      <c r="JB28" s="331"/>
      <c r="JC28" s="331"/>
      <c r="JD28" s="331"/>
      <c r="JE28" s="331"/>
      <c r="JF28" s="331"/>
      <c r="JG28" s="331"/>
      <c r="JH28" s="331"/>
      <c r="JI28" s="330">
        <v>162.08000000000001</v>
      </c>
      <c r="JJ28" s="331"/>
      <c r="JK28" s="331"/>
      <c r="JL28" s="331"/>
      <c r="JM28" s="331"/>
      <c r="JN28" s="331"/>
      <c r="JO28" s="331"/>
      <c r="JP28" s="331"/>
      <c r="JQ28" s="331"/>
      <c r="JR28" s="331"/>
      <c r="JS28" s="331"/>
      <c r="JT28" s="331"/>
      <c r="JU28" s="331"/>
      <c r="JV28" s="331"/>
      <c r="JW28" s="331"/>
      <c r="JX28" s="331"/>
      <c r="JY28" s="331"/>
      <c r="JZ28" s="331"/>
      <c r="KA28" s="331"/>
      <c r="KB28" s="331"/>
      <c r="KC28" s="331"/>
      <c r="KD28" s="331"/>
      <c r="KE28" s="331"/>
      <c r="KF28" s="331"/>
      <c r="KG28" s="331"/>
      <c r="KH28" s="331"/>
      <c r="KI28" s="331"/>
      <c r="KJ28" s="331"/>
      <c r="KK28" s="331"/>
      <c r="KL28" s="331"/>
      <c r="KM28" s="331"/>
      <c r="KN28" s="331"/>
      <c r="KO28" s="331"/>
      <c r="KP28" s="331"/>
      <c r="KQ28" s="331"/>
      <c r="KR28" s="331"/>
      <c r="KS28" s="331"/>
      <c r="KT28" s="331"/>
      <c r="KU28" s="331"/>
      <c r="KV28" s="331"/>
      <c r="KW28" s="331"/>
      <c r="KX28" s="331"/>
      <c r="KY28" s="331"/>
      <c r="KZ28" s="331"/>
      <c r="LA28" s="331"/>
      <c r="LB28" s="331"/>
      <c r="LC28" s="331"/>
      <c r="LD28" s="331"/>
      <c r="LE28" s="331"/>
      <c r="LF28" s="331"/>
      <c r="LG28" s="331"/>
      <c r="LH28" s="331"/>
      <c r="LI28" s="331"/>
      <c r="LJ28" s="331"/>
      <c r="LK28" s="331"/>
      <c r="LL28" s="331"/>
      <c r="LM28" s="331"/>
      <c r="LN28" s="331"/>
      <c r="LO28" s="331"/>
      <c r="LP28" s="331"/>
      <c r="LQ28" s="331"/>
      <c r="LR28" s="331"/>
      <c r="LS28" s="331"/>
      <c r="LT28" s="331"/>
      <c r="LU28" s="331"/>
      <c r="LV28" s="331"/>
      <c r="LW28" s="331"/>
      <c r="LX28" s="331"/>
      <c r="LY28" s="331"/>
      <c r="LZ28" s="331"/>
      <c r="MA28" s="331"/>
      <c r="MB28" s="331"/>
      <c r="MC28" s="331"/>
      <c r="MD28" s="331"/>
      <c r="ME28" s="331"/>
      <c r="MF28" s="331"/>
      <c r="MG28" s="331"/>
      <c r="MH28" s="331"/>
      <c r="MI28" s="331"/>
      <c r="MJ28" s="331"/>
      <c r="MK28" s="331"/>
      <c r="ML28" s="331"/>
      <c r="MM28" s="331"/>
      <c r="MN28" s="331"/>
      <c r="MO28" s="331"/>
      <c r="MP28" s="331"/>
      <c r="MQ28" s="331"/>
      <c r="MR28" s="331"/>
      <c r="MS28" s="331"/>
      <c r="MT28" s="331"/>
      <c r="MU28" s="331"/>
      <c r="MV28" s="331"/>
      <c r="MW28" s="331"/>
      <c r="MX28" s="331"/>
      <c r="MY28" s="331"/>
      <c r="MZ28" s="331"/>
      <c r="NA28" s="331"/>
      <c r="NB28" s="331"/>
      <c r="NC28" s="331"/>
      <c r="ND28" s="331"/>
      <c r="NE28" s="331"/>
      <c r="NF28" s="331"/>
      <c r="NG28" s="331"/>
      <c r="NH28" s="331"/>
      <c r="NI28" s="331"/>
      <c r="NJ28" s="331"/>
      <c r="NK28" s="331"/>
      <c r="NL28" s="331"/>
      <c r="NM28" s="331"/>
      <c r="NN28" s="331"/>
      <c r="NO28" s="331"/>
      <c r="NP28" s="331"/>
      <c r="NQ28" s="331"/>
      <c r="NR28" s="331"/>
      <c r="NS28" s="331"/>
      <c r="NT28" s="331"/>
      <c r="NU28" s="331"/>
      <c r="NV28" s="331"/>
      <c r="NW28" s="331"/>
      <c r="NX28" s="331"/>
      <c r="NY28" s="331"/>
      <c r="NZ28" s="331"/>
      <c r="OA28" s="331"/>
      <c r="OB28" s="331"/>
      <c r="OC28" s="331"/>
      <c r="OD28" s="331"/>
      <c r="OE28" s="331"/>
      <c r="OF28" s="331"/>
      <c r="OG28" s="331"/>
      <c r="OH28" s="331"/>
      <c r="OI28" s="331"/>
      <c r="OJ28" s="331"/>
      <c r="OK28" s="331"/>
      <c r="OL28" s="332">
        <f t="shared" si="0"/>
        <v>161091.57</v>
      </c>
    </row>
    <row r="29" spans="1:402" ht="12.75" customHeight="1" thickBot="1">
      <c r="A29" s="320" t="s">
        <v>404</v>
      </c>
      <c r="B29" s="320" t="s">
        <v>405</v>
      </c>
      <c r="C29" s="320" t="s">
        <v>406</v>
      </c>
      <c r="D29" s="328" t="s">
        <v>433</v>
      </c>
      <c r="E29" s="329">
        <v>0</v>
      </c>
      <c r="F29" s="329">
        <v>0</v>
      </c>
      <c r="G29" s="329">
        <v>0</v>
      </c>
      <c r="H29" s="329">
        <v>0</v>
      </c>
      <c r="I29" s="329">
        <v>0</v>
      </c>
      <c r="J29" s="329">
        <v>0</v>
      </c>
      <c r="K29" s="329">
        <v>0</v>
      </c>
      <c r="L29" s="329">
        <v>0</v>
      </c>
      <c r="M29" s="329">
        <v>0</v>
      </c>
      <c r="N29" s="329">
        <v>0</v>
      </c>
      <c r="O29" s="329">
        <v>0</v>
      </c>
      <c r="P29" s="329">
        <v>0</v>
      </c>
      <c r="Q29" s="329">
        <v>0</v>
      </c>
      <c r="R29" s="329">
        <v>0</v>
      </c>
      <c r="S29" s="329">
        <v>0</v>
      </c>
      <c r="T29" s="329">
        <v>0</v>
      </c>
      <c r="U29" s="329">
        <v>0</v>
      </c>
      <c r="V29" s="329">
        <v>0</v>
      </c>
      <c r="W29" s="329">
        <v>0</v>
      </c>
      <c r="X29" s="329">
        <v>0</v>
      </c>
      <c r="Y29" s="329">
        <v>0</v>
      </c>
      <c r="Z29" s="329">
        <v>0</v>
      </c>
      <c r="AA29" s="329">
        <v>0</v>
      </c>
      <c r="AB29" s="329">
        <v>0</v>
      </c>
      <c r="AC29" s="329">
        <v>0</v>
      </c>
      <c r="AD29" s="329">
        <v>0</v>
      </c>
      <c r="AE29" s="329">
        <v>0</v>
      </c>
      <c r="AF29" s="329">
        <v>0</v>
      </c>
      <c r="AG29" s="329">
        <v>0</v>
      </c>
      <c r="AH29" s="329">
        <v>0</v>
      </c>
      <c r="AI29" s="329">
        <v>0</v>
      </c>
      <c r="AJ29" s="329">
        <v>0</v>
      </c>
      <c r="AK29" s="329">
        <v>0</v>
      </c>
      <c r="AL29" s="329">
        <v>0</v>
      </c>
      <c r="AM29" s="329">
        <v>0</v>
      </c>
      <c r="AN29" s="329">
        <v>0</v>
      </c>
      <c r="AO29" s="330">
        <v>25838.720000000001</v>
      </c>
      <c r="AP29" s="330">
        <v>25964.44</v>
      </c>
      <c r="AQ29" s="330">
        <v>26304.9</v>
      </c>
      <c r="AR29" s="330">
        <v>26233.32</v>
      </c>
      <c r="AS29" s="330">
        <v>26143.69</v>
      </c>
      <c r="AT29" s="330">
        <v>26197.22</v>
      </c>
      <c r="AU29" s="330">
        <v>26000.23</v>
      </c>
      <c r="AV29" s="330">
        <v>26054.07</v>
      </c>
      <c r="AW29" s="330">
        <v>25623.68</v>
      </c>
      <c r="AX29" s="330">
        <v>25462.48</v>
      </c>
      <c r="AY29" s="330">
        <v>25354.799999999999</v>
      </c>
      <c r="AZ29" s="330">
        <v>25767.14</v>
      </c>
      <c r="BA29" s="329">
        <v>0</v>
      </c>
      <c r="BB29" s="329">
        <v>0</v>
      </c>
      <c r="BC29" s="329">
        <v>0</v>
      </c>
      <c r="BD29" s="329">
        <v>0</v>
      </c>
      <c r="BE29" s="329">
        <v>0</v>
      </c>
      <c r="BF29" s="329">
        <v>0</v>
      </c>
      <c r="BG29" s="329">
        <v>0</v>
      </c>
      <c r="BH29" s="329">
        <v>0</v>
      </c>
      <c r="BI29" s="329">
        <v>0</v>
      </c>
      <c r="BJ29" s="329">
        <v>0</v>
      </c>
      <c r="BK29" s="329">
        <v>0</v>
      </c>
      <c r="BL29" s="329">
        <v>0</v>
      </c>
      <c r="BM29" s="331"/>
      <c r="BN29" s="331"/>
      <c r="BO29" s="331"/>
      <c r="BP29" s="331"/>
      <c r="BQ29" s="331"/>
      <c r="BR29" s="331"/>
      <c r="BS29" s="331"/>
      <c r="BT29" s="331"/>
      <c r="BU29" s="331"/>
      <c r="BV29" s="331"/>
      <c r="BW29" s="331"/>
      <c r="BX29" s="331"/>
      <c r="BY29" s="329">
        <v>0</v>
      </c>
      <c r="BZ29" s="329">
        <v>0</v>
      </c>
      <c r="CA29" s="329">
        <v>0</v>
      </c>
      <c r="CB29" s="329">
        <v>0</v>
      </c>
      <c r="CC29" s="329">
        <v>0</v>
      </c>
      <c r="CD29" s="329">
        <v>0</v>
      </c>
      <c r="CE29" s="329">
        <v>0</v>
      </c>
      <c r="CF29" s="329">
        <v>0</v>
      </c>
      <c r="CG29" s="329">
        <v>0</v>
      </c>
      <c r="CH29" s="329">
        <v>0</v>
      </c>
      <c r="CI29" s="329">
        <v>0</v>
      </c>
      <c r="CJ29" s="329">
        <v>0</v>
      </c>
      <c r="CK29" s="329">
        <v>0</v>
      </c>
      <c r="CL29" s="329">
        <v>0</v>
      </c>
      <c r="CM29" s="329">
        <v>0</v>
      </c>
      <c r="CN29" s="329">
        <v>0</v>
      </c>
      <c r="CO29" s="329">
        <v>0</v>
      </c>
      <c r="CP29" s="329">
        <v>0</v>
      </c>
      <c r="CQ29" s="329">
        <v>0</v>
      </c>
      <c r="CR29" s="329">
        <v>0</v>
      </c>
      <c r="CS29" s="329">
        <v>0</v>
      </c>
      <c r="CT29" s="329">
        <v>0</v>
      </c>
      <c r="CU29" s="329">
        <v>0</v>
      </c>
      <c r="CV29" s="329">
        <v>0</v>
      </c>
      <c r="CW29" s="329">
        <v>0</v>
      </c>
      <c r="CX29" s="329">
        <v>0</v>
      </c>
      <c r="CY29" s="329">
        <v>0</v>
      </c>
      <c r="CZ29" s="329">
        <v>0</v>
      </c>
      <c r="DA29" s="329">
        <v>0</v>
      </c>
      <c r="DB29" s="329">
        <v>0</v>
      </c>
      <c r="DC29" s="329">
        <v>0</v>
      </c>
      <c r="DD29" s="329">
        <v>0</v>
      </c>
      <c r="DE29" s="329">
        <v>0</v>
      </c>
      <c r="DF29" s="329">
        <v>0</v>
      </c>
      <c r="DG29" s="329">
        <v>0</v>
      </c>
      <c r="DH29" s="329">
        <v>0</v>
      </c>
      <c r="DI29" s="331"/>
      <c r="DJ29" s="331"/>
      <c r="DK29" s="331"/>
      <c r="DL29" s="331"/>
      <c r="DM29" s="331"/>
      <c r="DN29" s="331"/>
      <c r="DO29" s="331"/>
      <c r="DP29" s="331"/>
      <c r="DQ29" s="331"/>
      <c r="DR29" s="331"/>
      <c r="DS29" s="331"/>
      <c r="DT29" s="331"/>
      <c r="DU29" s="330">
        <v>359.98</v>
      </c>
      <c r="DV29" s="330">
        <v>361.74</v>
      </c>
      <c r="DW29" s="330">
        <v>366.51</v>
      </c>
      <c r="DX29" s="330">
        <v>365.5</v>
      </c>
      <c r="DY29" s="330">
        <v>364.25</v>
      </c>
      <c r="DZ29" s="329">
        <v>365</v>
      </c>
      <c r="EA29" s="330">
        <v>362.24</v>
      </c>
      <c r="EB29" s="330">
        <v>362.99</v>
      </c>
      <c r="EC29" s="330">
        <v>356.97</v>
      </c>
      <c r="ED29" s="330">
        <v>354.71</v>
      </c>
      <c r="EE29" s="330">
        <v>353.2</v>
      </c>
      <c r="EF29" s="330">
        <v>358.98</v>
      </c>
      <c r="EG29" s="329">
        <v>0</v>
      </c>
      <c r="EH29" s="329">
        <v>0</v>
      </c>
      <c r="EI29" s="329">
        <v>0</v>
      </c>
      <c r="EJ29" s="329">
        <v>0</v>
      </c>
      <c r="EK29" s="329">
        <v>0</v>
      </c>
      <c r="EL29" s="329">
        <v>0</v>
      </c>
      <c r="EM29" s="329">
        <v>0</v>
      </c>
      <c r="EN29" s="329">
        <v>0</v>
      </c>
      <c r="EO29" s="329">
        <v>0</v>
      </c>
      <c r="EP29" s="329">
        <v>0</v>
      </c>
      <c r="EQ29" s="329">
        <v>0</v>
      </c>
      <c r="ER29" s="329">
        <v>0</v>
      </c>
      <c r="ES29" s="331"/>
      <c r="ET29" s="331"/>
      <c r="EU29" s="331"/>
      <c r="EV29" s="331"/>
      <c r="EW29" s="331"/>
      <c r="EX29" s="331"/>
      <c r="EY29" s="331"/>
      <c r="EZ29" s="331"/>
      <c r="FA29" s="331"/>
      <c r="FB29" s="331"/>
      <c r="FC29" s="331"/>
      <c r="FD29" s="331"/>
      <c r="FE29" s="329">
        <v>0</v>
      </c>
      <c r="FF29" s="329">
        <v>0</v>
      </c>
      <c r="FG29" s="329">
        <v>0</v>
      </c>
      <c r="FH29" s="329">
        <v>0</v>
      </c>
      <c r="FI29" s="329">
        <v>0</v>
      </c>
      <c r="FJ29" s="329">
        <v>0</v>
      </c>
      <c r="FK29" s="329">
        <v>0</v>
      </c>
      <c r="FL29" s="329">
        <v>0</v>
      </c>
      <c r="FM29" s="329">
        <v>0</v>
      </c>
      <c r="FN29" s="329">
        <v>0</v>
      </c>
      <c r="FO29" s="329">
        <v>0</v>
      </c>
      <c r="FP29" s="329">
        <v>0</v>
      </c>
      <c r="FQ29" s="329">
        <v>0</v>
      </c>
      <c r="FR29" s="329">
        <v>0</v>
      </c>
      <c r="FS29" s="329">
        <v>0</v>
      </c>
      <c r="FT29" s="329">
        <v>0</v>
      </c>
      <c r="FU29" s="329">
        <v>0</v>
      </c>
      <c r="FV29" s="329">
        <v>0</v>
      </c>
      <c r="FW29" s="329">
        <v>0</v>
      </c>
      <c r="FX29" s="329">
        <v>0</v>
      </c>
      <c r="FY29" s="329">
        <v>0</v>
      </c>
      <c r="FZ29" s="329">
        <v>0</v>
      </c>
      <c r="GA29" s="329">
        <v>0</v>
      </c>
      <c r="GB29" s="329">
        <v>0</v>
      </c>
      <c r="GC29" s="330">
        <v>57765.65</v>
      </c>
      <c r="GD29" s="330">
        <v>57787.93</v>
      </c>
      <c r="GE29" s="330">
        <v>57848.25</v>
      </c>
      <c r="GF29" s="330">
        <v>57193.57</v>
      </c>
      <c r="GG29" s="330">
        <v>57177.69</v>
      </c>
      <c r="GH29" s="330">
        <v>51773.06</v>
      </c>
      <c r="GI29" s="330">
        <v>51738.16</v>
      </c>
      <c r="GJ29" s="330">
        <v>51747.7</v>
      </c>
      <c r="GK29" s="330">
        <v>51671.44</v>
      </c>
      <c r="GL29" s="330">
        <v>51642.87</v>
      </c>
      <c r="GM29" s="330">
        <v>51623.8</v>
      </c>
      <c r="GN29" s="330">
        <v>51174.95</v>
      </c>
      <c r="GO29" s="331"/>
      <c r="GP29" s="331"/>
      <c r="GQ29" s="331"/>
      <c r="GR29" s="331"/>
      <c r="GS29" s="331"/>
      <c r="GT29" s="331"/>
      <c r="GU29" s="331"/>
      <c r="GV29" s="331"/>
      <c r="GW29" s="331"/>
      <c r="GX29" s="331"/>
      <c r="GY29" s="331"/>
      <c r="GZ29" s="331"/>
      <c r="HA29" s="330">
        <v>1555.09</v>
      </c>
      <c r="HB29" s="330">
        <v>1408.21</v>
      </c>
      <c r="HC29" s="330">
        <v>1613.84</v>
      </c>
      <c r="HD29" s="330">
        <v>1577.12</v>
      </c>
      <c r="HE29" s="330">
        <v>1520.21</v>
      </c>
      <c r="HF29" s="330">
        <v>2421.2399999999998</v>
      </c>
      <c r="HG29" s="330">
        <v>2501.52</v>
      </c>
      <c r="HH29" s="330">
        <v>2585.02</v>
      </c>
      <c r="HI29" s="330">
        <v>2578.59</v>
      </c>
      <c r="HJ29" s="330">
        <v>2540.06</v>
      </c>
      <c r="HK29" s="330">
        <v>2472.62</v>
      </c>
      <c r="HL29" s="330">
        <v>2617.13</v>
      </c>
      <c r="HM29" s="331"/>
      <c r="HN29" s="331"/>
      <c r="HO29" s="331"/>
      <c r="HP29" s="331"/>
      <c r="HQ29" s="331"/>
      <c r="HR29" s="331"/>
      <c r="HS29" s="331"/>
      <c r="HT29" s="331"/>
      <c r="HU29" s="331"/>
      <c r="HV29" s="331"/>
      <c r="HW29" s="331"/>
      <c r="HX29" s="331"/>
      <c r="HY29" s="329">
        <v>0</v>
      </c>
      <c r="HZ29" s="329">
        <v>0</v>
      </c>
      <c r="IA29" s="329">
        <v>0</v>
      </c>
      <c r="IB29" s="329">
        <v>0</v>
      </c>
      <c r="IC29" s="329">
        <v>0</v>
      </c>
      <c r="ID29" s="329">
        <v>0</v>
      </c>
      <c r="IE29" s="329">
        <v>0</v>
      </c>
      <c r="IF29" s="329">
        <v>0</v>
      </c>
      <c r="IG29" s="329">
        <v>0</v>
      </c>
      <c r="IH29" s="329">
        <v>0</v>
      </c>
      <c r="II29" s="329">
        <v>0</v>
      </c>
      <c r="IJ29" s="329">
        <v>0</v>
      </c>
      <c r="IK29" s="331"/>
      <c r="IL29" s="331"/>
      <c r="IM29" s="331"/>
      <c r="IN29" s="331"/>
      <c r="IO29" s="331"/>
      <c r="IP29" s="331"/>
      <c r="IQ29" s="331"/>
      <c r="IR29" s="331"/>
      <c r="IS29" s="331"/>
      <c r="IT29" s="331"/>
      <c r="IU29" s="331"/>
      <c r="IV29" s="331"/>
      <c r="IW29" s="331"/>
      <c r="IX29" s="331"/>
      <c r="IY29" s="331"/>
      <c r="IZ29" s="331"/>
      <c r="JA29" s="331"/>
      <c r="JB29" s="331"/>
      <c r="JC29" s="331"/>
      <c r="JD29" s="331"/>
      <c r="JE29" s="331"/>
      <c r="JF29" s="331"/>
      <c r="JG29" s="331"/>
      <c r="JH29" s="331"/>
      <c r="JI29" s="330">
        <v>979.36</v>
      </c>
      <c r="JJ29" s="331"/>
      <c r="JK29" s="331"/>
      <c r="JL29" s="331"/>
      <c r="JM29" s="331"/>
      <c r="JN29" s="331"/>
      <c r="JO29" s="331"/>
      <c r="JP29" s="331"/>
      <c r="JQ29" s="331"/>
      <c r="JR29" s="331"/>
      <c r="JS29" s="331"/>
      <c r="JT29" s="331"/>
      <c r="JU29" s="331"/>
      <c r="JV29" s="331"/>
      <c r="JW29" s="331"/>
      <c r="JX29" s="331"/>
      <c r="JY29" s="331"/>
      <c r="JZ29" s="331"/>
      <c r="KA29" s="331"/>
      <c r="KB29" s="331"/>
      <c r="KC29" s="331"/>
      <c r="KD29" s="331"/>
      <c r="KE29" s="331"/>
      <c r="KF29" s="331"/>
      <c r="KG29" s="331"/>
      <c r="KH29" s="331"/>
      <c r="KI29" s="331"/>
      <c r="KJ29" s="331"/>
      <c r="KK29" s="331"/>
      <c r="KL29" s="331"/>
      <c r="KM29" s="331"/>
      <c r="KN29" s="331"/>
      <c r="KO29" s="331"/>
      <c r="KP29" s="331"/>
      <c r="KQ29" s="331"/>
      <c r="KR29" s="331"/>
      <c r="KS29" s="331"/>
      <c r="KT29" s="331"/>
      <c r="KU29" s="331"/>
      <c r="KV29" s="331"/>
      <c r="KW29" s="331"/>
      <c r="KX29" s="331"/>
      <c r="KY29" s="331"/>
      <c r="KZ29" s="331"/>
      <c r="LA29" s="331"/>
      <c r="LB29" s="331"/>
      <c r="LC29" s="331"/>
      <c r="LD29" s="331"/>
      <c r="LE29" s="331"/>
      <c r="LF29" s="331"/>
      <c r="LG29" s="331"/>
      <c r="LH29" s="331"/>
      <c r="LI29" s="331"/>
      <c r="LJ29" s="331"/>
      <c r="LK29" s="331"/>
      <c r="LL29" s="331"/>
      <c r="LM29" s="331"/>
      <c r="LN29" s="331"/>
      <c r="LO29" s="331"/>
      <c r="LP29" s="331"/>
      <c r="LQ29" s="331"/>
      <c r="LR29" s="331"/>
      <c r="LS29" s="331"/>
      <c r="LT29" s="331"/>
      <c r="LU29" s="331"/>
      <c r="LV29" s="331"/>
      <c r="LW29" s="331"/>
      <c r="LX29" s="331"/>
      <c r="LY29" s="331"/>
      <c r="LZ29" s="331"/>
      <c r="MA29" s="331"/>
      <c r="MB29" s="331"/>
      <c r="MC29" s="331"/>
      <c r="MD29" s="331"/>
      <c r="ME29" s="331"/>
      <c r="MF29" s="331"/>
      <c r="MG29" s="331"/>
      <c r="MH29" s="331"/>
      <c r="MI29" s="331"/>
      <c r="MJ29" s="331"/>
      <c r="MK29" s="331"/>
      <c r="ML29" s="331"/>
      <c r="MM29" s="331"/>
      <c r="MN29" s="331"/>
      <c r="MO29" s="331"/>
      <c r="MP29" s="331"/>
      <c r="MQ29" s="331"/>
      <c r="MR29" s="331"/>
      <c r="MS29" s="331"/>
      <c r="MT29" s="331"/>
      <c r="MU29" s="331"/>
      <c r="MV29" s="331"/>
      <c r="MW29" s="331"/>
      <c r="MX29" s="331"/>
      <c r="MY29" s="331"/>
      <c r="MZ29" s="331"/>
      <c r="NA29" s="331"/>
      <c r="NB29" s="331"/>
      <c r="NC29" s="331"/>
      <c r="ND29" s="331"/>
      <c r="NE29" s="331"/>
      <c r="NF29" s="331"/>
      <c r="NG29" s="331"/>
      <c r="NH29" s="331"/>
      <c r="NI29" s="331"/>
      <c r="NJ29" s="331"/>
      <c r="NK29" s="331"/>
      <c r="NL29" s="331"/>
      <c r="NM29" s="331"/>
      <c r="NN29" s="331"/>
      <c r="NO29" s="331"/>
      <c r="NP29" s="331"/>
      <c r="NQ29" s="331"/>
      <c r="NR29" s="331"/>
      <c r="NS29" s="331"/>
      <c r="NT29" s="331"/>
      <c r="NU29" s="331"/>
      <c r="NV29" s="331"/>
      <c r="NW29" s="331"/>
      <c r="NX29" s="331"/>
      <c r="NY29" s="331"/>
      <c r="NZ29" s="331"/>
      <c r="OA29" s="331"/>
      <c r="OB29" s="331"/>
      <c r="OC29" s="331"/>
      <c r="OD29" s="331"/>
      <c r="OE29" s="331"/>
      <c r="OF29" s="331"/>
      <c r="OG29" s="331"/>
      <c r="OH29" s="331"/>
      <c r="OI29" s="331"/>
      <c r="OJ29" s="331"/>
      <c r="OK29" s="331"/>
      <c r="OL29" s="332">
        <f t="shared" si="0"/>
        <v>990791.84000000008</v>
      </c>
    </row>
    <row r="30" spans="1:402" ht="13.5" thickBot="1">
      <c r="A30" s="320" t="s">
        <v>404</v>
      </c>
      <c r="B30" s="320" t="s">
        <v>405</v>
      </c>
      <c r="C30" s="320" t="s">
        <v>406</v>
      </c>
      <c r="D30" s="328" t="s">
        <v>434</v>
      </c>
      <c r="E30" s="329">
        <v>0</v>
      </c>
      <c r="F30" s="329">
        <v>0</v>
      </c>
      <c r="G30" s="329">
        <v>0</v>
      </c>
      <c r="H30" s="329">
        <v>0</v>
      </c>
      <c r="I30" s="329">
        <v>0</v>
      </c>
      <c r="J30" s="329">
        <v>0</v>
      </c>
      <c r="K30" s="329">
        <v>0</v>
      </c>
      <c r="L30" s="329">
        <v>0</v>
      </c>
      <c r="M30" s="329">
        <v>0</v>
      </c>
      <c r="N30" s="329">
        <v>0</v>
      </c>
      <c r="O30" s="329">
        <v>0</v>
      </c>
      <c r="P30" s="329">
        <v>0</v>
      </c>
      <c r="Q30" s="329">
        <v>0</v>
      </c>
      <c r="R30" s="329">
        <v>0</v>
      </c>
      <c r="S30" s="329">
        <v>0</v>
      </c>
      <c r="T30" s="329">
        <v>0</v>
      </c>
      <c r="U30" s="329">
        <v>0</v>
      </c>
      <c r="V30" s="329">
        <v>0</v>
      </c>
      <c r="W30" s="329">
        <v>0</v>
      </c>
      <c r="X30" s="329">
        <v>0</v>
      </c>
      <c r="Y30" s="329">
        <v>0</v>
      </c>
      <c r="Z30" s="329">
        <v>0</v>
      </c>
      <c r="AA30" s="329">
        <v>0</v>
      </c>
      <c r="AB30" s="329">
        <v>0</v>
      </c>
      <c r="AC30" s="329">
        <v>0</v>
      </c>
      <c r="AD30" s="329">
        <v>0</v>
      </c>
      <c r="AE30" s="329">
        <v>0</v>
      </c>
      <c r="AF30" s="329">
        <v>0</v>
      </c>
      <c r="AG30" s="329">
        <v>0</v>
      </c>
      <c r="AH30" s="329">
        <v>0</v>
      </c>
      <c r="AI30" s="329">
        <v>0</v>
      </c>
      <c r="AJ30" s="329">
        <v>0</v>
      </c>
      <c r="AK30" s="329">
        <v>0</v>
      </c>
      <c r="AL30" s="329">
        <v>0</v>
      </c>
      <c r="AM30" s="329">
        <v>0</v>
      </c>
      <c r="AN30" s="329">
        <v>0</v>
      </c>
      <c r="AO30" s="330">
        <v>16115.9</v>
      </c>
      <c r="AP30" s="330">
        <v>15711.96</v>
      </c>
      <c r="AQ30" s="330">
        <v>15765.48</v>
      </c>
      <c r="AR30" s="330">
        <v>15525.55</v>
      </c>
      <c r="AS30" s="330">
        <v>16422.12</v>
      </c>
      <c r="AT30" s="330">
        <v>16980.099999999999</v>
      </c>
      <c r="AU30" s="330">
        <v>17315.259999999998</v>
      </c>
      <c r="AV30" s="330">
        <v>17722.310000000001</v>
      </c>
      <c r="AW30" s="330">
        <v>16699.080000000002</v>
      </c>
      <c r="AX30" s="330">
        <v>16413.09</v>
      </c>
      <c r="AY30" s="330">
        <v>14204.82</v>
      </c>
      <c r="AZ30" s="330">
        <v>15044.43</v>
      </c>
      <c r="BA30" s="329">
        <v>0</v>
      </c>
      <c r="BB30" s="329">
        <v>0</v>
      </c>
      <c r="BC30" s="329">
        <v>0</v>
      </c>
      <c r="BD30" s="329">
        <v>0</v>
      </c>
      <c r="BE30" s="329">
        <v>0</v>
      </c>
      <c r="BF30" s="329">
        <v>0</v>
      </c>
      <c r="BG30" s="329">
        <v>0</v>
      </c>
      <c r="BH30" s="329">
        <v>0</v>
      </c>
      <c r="BI30" s="329">
        <v>0</v>
      </c>
      <c r="BJ30" s="329">
        <v>0</v>
      </c>
      <c r="BK30" s="329">
        <v>0</v>
      </c>
      <c r="BL30" s="329">
        <v>0</v>
      </c>
      <c r="BM30" s="331"/>
      <c r="BN30" s="331"/>
      <c r="BO30" s="331"/>
      <c r="BP30" s="331"/>
      <c r="BQ30" s="331"/>
      <c r="BR30" s="331"/>
      <c r="BS30" s="331"/>
      <c r="BT30" s="331"/>
      <c r="BU30" s="331"/>
      <c r="BV30" s="331"/>
      <c r="BW30" s="331"/>
      <c r="BX30" s="331"/>
      <c r="BY30" s="329">
        <v>0</v>
      </c>
      <c r="BZ30" s="329">
        <v>0</v>
      </c>
      <c r="CA30" s="329">
        <v>0</v>
      </c>
      <c r="CB30" s="329">
        <v>0</v>
      </c>
      <c r="CC30" s="329">
        <v>0</v>
      </c>
      <c r="CD30" s="329">
        <v>0</v>
      </c>
      <c r="CE30" s="329">
        <v>0</v>
      </c>
      <c r="CF30" s="329">
        <v>0</v>
      </c>
      <c r="CG30" s="329">
        <v>0</v>
      </c>
      <c r="CH30" s="329">
        <v>0</v>
      </c>
      <c r="CI30" s="329">
        <v>0</v>
      </c>
      <c r="CJ30" s="329">
        <v>0</v>
      </c>
      <c r="CK30" s="329">
        <v>0</v>
      </c>
      <c r="CL30" s="329">
        <v>0</v>
      </c>
      <c r="CM30" s="329">
        <v>0</v>
      </c>
      <c r="CN30" s="329">
        <v>0</v>
      </c>
      <c r="CO30" s="329">
        <v>0</v>
      </c>
      <c r="CP30" s="329">
        <v>0</v>
      </c>
      <c r="CQ30" s="329">
        <v>0</v>
      </c>
      <c r="CR30" s="329">
        <v>0</v>
      </c>
      <c r="CS30" s="329">
        <v>0</v>
      </c>
      <c r="CT30" s="329">
        <v>0</v>
      </c>
      <c r="CU30" s="329">
        <v>0</v>
      </c>
      <c r="CV30" s="329">
        <v>0</v>
      </c>
      <c r="CW30" s="329">
        <v>0</v>
      </c>
      <c r="CX30" s="329">
        <v>0</v>
      </c>
      <c r="CY30" s="329">
        <v>0</v>
      </c>
      <c r="CZ30" s="329">
        <v>0</v>
      </c>
      <c r="DA30" s="329">
        <v>0</v>
      </c>
      <c r="DB30" s="329">
        <v>0</v>
      </c>
      <c r="DC30" s="329">
        <v>0</v>
      </c>
      <c r="DD30" s="329">
        <v>0</v>
      </c>
      <c r="DE30" s="329">
        <v>0</v>
      </c>
      <c r="DF30" s="329">
        <v>0</v>
      </c>
      <c r="DG30" s="329">
        <v>0</v>
      </c>
      <c r="DH30" s="329">
        <v>0</v>
      </c>
      <c r="DI30" s="331"/>
      <c r="DJ30" s="331"/>
      <c r="DK30" s="331"/>
      <c r="DL30" s="331"/>
      <c r="DM30" s="331"/>
      <c r="DN30" s="331"/>
      <c r="DO30" s="331"/>
      <c r="DP30" s="331"/>
      <c r="DQ30" s="331"/>
      <c r="DR30" s="331"/>
      <c r="DS30" s="331"/>
      <c r="DT30" s="331"/>
      <c r="DU30" s="330">
        <v>223.82</v>
      </c>
      <c r="DV30" s="330">
        <v>218.16</v>
      </c>
      <c r="DW30" s="330">
        <v>218.91</v>
      </c>
      <c r="DX30" s="330">
        <v>215.55</v>
      </c>
      <c r="DY30" s="330">
        <v>228.1</v>
      </c>
      <c r="DZ30" s="330">
        <v>235.92</v>
      </c>
      <c r="EA30" s="330">
        <v>240.61</v>
      </c>
      <c r="EB30" s="330">
        <v>246.31</v>
      </c>
      <c r="EC30" s="330">
        <v>231.98</v>
      </c>
      <c r="ED30" s="330">
        <v>227.98</v>
      </c>
      <c r="EE30" s="330">
        <v>197.05</v>
      </c>
      <c r="EF30" s="330">
        <v>208.81</v>
      </c>
      <c r="EG30" s="329">
        <v>0</v>
      </c>
      <c r="EH30" s="329">
        <v>0</v>
      </c>
      <c r="EI30" s="329">
        <v>0</v>
      </c>
      <c r="EJ30" s="329">
        <v>0</v>
      </c>
      <c r="EK30" s="329">
        <v>0</v>
      </c>
      <c r="EL30" s="329">
        <v>0</v>
      </c>
      <c r="EM30" s="329">
        <v>0</v>
      </c>
      <c r="EN30" s="329">
        <v>0</v>
      </c>
      <c r="EO30" s="329">
        <v>0</v>
      </c>
      <c r="EP30" s="329">
        <v>0</v>
      </c>
      <c r="EQ30" s="329">
        <v>0</v>
      </c>
      <c r="ER30" s="329">
        <v>0</v>
      </c>
      <c r="ES30" s="331"/>
      <c r="ET30" s="331"/>
      <c r="EU30" s="331"/>
      <c r="EV30" s="331"/>
      <c r="EW30" s="331"/>
      <c r="EX30" s="331"/>
      <c r="EY30" s="331"/>
      <c r="EZ30" s="331"/>
      <c r="FA30" s="331"/>
      <c r="FB30" s="331"/>
      <c r="FC30" s="331"/>
      <c r="FD30" s="331"/>
      <c r="FE30" s="329">
        <v>0</v>
      </c>
      <c r="FF30" s="329">
        <v>0</v>
      </c>
      <c r="FG30" s="329">
        <v>0</v>
      </c>
      <c r="FH30" s="329">
        <v>0</v>
      </c>
      <c r="FI30" s="329">
        <v>0</v>
      </c>
      <c r="FJ30" s="329">
        <v>0</v>
      </c>
      <c r="FK30" s="329">
        <v>0</v>
      </c>
      <c r="FL30" s="329">
        <v>0</v>
      </c>
      <c r="FM30" s="329">
        <v>0</v>
      </c>
      <c r="FN30" s="329">
        <v>0</v>
      </c>
      <c r="FO30" s="329">
        <v>0</v>
      </c>
      <c r="FP30" s="329">
        <v>0</v>
      </c>
      <c r="FQ30" s="329">
        <v>0</v>
      </c>
      <c r="FR30" s="329">
        <v>0</v>
      </c>
      <c r="FS30" s="329">
        <v>0</v>
      </c>
      <c r="FT30" s="329">
        <v>0</v>
      </c>
      <c r="FU30" s="329">
        <v>0</v>
      </c>
      <c r="FV30" s="329">
        <v>0</v>
      </c>
      <c r="FW30" s="329">
        <v>0</v>
      </c>
      <c r="FX30" s="329">
        <v>0</v>
      </c>
      <c r="FY30" s="329">
        <v>0</v>
      </c>
      <c r="FZ30" s="329">
        <v>0</v>
      </c>
      <c r="GA30" s="329">
        <v>0</v>
      </c>
      <c r="GB30" s="329">
        <v>0</v>
      </c>
      <c r="GC30" s="330">
        <v>31698.86</v>
      </c>
      <c r="GD30" s="330">
        <v>31627.29</v>
      </c>
      <c r="GE30" s="330">
        <v>31636.77</v>
      </c>
      <c r="GF30" s="330">
        <v>32866.769999999997</v>
      </c>
      <c r="GG30" s="330">
        <v>33025.629999999997</v>
      </c>
      <c r="GH30" s="330">
        <v>30020.42</v>
      </c>
      <c r="GI30" s="330">
        <v>30079.81</v>
      </c>
      <c r="GJ30" s="330">
        <v>30151.93</v>
      </c>
      <c r="GK30" s="330">
        <v>29970.63</v>
      </c>
      <c r="GL30" s="330">
        <v>29919.95</v>
      </c>
      <c r="GM30" s="330">
        <v>29528.67</v>
      </c>
      <c r="GN30" s="330">
        <v>29392.99</v>
      </c>
      <c r="GO30" s="331"/>
      <c r="GP30" s="331"/>
      <c r="GQ30" s="331"/>
      <c r="GR30" s="331"/>
      <c r="GS30" s="331"/>
      <c r="GT30" s="331"/>
      <c r="GU30" s="331"/>
      <c r="GV30" s="331"/>
      <c r="GW30" s="331"/>
      <c r="GX30" s="331"/>
      <c r="GY30" s="331"/>
      <c r="GZ30" s="331"/>
      <c r="HA30" s="330">
        <v>804.17</v>
      </c>
      <c r="HB30" s="330">
        <v>608.33000000000004</v>
      </c>
      <c r="HC30" s="330">
        <v>897.19</v>
      </c>
      <c r="HD30" s="330">
        <v>697.68</v>
      </c>
      <c r="HE30" s="330">
        <v>842.11</v>
      </c>
      <c r="HF30" s="330">
        <v>1387.24</v>
      </c>
      <c r="HG30" s="330">
        <v>1607.74</v>
      </c>
      <c r="HH30" s="330">
        <v>1635.57</v>
      </c>
      <c r="HI30" s="330">
        <v>1564.92</v>
      </c>
      <c r="HJ30" s="330">
        <v>1156.03</v>
      </c>
      <c r="HK30" s="330">
        <v>1177.44</v>
      </c>
      <c r="HL30" s="330">
        <v>1335.86</v>
      </c>
      <c r="HM30" s="331"/>
      <c r="HN30" s="331"/>
      <c r="HO30" s="331"/>
      <c r="HP30" s="331"/>
      <c r="HQ30" s="331"/>
      <c r="HR30" s="331"/>
      <c r="HS30" s="331"/>
      <c r="HT30" s="331"/>
      <c r="HU30" s="331"/>
      <c r="HV30" s="331"/>
      <c r="HW30" s="331"/>
      <c r="HX30" s="331"/>
      <c r="HY30" s="329">
        <v>0</v>
      </c>
      <c r="HZ30" s="329">
        <v>0</v>
      </c>
      <c r="IA30" s="329">
        <v>0</v>
      </c>
      <c r="IB30" s="329">
        <v>0</v>
      </c>
      <c r="IC30" s="329">
        <v>0</v>
      </c>
      <c r="ID30" s="329">
        <v>0</v>
      </c>
      <c r="IE30" s="329">
        <v>0</v>
      </c>
      <c r="IF30" s="329">
        <v>0</v>
      </c>
      <c r="IG30" s="329">
        <v>0</v>
      </c>
      <c r="IH30" s="329">
        <v>0</v>
      </c>
      <c r="II30" s="329">
        <v>0</v>
      </c>
      <c r="IJ30" s="329">
        <v>0</v>
      </c>
      <c r="IK30" s="331"/>
      <c r="IL30" s="331"/>
      <c r="IM30" s="331"/>
      <c r="IN30" s="331"/>
      <c r="IO30" s="331"/>
      <c r="IP30" s="331"/>
      <c r="IQ30" s="331"/>
      <c r="IR30" s="331"/>
      <c r="IS30" s="331"/>
      <c r="IT30" s="331"/>
      <c r="IU30" s="331"/>
      <c r="IV30" s="331"/>
      <c r="IW30" s="331"/>
      <c r="IX30" s="331"/>
      <c r="IY30" s="331"/>
      <c r="IZ30" s="331"/>
      <c r="JA30" s="331"/>
      <c r="JB30" s="331"/>
      <c r="JC30" s="331"/>
      <c r="JD30" s="331"/>
      <c r="JE30" s="331"/>
      <c r="JF30" s="331"/>
      <c r="JG30" s="331"/>
      <c r="JH30" s="331"/>
      <c r="JI30" s="330">
        <v>569.66999999999996</v>
      </c>
      <c r="JJ30" s="331"/>
      <c r="JK30" s="331"/>
      <c r="JL30" s="331"/>
      <c r="JM30" s="331"/>
      <c r="JN30" s="331"/>
      <c r="JO30" s="331"/>
      <c r="JP30" s="331"/>
      <c r="JQ30" s="331"/>
      <c r="JR30" s="331"/>
      <c r="JS30" s="331"/>
      <c r="JT30" s="331"/>
      <c r="JU30" s="331"/>
      <c r="JV30" s="331"/>
      <c r="JW30" s="331"/>
      <c r="JX30" s="331"/>
      <c r="JY30" s="331"/>
      <c r="JZ30" s="331"/>
      <c r="KA30" s="331"/>
      <c r="KB30" s="331"/>
      <c r="KC30" s="331"/>
      <c r="KD30" s="331"/>
      <c r="KE30" s="331"/>
      <c r="KF30" s="331"/>
      <c r="KG30" s="331"/>
      <c r="KH30" s="331"/>
      <c r="KI30" s="331"/>
      <c r="KJ30" s="331"/>
      <c r="KK30" s="331"/>
      <c r="KL30" s="331"/>
      <c r="KM30" s="331"/>
      <c r="KN30" s="331"/>
      <c r="KO30" s="331"/>
      <c r="KP30" s="331"/>
      <c r="KQ30" s="331"/>
      <c r="KR30" s="331"/>
      <c r="KS30" s="331"/>
      <c r="KT30" s="331"/>
      <c r="KU30" s="331"/>
      <c r="KV30" s="331"/>
      <c r="KW30" s="331"/>
      <c r="KX30" s="331"/>
      <c r="KY30" s="331"/>
      <c r="KZ30" s="331"/>
      <c r="LA30" s="331"/>
      <c r="LB30" s="331"/>
      <c r="LC30" s="331"/>
      <c r="LD30" s="331"/>
      <c r="LE30" s="331"/>
      <c r="LF30" s="331"/>
      <c r="LG30" s="331"/>
      <c r="LH30" s="331"/>
      <c r="LI30" s="331"/>
      <c r="LJ30" s="331"/>
      <c r="LK30" s="331"/>
      <c r="LL30" s="331"/>
      <c r="LM30" s="331"/>
      <c r="LN30" s="331"/>
      <c r="LO30" s="331"/>
      <c r="LP30" s="331"/>
      <c r="LQ30" s="331"/>
      <c r="LR30" s="331"/>
      <c r="LS30" s="331"/>
      <c r="LT30" s="331"/>
      <c r="LU30" s="331"/>
      <c r="LV30" s="331"/>
      <c r="LW30" s="331"/>
      <c r="LX30" s="331"/>
      <c r="LY30" s="331"/>
      <c r="LZ30" s="331"/>
      <c r="MA30" s="331"/>
      <c r="MB30" s="331"/>
      <c r="MC30" s="331"/>
      <c r="MD30" s="331"/>
      <c r="ME30" s="331"/>
      <c r="MF30" s="331"/>
      <c r="MG30" s="331"/>
      <c r="MH30" s="331"/>
      <c r="MI30" s="331"/>
      <c r="MJ30" s="331"/>
      <c r="MK30" s="331"/>
      <c r="ML30" s="331"/>
      <c r="MM30" s="331"/>
      <c r="MN30" s="331"/>
      <c r="MO30" s="331"/>
      <c r="MP30" s="331"/>
      <c r="MQ30" s="331"/>
      <c r="MR30" s="331"/>
      <c r="MS30" s="331"/>
      <c r="MT30" s="331"/>
      <c r="MU30" s="331"/>
      <c r="MV30" s="331"/>
      <c r="MW30" s="331"/>
      <c r="MX30" s="331"/>
      <c r="MY30" s="331"/>
      <c r="MZ30" s="331"/>
      <c r="NA30" s="331"/>
      <c r="NB30" s="331"/>
      <c r="NC30" s="331"/>
      <c r="ND30" s="331"/>
      <c r="NE30" s="331"/>
      <c r="NF30" s="331"/>
      <c r="NG30" s="331"/>
      <c r="NH30" s="331"/>
      <c r="NI30" s="331"/>
      <c r="NJ30" s="331"/>
      <c r="NK30" s="331"/>
      <c r="NL30" s="331"/>
      <c r="NM30" s="331"/>
      <c r="NN30" s="331"/>
      <c r="NO30" s="331"/>
      <c r="NP30" s="331"/>
      <c r="NQ30" s="331"/>
      <c r="NR30" s="331"/>
      <c r="NS30" s="331"/>
      <c r="NT30" s="331"/>
      <c r="NU30" s="331"/>
      <c r="NV30" s="331"/>
      <c r="NW30" s="331"/>
      <c r="NX30" s="331"/>
      <c r="NY30" s="331"/>
      <c r="NZ30" s="331"/>
      <c r="OA30" s="331"/>
      <c r="OB30" s="331"/>
      <c r="OC30" s="331"/>
      <c r="OD30" s="331"/>
      <c r="OE30" s="331"/>
      <c r="OF30" s="331"/>
      <c r="OG30" s="331"/>
      <c r="OH30" s="331"/>
      <c r="OI30" s="331"/>
      <c r="OJ30" s="331"/>
      <c r="OK30" s="331"/>
      <c r="OL30" s="332">
        <f t="shared" si="0"/>
        <v>580816.97</v>
      </c>
    </row>
    <row r="31" spans="1:402" ht="13.5" thickBot="1">
      <c r="A31" s="320" t="s">
        <v>404</v>
      </c>
      <c r="B31" s="320" t="s">
        <v>405</v>
      </c>
      <c r="C31" s="320" t="s">
        <v>406</v>
      </c>
      <c r="D31" s="328" t="s">
        <v>435</v>
      </c>
      <c r="E31" s="329">
        <v>0</v>
      </c>
      <c r="F31" s="329">
        <v>0</v>
      </c>
      <c r="G31" s="329">
        <v>0</v>
      </c>
      <c r="H31" s="329">
        <v>0</v>
      </c>
      <c r="I31" s="329">
        <v>0</v>
      </c>
      <c r="J31" s="329">
        <v>0</v>
      </c>
      <c r="K31" s="329">
        <v>0</v>
      </c>
      <c r="L31" s="329">
        <v>0</v>
      </c>
      <c r="M31" s="329">
        <v>0</v>
      </c>
      <c r="N31" s="329">
        <v>0</v>
      </c>
      <c r="O31" s="329">
        <v>0</v>
      </c>
      <c r="P31" s="329">
        <v>0</v>
      </c>
      <c r="Q31" s="329">
        <v>0</v>
      </c>
      <c r="R31" s="329">
        <v>0</v>
      </c>
      <c r="S31" s="329">
        <v>0</v>
      </c>
      <c r="T31" s="329">
        <v>0</v>
      </c>
      <c r="U31" s="329">
        <v>0</v>
      </c>
      <c r="V31" s="329">
        <v>0</v>
      </c>
      <c r="W31" s="329">
        <v>0</v>
      </c>
      <c r="X31" s="329">
        <v>0</v>
      </c>
      <c r="Y31" s="329">
        <v>0</v>
      </c>
      <c r="Z31" s="329">
        <v>0</v>
      </c>
      <c r="AA31" s="329">
        <v>0</v>
      </c>
      <c r="AB31" s="329">
        <v>0</v>
      </c>
      <c r="AC31" s="329">
        <v>0</v>
      </c>
      <c r="AD31" s="329">
        <v>0</v>
      </c>
      <c r="AE31" s="329">
        <v>0</v>
      </c>
      <c r="AF31" s="329">
        <v>0</v>
      </c>
      <c r="AG31" s="329">
        <v>0</v>
      </c>
      <c r="AH31" s="329">
        <v>0</v>
      </c>
      <c r="AI31" s="329">
        <v>0</v>
      </c>
      <c r="AJ31" s="329">
        <v>0</v>
      </c>
      <c r="AK31" s="329">
        <v>0</v>
      </c>
      <c r="AL31" s="329">
        <v>0</v>
      </c>
      <c r="AM31" s="329">
        <v>0</v>
      </c>
      <c r="AN31" s="329">
        <v>0</v>
      </c>
      <c r="AO31" s="330">
        <v>1779.22</v>
      </c>
      <c r="AP31" s="330">
        <v>1773.31</v>
      </c>
      <c r="AQ31" s="330">
        <v>1789.18</v>
      </c>
      <c r="AR31" s="330">
        <v>1811.28</v>
      </c>
      <c r="AS31" s="330">
        <v>1717.61</v>
      </c>
      <c r="AT31" s="330">
        <v>1609.93</v>
      </c>
      <c r="AU31" s="330">
        <v>1657.86</v>
      </c>
      <c r="AV31" s="330">
        <v>1661.9</v>
      </c>
      <c r="AW31" s="330">
        <v>1709.51</v>
      </c>
      <c r="AX31" s="330">
        <v>1751.53</v>
      </c>
      <c r="AY31" s="330">
        <v>1639.81</v>
      </c>
      <c r="AZ31" s="330">
        <v>1763.35</v>
      </c>
      <c r="BA31" s="329">
        <v>0</v>
      </c>
      <c r="BB31" s="329">
        <v>0</v>
      </c>
      <c r="BC31" s="329">
        <v>0</v>
      </c>
      <c r="BD31" s="329">
        <v>0</v>
      </c>
      <c r="BE31" s="329">
        <v>0</v>
      </c>
      <c r="BF31" s="329">
        <v>0</v>
      </c>
      <c r="BG31" s="329">
        <v>0</v>
      </c>
      <c r="BH31" s="329">
        <v>0</v>
      </c>
      <c r="BI31" s="329">
        <v>0</v>
      </c>
      <c r="BJ31" s="329">
        <v>0</v>
      </c>
      <c r="BK31" s="329">
        <v>0</v>
      </c>
      <c r="BL31" s="329">
        <v>0</v>
      </c>
      <c r="BM31" s="331"/>
      <c r="BN31" s="331"/>
      <c r="BO31" s="331"/>
      <c r="BP31" s="331"/>
      <c r="BQ31" s="331"/>
      <c r="BR31" s="331"/>
      <c r="BS31" s="331"/>
      <c r="BT31" s="331"/>
      <c r="BU31" s="331"/>
      <c r="BV31" s="331"/>
      <c r="BW31" s="331"/>
      <c r="BX31" s="331"/>
      <c r="BY31" s="329">
        <v>0</v>
      </c>
      <c r="BZ31" s="329">
        <v>0</v>
      </c>
      <c r="CA31" s="329">
        <v>0</v>
      </c>
      <c r="CB31" s="329">
        <v>0</v>
      </c>
      <c r="CC31" s="329">
        <v>0</v>
      </c>
      <c r="CD31" s="329">
        <v>0</v>
      </c>
      <c r="CE31" s="329">
        <v>0</v>
      </c>
      <c r="CF31" s="329">
        <v>0</v>
      </c>
      <c r="CG31" s="329">
        <v>0</v>
      </c>
      <c r="CH31" s="329">
        <v>0</v>
      </c>
      <c r="CI31" s="329">
        <v>0</v>
      </c>
      <c r="CJ31" s="329">
        <v>0</v>
      </c>
      <c r="CK31" s="329">
        <v>0</v>
      </c>
      <c r="CL31" s="329">
        <v>0</v>
      </c>
      <c r="CM31" s="329">
        <v>0</v>
      </c>
      <c r="CN31" s="329">
        <v>0</v>
      </c>
      <c r="CO31" s="329">
        <v>0</v>
      </c>
      <c r="CP31" s="329">
        <v>0</v>
      </c>
      <c r="CQ31" s="329">
        <v>0</v>
      </c>
      <c r="CR31" s="329">
        <v>0</v>
      </c>
      <c r="CS31" s="329">
        <v>0</v>
      </c>
      <c r="CT31" s="329">
        <v>0</v>
      </c>
      <c r="CU31" s="329">
        <v>0</v>
      </c>
      <c r="CV31" s="329">
        <v>0</v>
      </c>
      <c r="CW31" s="329">
        <v>0</v>
      </c>
      <c r="CX31" s="329">
        <v>0</v>
      </c>
      <c r="CY31" s="329">
        <v>0</v>
      </c>
      <c r="CZ31" s="329">
        <v>0</v>
      </c>
      <c r="DA31" s="329">
        <v>0</v>
      </c>
      <c r="DB31" s="329">
        <v>0</v>
      </c>
      <c r="DC31" s="329">
        <v>0</v>
      </c>
      <c r="DD31" s="329">
        <v>0</v>
      </c>
      <c r="DE31" s="329">
        <v>0</v>
      </c>
      <c r="DF31" s="329">
        <v>0</v>
      </c>
      <c r="DG31" s="329">
        <v>0</v>
      </c>
      <c r="DH31" s="329">
        <v>0</v>
      </c>
      <c r="DI31" s="331"/>
      <c r="DJ31" s="331"/>
      <c r="DK31" s="331"/>
      <c r="DL31" s="331"/>
      <c r="DM31" s="331"/>
      <c r="DN31" s="331"/>
      <c r="DO31" s="331"/>
      <c r="DP31" s="331"/>
      <c r="DQ31" s="331"/>
      <c r="DR31" s="331"/>
      <c r="DS31" s="331"/>
      <c r="DT31" s="331"/>
      <c r="DU31" s="330">
        <v>23.04</v>
      </c>
      <c r="DV31" s="330">
        <v>22.95</v>
      </c>
      <c r="DW31" s="330">
        <v>23.18</v>
      </c>
      <c r="DX31" s="330">
        <v>23.49</v>
      </c>
      <c r="DY31" s="330">
        <v>22.17</v>
      </c>
      <c r="DZ31" s="330">
        <v>20.67</v>
      </c>
      <c r="EA31" s="330">
        <v>21.34</v>
      </c>
      <c r="EB31" s="330">
        <v>21.39</v>
      </c>
      <c r="EC31" s="330">
        <v>22.06</v>
      </c>
      <c r="ED31" s="330">
        <v>22.65</v>
      </c>
      <c r="EE31" s="330">
        <v>21.08</v>
      </c>
      <c r="EF31" s="330">
        <v>22.82</v>
      </c>
      <c r="EG31" s="329">
        <v>0</v>
      </c>
      <c r="EH31" s="329">
        <v>0</v>
      </c>
      <c r="EI31" s="329">
        <v>0</v>
      </c>
      <c r="EJ31" s="329">
        <v>0</v>
      </c>
      <c r="EK31" s="329">
        <v>0</v>
      </c>
      <c r="EL31" s="329">
        <v>0</v>
      </c>
      <c r="EM31" s="329">
        <v>0</v>
      </c>
      <c r="EN31" s="329">
        <v>0</v>
      </c>
      <c r="EO31" s="329">
        <v>0</v>
      </c>
      <c r="EP31" s="329">
        <v>0</v>
      </c>
      <c r="EQ31" s="329">
        <v>0</v>
      </c>
      <c r="ER31" s="329">
        <v>0</v>
      </c>
      <c r="ES31" s="331"/>
      <c r="ET31" s="331"/>
      <c r="EU31" s="331"/>
      <c r="EV31" s="331"/>
      <c r="EW31" s="331"/>
      <c r="EX31" s="331"/>
      <c r="EY31" s="331"/>
      <c r="EZ31" s="331"/>
      <c r="FA31" s="331"/>
      <c r="FB31" s="331"/>
      <c r="FC31" s="331"/>
      <c r="FD31" s="331"/>
      <c r="FE31" s="329">
        <v>0</v>
      </c>
      <c r="FF31" s="329">
        <v>0</v>
      </c>
      <c r="FG31" s="329">
        <v>0</v>
      </c>
      <c r="FH31" s="329">
        <v>0</v>
      </c>
      <c r="FI31" s="329">
        <v>0</v>
      </c>
      <c r="FJ31" s="329">
        <v>0</v>
      </c>
      <c r="FK31" s="329">
        <v>0</v>
      </c>
      <c r="FL31" s="329">
        <v>0</v>
      </c>
      <c r="FM31" s="329">
        <v>0</v>
      </c>
      <c r="FN31" s="329">
        <v>0</v>
      </c>
      <c r="FO31" s="329">
        <v>0</v>
      </c>
      <c r="FP31" s="329">
        <v>0</v>
      </c>
      <c r="FQ31" s="329">
        <v>0</v>
      </c>
      <c r="FR31" s="329">
        <v>0</v>
      </c>
      <c r="FS31" s="329">
        <v>0</v>
      </c>
      <c r="FT31" s="329">
        <v>0</v>
      </c>
      <c r="FU31" s="329">
        <v>0</v>
      </c>
      <c r="FV31" s="329">
        <v>0</v>
      </c>
      <c r="FW31" s="329">
        <v>0</v>
      </c>
      <c r="FX31" s="329">
        <v>0</v>
      </c>
      <c r="FY31" s="329">
        <v>0</v>
      </c>
      <c r="FZ31" s="329">
        <v>0</v>
      </c>
      <c r="GA31" s="329">
        <v>0</v>
      </c>
      <c r="GB31" s="329">
        <v>0</v>
      </c>
      <c r="GC31" s="330">
        <v>1111.8900000000001</v>
      </c>
      <c r="GD31" s="330">
        <v>1110.8399999999999</v>
      </c>
      <c r="GE31" s="330">
        <v>1113.6500000000001</v>
      </c>
      <c r="GF31" s="330">
        <v>1126.3499999999999</v>
      </c>
      <c r="GG31" s="330">
        <v>1109.75</v>
      </c>
      <c r="GH31" s="330">
        <v>1005.28</v>
      </c>
      <c r="GI31" s="330">
        <v>1013.77</v>
      </c>
      <c r="GJ31" s="330">
        <v>1014.49</v>
      </c>
      <c r="GK31" s="330">
        <v>1022.93</v>
      </c>
      <c r="GL31" s="330">
        <v>1030.3699999999999</v>
      </c>
      <c r="GM31" s="330">
        <v>1010.58</v>
      </c>
      <c r="GN31" s="330">
        <v>1108.8</v>
      </c>
      <c r="GO31" s="331"/>
      <c r="GP31" s="331"/>
      <c r="GQ31" s="331"/>
      <c r="GR31" s="331"/>
      <c r="GS31" s="331"/>
      <c r="GT31" s="331"/>
      <c r="GU31" s="331"/>
      <c r="GV31" s="331"/>
      <c r="GW31" s="331"/>
      <c r="GX31" s="331"/>
      <c r="GY31" s="331"/>
      <c r="GZ31" s="331"/>
      <c r="HA31" s="330">
        <v>33.659999999999997</v>
      </c>
      <c r="HB31" s="330">
        <v>40.6</v>
      </c>
      <c r="HC31" s="330">
        <v>13.46</v>
      </c>
      <c r="HD31" s="329">
        <v>0</v>
      </c>
      <c r="HE31" s="329">
        <v>0</v>
      </c>
      <c r="HF31" s="329">
        <v>0</v>
      </c>
      <c r="HG31" s="329">
        <v>0</v>
      </c>
      <c r="HH31" s="329">
        <v>0</v>
      </c>
      <c r="HI31" s="329">
        <v>0</v>
      </c>
      <c r="HJ31" s="329">
        <v>0</v>
      </c>
      <c r="HK31" s="329">
        <v>0</v>
      </c>
      <c r="HL31" s="329">
        <v>0</v>
      </c>
      <c r="HM31" s="331"/>
      <c r="HN31" s="331"/>
      <c r="HO31" s="331"/>
      <c r="HP31" s="331"/>
      <c r="HQ31" s="331"/>
      <c r="HR31" s="331"/>
      <c r="HS31" s="331"/>
      <c r="HT31" s="331"/>
      <c r="HU31" s="331"/>
      <c r="HV31" s="331"/>
      <c r="HW31" s="331"/>
      <c r="HX31" s="331"/>
      <c r="HY31" s="329">
        <v>0</v>
      </c>
      <c r="HZ31" s="329">
        <v>0</v>
      </c>
      <c r="IA31" s="329">
        <v>0</v>
      </c>
      <c r="IB31" s="329">
        <v>0</v>
      </c>
      <c r="IC31" s="329">
        <v>0</v>
      </c>
      <c r="ID31" s="329">
        <v>0</v>
      </c>
      <c r="IE31" s="329">
        <v>0</v>
      </c>
      <c r="IF31" s="329">
        <v>0</v>
      </c>
      <c r="IG31" s="329">
        <v>0</v>
      </c>
      <c r="IH31" s="329">
        <v>0</v>
      </c>
      <c r="II31" s="329">
        <v>0</v>
      </c>
      <c r="IJ31" s="329">
        <v>0</v>
      </c>
      <c r="IK31" s="331"/>
      <c r="IL31" s="331"/>
      <c r="IM31" s="331"/>
      <c r="IN31" s="331"/>
      <c r="IO31" s="331"/>
      <c r="IP31" s="331"/>
      <c r="IQ31" s="331"/>
      <c r="IR31" s="331"/>
      <c r="IS31" s="331"/>
      <c r="IT31" s="331"/>
      <c r="IU31" s="331"/>
      <c r="IV31" s="331"/>
      <c r="IW31" s="331"/>
      <c r="IX31" s="331"/>
      <c r="IY31" s="331"/>
      <c r="IZ31" s="331"/>
      <c r="JA31" s="331"/>
      <c r="JB31" s="331"/>
      <c r="JC31" s="331"/>
      <c r="JD31" s="331"/>
      <c r="JE31" s="331"/>
      <c r="JF31" s="331"/>
      <c r="JG31" s="331"/>
      <c r="JH31" s="331"/>
      <c r="JI31" s="330">
        <v>62.24</v>
      </c>
      <c r="JJ31" s="331"/>
      <c r="JK31" s="331"/>
      <c r="JL31" s="331"/>
      <c r="JM31" s="331"/>
      <c r="JN31" s="331"/>
      <c r="JO31" s="331"/>
      <c r="JP31" s="331"/>
      <c r="JQ31" s="331"/>
      <c r="JR31" s="331"/>
      <c r="JS31" s="331"/>
      <c r="JT31" s="331"/>
      <c r="JU31" s="331"/>
      <c r="JV31" s="331"/>
      <c r="JW31" s="331"/>
      <c r="JX31" s="331"/>
      <c r="JY31" s="331"/>
      <c r="JZ31" s="331"/>
      <c r="KA31" s="331"/>
      <c r="KB31" s="331"/>
      <c r="KC31" s="331"/>
      <c r="KD31" s="331"/>
      <c r="KE31" s="331"/>
      <c r="KF31" s="331"/>
      <c r="KG31" s="331"/>
      <c r="KH31" s="331"/>
      <c r="KI31" s="331"/>
      <c r="KJ31" s="331"/>
      <c r="KK31" s="331"/>
      <c r="KL31" s="331"/>
      <c r="KM31" s="331"/>
      <c r="KN31" s="331"/>
      <c r="KO31" s="331"/>
      <c r="KP31" s="331"/>
      <c r="KQ31" s="331"/>
      <c r="KR31" s="331"/>
      <c r="KS31" s="331"/>
      <c r="KT31" s="331"/>
      <c r="KU31" s="331"/>
      <c r="KV31" s="331"/>
      <c r="KW31" s="331"/>
      <c r="KX31" s="331"/>
      <c r="KY31" s="331"/>
      <c r="KZ31" s="331"/>
      <c r="LA31" s="331"/>
      <c r="LB31" s="331"/>
      <c r="LC31" s="331"/>
      <c r="LD31" s="331"/>
      <c r="LE31" s="331"/>
      <c r="LF31" s="331"/>
      <c r="LG31" s="331"/>
      <c r="LH31" s="331"/>
      <c r="LI31" s="331"/>
      <c r="LJ31" s="331"/>
      <c r="LK31" s="331"/>
      <c r="LL31" s="331"/>
      <c r="LM31" s="331"/>
      <c r="LN31" s="331"/>
      <c r="LO31" s="331"/>
      <c r="LP31" s="331"/>
      <c r="LQ31" s="331"/>
      <c r="LR31" s="331"/>
      <c r="LS31" s="331"/>
      <c r="LT31" s="331"/>
      <c r="LU31" s="331"/>
      <c r="LV31" s="331"/>
      <c r="LW31" s="331"/>
      <c r="LX31" s="331"/>
      <c r="LY31" s="331"/>
      <c r="LZ31" s="331"/>
      <c r="MA31" s="331"/>
      <c r="MB31" s="331"/>
      <c r="MC31" s="331"/>
      <c r="MD31" s="331"/>
      <c r="ME31" s="331"/>
      <c r="MF31" s="331"/>
      <c r="MG31" s="331"/>
      <c r="MH31" s="331"/>
      <c r="MI31" s="331"/>
      <c r="MJ31" s="331"/>
      <c r="MK31" s="331"/>
      <c r="ML31" s="331"/>
      <c r="MM31" s="331"/>
      <c r="MN31" s="331"/>
      <c r="MO31" s="331"/>
      <c r="MP31" s="331"/>
      <c r="MQ31" s="331"/>
      <c r="MR31" s="331"/>
      <c r="MS31" s="331"/>
      <c r="MT31" s="331"/>
      <c r="MU31" s="331"/>
      <c r="MV31" s="331"/>
      <c r="MW31" s="331"/>
      <c r="MX31" s="331"/>
      <c r="MY31" s="331"/>
      <c r="MZ31" s="331"/>
      <c r="NA31" s="331"/>
      <c r="NB31" s="331"/>
      <c r="NC31" s="331"/>
      <c r="ND31" s="331"/>
      <c r="NE31" s="331"/>
      <c r="NF31" s="331"/>
      <c r="NG31" s="331"/>
      <c r="NH31" s="331"/>
      <c r="NI31" s="331"/>
      <c r="NJ31" s="331"/>
      <c r="NK31" s="331"/>
      <c r="NL31" s="331"/>
      <c r="NM31" s="331"/>
      <c r="NN31" s="331"/>
      <c r="NO31" s="331"/>
      <c r="NP31" s="331"/>
      <c r="NQ31" s="331"/>
      <c r="NR31" s="331"/>
      <c r="NS31" s="331"/>
      <c r="NT31" s="331"/>
      <c r="NU31" s="331"/>
      <c r="NV31" s="331"/>
      <c r="NW31" s="331"/>
      <c r="NX31" s="331"/>
      <c r="NY31" s="331"/>
      <c r="NZ31" s="331"/>
      <c r="OA31" s="331"/>
      <c r="OB31" s="331"/>
      <c r="OC31" s="331"/>
      <c r="OD31" s="331"/>
      <c r="OE31" s="331"/>
      <c r="OF31" s="331"/>
      <c r="OG31" s="331"/>
      <c r="OH31" s="331"/>
      <c r="OI31" s="331"/>
      <c r="OJ31" s="331"/>
      <c r="OK31" s="331"/>
      <c r="OL31" s="332">
        <f t="shared" si="0"/>
        <v>33859.990000000005</v>
      </c>
    </row>
    <row r="32" spans="1:402" ht="13.5" thickBot="1">
      <c r="A32" s="320" t="s">
        <v>404</v>
      </c>
      <c r="B32" s="320" t="s">
        <v>405</v>
      </c>
      <c r="C32" s="320" t="s">
        <v>406</v>
      </c>
      <c r="D32" s="328" t="s">
        <v>436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Z32" s="329">
        <v>0</v>
      </c>
      <c r="AA32" s="329">
        <v>0</v>
      </c>
      <c r="AB32" s="329">
        <v>0</v>
      </c>
      <c r="AC32" s="329">
        <v>0</v>
      </c>
      <c r="AD32" s="329">
        <v>0</v>
      </c>
      <c r="AE32" s="329">
        <v>0</v>
      </c>
      <c r="AF32" s="329">
        <v>0</v>
      </c>
      <c r="AG32" s="329">
        <v>0</v>
      </c>
      <c r="AH32" s="329">
        <v>0</v>
      </c>
      <c r="AI32" s="329">
        <v>0</v>
      </c>
      <c r="AJ32" s="329">
        <v>0</v>
      </c>
      <c r="AK32" s="329">
        <v>0</v>
      </c>
      <c r="AL32" s="329">
        <v>0</v>
      </c>
      <c r="AM32" s="329">
        <v>0</v>
      </c>
      <c r="AN32" s="329">
        <v>0</v>
      </c>
      <c r="AO32" s="330">
        <v>783.38</v>
      </c>
      <c r="AP32" s="330">
        <v>795.52</v>
      </c>
      <c r="AQ32" s="330">
        <v>807.35</v>
      </c>
      <c r="AR32" s="330">
        <v>799.57</v>
      </c>
      <c r="AS32" s="330">
        <v>803.3</v>
      </c>
      <c r="AT32" s="330">
        <v>795.52</v>
      </c>
      <c r="AU32" s="330">
        <v>791.47</v>
      </c>
      <c r="AV32" s="330">
        <v>787.43</v>
      </c>
      <c r="AW32" s="330">
        <v>775.6</v>
      </c>
      <c r="AX32" s="330">
        <v>763.47</v>
      </c>
      <c r="AY32" s="330">
        <v>767.51</v>
      </c>
      <c r="AZ32" s="330">
        <v>771.56</v>
      </c>
      <c r="BA32" s="329">
        <v>0</v>
      </c>
      <c r="BB32" s="329">
        <v>0</v>
      </c>
      <c r="BC32" s="329">
        <v>0</v>
      </c>
      <c r="BD32" s="329">
        <v>0</v>
      </c>
      <c r="BE32" s="329">
        <v>0</v>
      </c>
      <c r="BF32" s="329">
        <v>0</v>
      </c>
      <c r="BG32" s="329">
        <v>0</v>
      </c>
      <c r="BH32" s="329">
        <v>0</v>
      </c>
      <c r="BI32" s="329">
        <v>0</v>
      </c>
      <c r="BJ32" s="329">
        <v>0</v>
      </c>
      <c r="BK32" s="329">
        <v>0</v>
      </c>
      <c r="BL32" s="329">
        <v>0</v>
      </c>
      <c r="BM32" s="331"/>
      <c r="BN32" s="331"/>
      <c r="BO32" s="331"/>
      <c r="BP32" s="331"/>
      <c r="BQ32" s="331"/>
      <c r="BR32" s="331"/>
      <c r="BS32" s="331"/>
      <c r="BT32" s="331"/>
      <c r="BU32" s="331"/>
      <c r="BV32" s="331"/>
      <c r="BW32" s="331"/>
      <c r="BX32" s="331"/>
      <c r="BY32" s="329">
        <v>0</v>
      </c>
      <c r="BZ32" s="329">
        <v>0</v>
      </c>
      <c r="CA32" s="329">
        <v>0</v>
      </c>
      <c r="CB32" s="329">
        <v>0</v>
      </c>
      <c r="CC32" s="329">
        <v>0</v>
      </c>
      <c r="CD32" s="329">
        <v>0</v>
      </c>
      <c r="CE32" s="329">
        <v>0</v>
      </c>
      <c r="CF32" s="329">
        <v>0</v>
      </c>
      <c r="CG32" s="329">
        <v>0</v>
      </c>
      <c r="CH32" s="329">
        <v>0</v>
      </c>
      <c r="CI32" s="329">
        <v>0</v>
      </c>
      <c r="CJ32" s="329">
        <v>0</v>
      </c>
      <c r="CK32" s="329">
        <v>0</v>
      </c>
      <c r="CL32" s="329">
        <v>0</v>
      </c>
      <c r="CM32" s="329">
        <v>0</v>
      </c>
      <c r="CN32" s="329">
        <v>0</v>
      </c>
      <c r="CO32" s="329">
        <v>0</v>
      </c>
      <c r="CP32" s="329">
        <v>0</v>
      </c>
      <c r="CQ32" s="329">
        <v>0</v>
      </c>
      <c r="CR32" s="329">
        <v>0</v>
      </c>
      <c r="CS32" s="329">
        <v>0</v>
      </c>
      <c r="CT32" s="329">
        <v>0</v>
      </c>
      <c r="CU32" s="329">
        <v>0</v>
      </c>
      <c r="CV32" s="329">
        <v>0</v>
      </c>
      <c r="CW32" s="329">
        <v>0</v>
      </c>
      <c r="CX32" s="329">
        <v>0</v>
      </c>
      <c r="CY32" s="329">
        <v>0</v>
      </c>
      <c r="CZ32" s="329">
        <v>0</v>
      </c>
      <c r="DA32" s="329">
        <v>0</v>
      </c>
      <c r="DB32" s="329">
        <v>0</v>
      </c>
      <c r="DC32" s="329">
        <v>0</v>
      </c>
      <c r="DD32" s="329">
        <v>0</v>
      </c>
      <c r="DE32" s="329">
        <v>0</v>
      </c>
      <c r="DF32" s="329">
        <v>0</v>
      </c>
      <c r="DG32" s="329">
        <v>0</v>
      </c>
      <c r="DH32" s="329">
        <v>0</v>
      </c>
      <c r="DI32" s="331"/>
      <c r="DJ32" s="331"/>
      <c r="DK32" s="331"/>
      <c r="DL32" s="331"/>
      <c r="DM32" s="331"/>
      <c r="DN32" s="331"/>
      <c r="DO32" s="331"/>
      <c r="DP32" s="331"/>
      <c r="DQ32" s="331"/>
      <c r="DR32" s="331"/>
      <c r="DS32" s="331"/>
      <c r="DT32" s="331"/>
      <c r="DU32" s="330">
        <v>9.09</v>
      </c>
      <c r="DV32" s="330">
        <v>9.26</v>
      </c>
      <c r="DW32" s="330">
        <v>9.43</v>
      </c>
      <c r="DX32" s="330">
        <v>9.32</v>
      </c>
      <c r="DY32" s="330">
        <v>9.3699999999999992</v>
      </c>
      <c r="DZ32" s="330">
        <v>9.26</v>
      </c>
      <c r="EA32" s="330">
        <v>9.1999999999999993</v>
      </c>
      <c r="EB32" s="330">
        <v>9.15</v>
      </c>
      <c r="EC32" s="330">
        <v>8.98</v>
      </c>
      <c r="ED32" s="330">
        <v>8.81</v>
      </c>
      <c r="EE32" s="330">
        <v>8.8699999999999992</v>
      </c>
      <c r="EF32" s="330">
        <v>8.93</v>
      </c>
      <c r="EG32" s="329">
        <v>0</v>
      </c>
      <c r="EH32" s="329">
        <v>0</v>
      </c>
      <c r="EI32" s="329">
        <v>0</v>
      </c>
      <c r="EJ32" s="329">
        <v>0</v>
      </c>
      <c r="EK32" s="329">
        <v>0</v>
      </c>
      <c r="EL32" s="329">
        <v>0</v>
      </c>
      <c r="EM32" s="329">
        <v>0</v>
      </c>
      <c r="EN32" s="329">
        <v>0</v>
      </c>
      <c r="EO32" s="329">
        <v>0</v>
      </c>
      <c r="EP32" s="329">
        <v>0</v>
      </c>
      <c r="EQ32" s="329">
        <v>0</v>
      </c>
      <c r="ER32" s="329">
        <v>0</v>
      </c>
      <c r="ES32" s="331"/>
      <c r="ET32" s="331"/>
      <c r="EU32" s="331"/>
      <c r="EV32" s="331"/>
      <c r="EW32" s="331"/>
      <c r="EX32" s="331"/>
      <c r="EY32" s="331"/>
      <c r="EZ32" s="331"/>
      <c r="FA32" s="331"/>
      <c r="FB32" s="331"/>
      <c r="FC32" s="331"/>
      <c r="FD32" s="331"/>
      <c r="FE32" s="329">
        <v>0</v>
      </c>
      <c r="FF32" s="329">
        <v>0</v>
      </c>
      <c r="FG32" s="329">
        <v>0</v>
      </c>
      <c r="FH32" s="329">
        <v>0</v>
      </c>
      <c r="FI32" s="329">
        <v>0</v>
      </c>
      <c r="FJ32" s="329">
        <v>0</v>
      </c>
      <c r="FK32" s="329">
        <v>0</v>
      </c>
      <c r="FL32" s="329">
        <v>0</v>
      </c>
      <c r="FM32" s="329">
        <v>0</v>
      </c>
      <c r="FN32" s="329">
        <v>0</v>
      </c>
      <c r="FO32" s="329">
        <v>0</v>
      </c>
      <c r="FP32" s="329">
        <v>0</v>
      </c>
      <c r="FQ32" s="329">
        <v>0</v>
      </c>
      <c r="FR32" s="329">
        <v>0</v>
      </c>
      <c r="FS32" s="329">
        <v>0</v>
      </c>
      <c r="FT32" s="329">
        <v>0</v>
      </c>
      <c r="FU32" s="329">
        <v>0</v>
      </c>
      <c r="FV32" s="329">
        <v>0</v>
      </c>
      <c r="FW32" s="329">
        <v>0</v>
      </c>
      <c r="FX32" s="329">
        <v>0</v>
      </c>
      <c r="FY32" s="329">
        <v>0</v>
      </c>
      <c r="FZ32" s="329">
        <v>0</v>
      </c>
      <c r="GA32" s="329">
        <v>0</v>
      </c>
      <c r="GB32" s="329">
        <v>0</v>
      </c>
      <c r="GC32" s="330">
        <v>1161.83</v>
      </c>
      <c r="GD32" s="330">
        <v>1163.98</v>
      </c>
      <c r="GE32" s="330">
        <v>1166.07</v>
      </c>
      <c r="GF32" s="330">
        <v>1491.1</v>
      </c>
      <c r="GG32" s="330">
        <v>1491.77</v>
      </c>
      <c r="GH32" s="330">
        <v>1348.96</v>
      </c>
      <c r="GI32" s="330">
        <v>1348.24</v>
      </c>
      <c r="GJ32" s="330">
        <v>1347.52</v>
      </c>
      <c r="GK32" s="330">
        <v>1345.43</v>
      </c>
      <c r="GL32" s="330">
        <v>1343.28</v>
      </c>
      <c r="GM32" s="330">
        <v>1343.99</v>
      </c>
      <c r="GN32" s="330">
        <v>1328.85</v>
      </c>
      <c r="GO32" s="331"/>
      <c r="GP32" s="331"/>
      <c r="GQ32" s="331"/>
      <c r="GR32" s="331"/>
      <c r="GS32" s="331"/>
      <c r="GT32" s="331"/>
      <c r="GU32" s="331"/>
      <c r="GV32" s="331"/>
      <c r="GW32" s="331"/>
      <c r="GX32" s="331"/>
      <c r="GY32" s="331"/>
      <c r="GZ32" s="331"/>
      <c r="HA32" s="330">
        <v>21.22</v>
      </c>
      <c r="HB32" s="330">
        <v>21.22</v>
      </c>
      <c r="HC32" s="330">
        <v>30.19</v>
      </c>
      <c r="HD32" s="330">
        <v>24.48</v>
      </c>
      <c r="HE32" s="330">
        <v>26.11</v>
      </c>
      <c r="HF32" s="330">
        <v>34.97</v>
      </c>
      <c r="HG32" s="330">
        <v>27.12</v>
      </c>
      <c r="HH32" s="330">
        <v>50.67</v>
      </c>
      <c r="HI32" s="330">
        <v>40.68</v>
      </c>
      <c r="HJ32" s="330">
        <v>53.52</v>
      </c>
      <c r="HK32" s="330">
        <v>46.38</v>
      </c>
      <c r="HL32" s="330">
        <v>49.24</v>
      </c>
      <c r="HM32" s="331"/>
      <c r="HN32" s="331"/>
      <c r="HO32" s="331"/>
      <c r="HP32" s="331"/>
      <c r="HQ32" s="331"/>
      <c r="HR32" s="331"/>
      <c r="HS32" s="331"/>
      <c r="HT32" s="331"/>
      <c r="HU32" s="331"/>
      <c r="HV32" s="331"/>
      <c r="HW32" s="331"/>
      <c r="HX32" s="331"/>
      <c r="HY32" s="329">
        <v>0</v>
      </c>
      <c r="HZ32" s="329">
        <v>0</v>
      </c>
      <c r="IA32" s="329">
        <v>0</v>
      </c>
      <c r="IB32" s="329">
        <v>0</v>
      </c>
      <c r="IC32" s="329">
        <v>0</v>
      </c>
      <c r="ID32" s="329">
        <v>0</v>
      </c>
      <c r="IE32" s="329">
        <v>0</v>
      </c>
      <c r="IF32" s="329">
        <v>0</v>
      </c>
      <c r="IG32" s="329">
        <v>0</v>
      </c>
      <c r="IH32" s="329">
        <v>0</v>
      </c>
      <c r="II32" s="329">
        <v>0</v>
      </c>
      <c r="IJ32" s="329">
        <v>0</v>
      </c>
      <c r="IK32" s="331"/>
      <c r="IL32" s="331"/>
      <c r="IM32" s="331"/>
      <c r="IN32" s="331"/>
      <c r="IO32" s="331"/>
      <c r="IP32" s="331"/>
      <c r="IQ32" s="331"/>
      <c r="IR32" s="331"/>
      <c r="IS32" s="331"/>
      <c r="IT32" s="331"/>
      <c r="IU32" s="331"/>
      <c r="IV32" s="331"/>
      <c r="IW32" s="331"/>
      <c r="IX32" s="331"/>
      <c r="IY32" s="331"/>
      <c r="IZ32" s="331"/>
      <c r="JA32" s="331"/>
      <c r="JB32" s="331"/>
      <c r="JC32" s="331"/>
      <c r="JD32" s="331"/>
      <c r="JE32" s="331"/>
      <c r="JF32" s="331"/>
      <c r="JG32" s="331"/>
      <c r="JH32" s="331"/>
      <c r="JI32" s="330">
        <v>24.35</v>
      </c>
      <c r="JJ32" s="331"/>
      <c r="JK32" s="331"/>
      <c r="JL32" s="331"/>
      <c r="JM32" s="331"/>
      <c r="JN32" s="331"/>
      <c r="JO32" s="331"/>
      <c r="JP32" s="331"/>
      <c r="JQ32" s="331"/>
      <c r="JR32" s="331"/>
      <c r="JS32" s="331"/>
      <c r="JT32" s="331"/>
      <c r="JU32" s="331"/>
      <c r="JV32" s="331"/>
      <c r="JW32" s="331"/>
      <c r="JX32" s="331"/>
      <c r="JY32" s="331"/>
      <c r="JZ32" s="331"/>
      <c r="KA32" s="331"/>
      <c r="KB32" s="331"/>
      <c r="KC32" s="331"/>
      <c r="KD32" s="331"/>
      <c r="KE32" s="331"/>
      <c r="KF32" s="331"/>
      <c r="KG32" s="331"/>
      <c r="KH32" s="331"/>
      <c r="KI32" s="331"/>
      <c r="KJ32" s="331"/>
      <c r="KK32" s="331"/>
      <c r="KL32" s="331"/>
      <c r="KM32" s="331"/>
      <c r="KN32" s="331"/>
      <c r="KO32" s="331"/>
      <c r="KP32" s="331"/>
      <c r="KQ32" s="331"/>
      <c r="KR32" s="331"/>
      <c r="KS32" s="331"/>
      <c r="KT32" s="331"/>
      <c r="KU32" s="331"/>
      <c r="KV32" s="331"/>
      <c r="KW32" s="331"/>
      <c r="KX32" s="331"/>
      <c r="KY32" s="331"/>
      <c r="KZ32" s="331"/>
      <c r="LA32" s="331"/>
      <c r="LB32" s="331"/>
      <c r="LC32" s="331"/>
      <c r="LD32" s="331"/>
      <c r="LE32" s="331"/>
      <c r="LF32" s="331"/>
      <c r="LG32" s="331"/>
      <c r="LH32" s="331"/>
      <c r="LI32" s="331"/>
      <c r="LJ32" s="331"/>
      <c r="LK32" s="331"/>
      <c r="LL32" s="331"/>
      <c r="LM32" s="331"/>
      <c r="LN32" s="331"/>
      <c r="LO32" s="331"/>
      <c r="LP32" s="331"/>
      <c r="LQ32" s="331"/>
      <c r="LR32" s="331"/>
      <c r="LS32" s="331"/>
      <c r="LT32" s="331"/>
      <c r="LU32" s="331"/>
      <c r="LV32" s="331"/>
      <c r="LW32" s="331"/>
      <c r="LX32" s="331"/>
      <c r="LY32" s="331"/>
      <c r="LZ32" s="331"/>
      <c r="MA32" s="331"/>
      <c r="MB32" s="331"/>
      <c r="MC32" s="331"/>
      <c r="MD32" s="331"/>
      <c r="ME32" s="331"/>
      <c r="MF32" s="331"/>
      <c r="MG32" s="331"/>
      <c r="MH32" s="331"/>
      <c r="MI32" s="331"/>
      <c r="MJ32" s="331"/>
      <c r="MK32" s="331"/>
      <c r="ML32" s="331"/>
      <c r="MM32" s="331"/>
      <c r="MN32" s="331"/>
      <c r="MO32" s="331"/>
      <c r="MP32" s="331"/>
      <c r="MQ32" s="331"/>
      <c r="MR32" s="331"/>
      <c r="MS32" s="331"/>
      <c r="MT32" s="331"/>
      <c r="MU32" s="331"/>
      <c r="MV32" s="331"/>
      <c r="MW32" s="331"/>
      <c r="MX32" s="331"/>
      <c r="MY32" s="331"/>
      <c r="MZ32" s="331"/>
      <c r="NA32" s="331"/>
      <c r="NB32" s="331"/>
      <c r="NC32" s="331"/>
      <c r="ND32" s="331"/>
      <c r="NE32" s="331"/>
      <c r="NF32" s="331"/>
      <c r="NG32" s="331"/>
      <c r="NH32" s="331"/>
      <c r="NI32" s="331"/>
      <c r="NJ32" s="331"/>
      <c r="NK32" s="331"/>
      <c r="NL32" s="331"/>
      <c r="NM32" s="331"/>
      <c r="NN32" s="331"/>
      <c r="NO32" s="331"/>
      <c r="NP32" s="331"/>
      <c r="NQ32" s="331"/>
      <c r="NR32" s="331"/>
      <c r="NS32" s="331"/>
      <c r="NT32" s="331"/>
      <c r="NU32" s="331"/>
      <c r="NV32" s="331"/>
      <c r="NW32" s="331"/>
      <c r="NX32" s="331"/>
      <c r="NY32" s="331"/>
      <c r="NZ32" s="331"/>
      <c r="OA32" s="331"/>
      <c r="OB32" s="331"/>
      <c r="OC32" s="331"/>
      <c r="OD32" s="331"/>
      <c r="OE32" s="331"/>
      <c r="OF32" s="331"/>
      <c r="OG32" s="331"/>
      <c r="OH32" s="331"/>
      <c r="OI32" s="331"/>
      <c r="OJ32" s="331"/>
      <c r="OK32" s="331"/>
      <c r="OL32" s="332">
        <f t="shared" si="0"/>
        <v>25882.520000000004</v>
      </c>
    </row>
    <row r="33" spans="1:402" ht="13.5" thickBot="1">
      <c r="A33" s="320" t="s">
        <v>404</v>
      </c>
      <c r="B33" s="320" t="s">
        <v>405</v>
      </c>
      <c r="C33" s="320" t="s">
        <v>406</v>
      </c>
      <c r="D33" s="328" t="s">
        <v>437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Z33" s="329">
        <v>0</v>
      </c>
      <c r="AA33" s="329">
        <v>0</v>
      </c>
      <c r="AB33" s="329">
        <v>0</v>
      </c>
      <c r="AC33" s="329">
        <v>0</v>
      </c>
      <c r="AD33" s="329">
        <v>0</v>
      </c>
      <c r="AE33" s="329">
        <v>0</v>
      </c>
      <c r="AF33" s="329">
        <v>0</v>
      </c>
      <c r="AG33" s="329">
        <v>0</v>
      </c>
      <c r="AH33" s="329">
        <v>0</v>
      </c>
      <c r="AI33" s="329">
        <v>0</v>
      </c>
      <c r="AJ33" s="329">
        <v>0</v>
      </c>
      <c r="AK33" s="329">
        <v>0</v>
      </c>
      <c r="AL33" s="329">
        <v>0</v>
      </c>
      <c r="AM33" s="329">
        <v>0</v>
      </c>
      <c r="AN33" s="329">
        <v>0</v>
      </c>
      <c r="AO33" s="330">
        <v>274.26</v>
      </c>
      <c r="AP33" s="330">
        <v>274.26</v>
      </c>
      <c r="AQ33" s="330">
        <v>274.26</v>
      </c>
      <c r="AR33" s="330">
        <v>293.55</v>
      </c>
      <c r="AS33" s="330">
        <v>277.68</v>
      </c>
      <c r="AT33" s="330">
        <v>261.81</v>
      </c>
      <c r="AU33" s="330">
        <v>261.81</v>
      </c>
      <c r="AV33" s="330">
        <v>261.81</v>
      </c>
      <c r="AW33" s="330">
        <v>261.81</v>
      </c>
      <c r="AX33" s="330">
        <v>261.81</v>
      </c>
      <c r="AY33" s="330">
        <v>309.43</v>
      </c>
      <c r="AZ33" s="330">
        <v>274.26</v>
      </c>
      <c r="BA33" s="329">
        <v>0</v>
      </c>
      <c r="BB33" s="329">
        <v>0</v>
      </c>
      <c r="BC33" s="329">
        <v>0</v>
      </c>
      <c r="BD33" s="329">
        <v>0</v>
      </c>
      <c r="BE33" s="329">
        <v>0</v>
      </c>
      <c r="BF33" s="329">
        <v>0</v>
      </c>
      <c r="BG33" s="329">
        <v>0</v>
      </c>
      <c r="BH33" s="329">
        <v>0</v>
      </c>
      <c r="BI33" s="329">
        <v>0</v>
      </c>
      <c r="BJ33" s="329">
        <v>0</v>
      </c>
      <c r="BK33" s="329">
        <v>0</v>
      </c>
      <c r="BL33" s="329">
        <v>0</v>
      </c>
      <c r="BM33" s="331"/>
      <c r="BN33" s="331"/>
      <c r="BO33" s="331"/>
      <c r="BP33" s="331"/>
      <c r="BQ33" s="331"/>
      <c r="BR33" s="331"/>
      <c r="BS33" s="331"/>
      <c r="BT33" s="331"/>
      <c r="BU33" s="331"/>
      <c r="BV33" s="331"/>
      <c r="BW33" s="331"/>
      <c r="BX33" s="331"/>
      <c r="BY33" s="329">
        <v>0</v>
      </c>
      <c r="BZ33" s="329">
        <v>0</v>
      </c>
      <c r="CA33" s="329">
        <v>0</v>
      </c>
      <c r="CB33" s="329">
        <v>0</v>
      </c>
      <c r="CC33" s="329">
        <v>0</v>
      </c>
      <c r="CD33" s="329">
        <v>0</v>
      </c>
      <c r="CE33" s="329">
        <v>0</v>
      </c>
      <c r="CF33" s="329">
        <v>0</v>
      </c>
      <c r="CG33" s="329">
        <v>0</v>
      </c>
      <c r="CH33" s="329">
        <v>0</v>
      </c>
      <c r="CI33" s="329">
        <v>0</v>
      </c>
      <c r="CJ33" s="329">
        <v>0</v>
      </c>
      <c r="CK33" s="329">
        <v>0</v>
      </c>
      <c r="CL33" s="329">
        <v>0</v>
      </c>
      <c r="CM33" s="329">
        <v>0</v>
      </c>
      <c r="CN33" s="329">
        <v>0</v>
      </c>
      <c r="CO33" s="329">
        <v>0</v>
      </c>
      <c r="CP33" s="329">
        <v>0</v>
      </c>
      <c r="CQ33" s="329">
        <v>0</v>
      </c>
      <c r="CR33" s="329">
        <v>0</v>
      </c>
      <c r="CS33" s="329">
        <v>0</v>
      </c>
      <c r="CT33" s="329">
        <v>0</v>
      </c>
      <c r="CU33" s="329">
        <v>0</v>
      </c>
      <c r="CV33" s="329">
        <v>0</v>
      </c>
      <c r="CW33" s="329">
        <v>0</v>
      </c>
      <c r="CX33" s="329">
        <v>0</v>
      </c>
      <c r="CY33" s="329">
        <v>0</v>
      </c>
      <c r="CZ33" s="329">
        <v>0</v>
      </c>
      <c r="DA33" s="329">
        <v>0</v>
      </c>
      <c r="DB33" s="329">
        <v>0</v>
      </c>
      <c r="DC33" s="329">
        <v>0</v>
      </c>
      <c r="DD33" s="329">
        <v>0</v>
      </c>
      <c r="DE33" s="329">
        <v>0</v>
      </c>
      <c r="DF33" s="329">
        <v>0</v>
      </c>
      <c r="DG33" s="329">
        <v>0</v>
      </c>
      <c r="DH33" s="329">
        <v>0</v>
      </c>
      <c r="DI33" s="331"/>
      <c r="DJ33" s="331"/>
      <c r="DK33" s="331"/>
      <c r="DL33" s="331"/>
      <c r="DM33" s="331"/>
      <c r="DN33" s="331"/>
      <c r="DO33" s="331"/>
      <c r="DP33" s="331"/>
      <c r="DQ33" s="331"/>
      <c r="DR33" s="331"/>
      <c r="DS33" s="331"/>
      <c r="DT33" s="331"/>
      <c r="DU33" s="330">
        <v>1.96</v>
      </c>
      <c r="DV33" s="330">
        <v>1.96</v>
      </c>
      <c r="DW33" s="330">
        <v>1.96</v>
      </c>
      <c r="DX33" s="330">
        <v>2.23</v>
      </c>
      <c r="DY33" s="330">
        <v>2.0099999999999998</v>
      </c>
      <c r="DZ33" s="330">
        <v>1.79</v>
      </c>
      <c r="EA33" s="330">
        <v>1.79</v>
      </c>
      <c r="EB33" s="330">
        <v>1.79</v>
      </c>
      <c r="EC33" s="330">
        <v>1.79</v>
      </c>
      <c r="ED33" s="330">
        <v>1.79</v>
      </c>
      <c r="EE33" s="330">
        <v>2.4500000000000002</v>
      </c>
      <c r="EF33" s="330">
        <v>1.96</v>
      </c>
      <c r="EG33" s="329">
        <v>0</v>
      </c>
      <c r="EH33" s="329">
        <v>0</v>
      </c>
      <c r="EI33" s="329">
        <v>0</v>
      </c>
      <c r="EJ33" s="329">
        <v>0</v>
      </c>
      <c r="EK33" s="329">
        <v>0</v>
      </c>
      <c r="EL33" s="329">
        <v>0</v>
      </c>
      <c r="EM33" s="329">
        <v>0</v>
      </c>
      <c r="EN33" s="329">
        <v>0</v>
      </c>
      <c r="EO33" s="329">
        <v>0</v>
      </c>
      <c r="EP33" s="329">
        <v>0</v>
      </c>
      <c r="EQ33" s="329">
        <v>0</v>
      </c>
      <c r="ER33" s="329">
        <v>0</v>
      </c>
      <c r="ES33" s="331"/>
      <c r="ET33" s="331"/>
      <c r="EU33" s="331"/>
      <c r="EV33" s="331"/>
      <c r="EW33" s="331"/>
      <c r="EX33" s="331"/>
      <c r="EY33" s="331"/>
      <c r="EZ33" s="331"/>
      <c r="FA33" s="331"/>
      <c r="FB33" s="331"/>
      <c r="FC33" s="331"/>
      <c r="FD33" s="331"/>
      <c r="FE33" s="329">
        <v>0</v>
      </c>
      <c r="FF33" s="329">
        <v>0</v>
      </c>
      <c r="FG33" s="329">
        <v>0</v>
      </c>
      <c r="FH33" s="329">
        <v>0</v>
      </c>
      <c r="FI33" s="329">
        <v>0</v>
      </c>
      <c r="FJ33" s="329">
        <v>0</v>
      </c>
      <c r="FK33" s="329">
        <v>0</v>
      </c>
      <c r="FL33" s="329">
        <v>0</v>
      </c>
      <c r="FM33" s="329">
        <v>0</v>
      </c>
      <c r="FN33" s="329">
        <v>0</v>
      </c>
      <c r="FO33" s="329">
        <v>0</v>
      </c>
      <c r="FP33" s="329">
        <v>0</v>
      </c>
      <c r="FQ33" s="329">
        <v>0</v>
      </c>
      <c r="FR33" s="329">
        <v>0</v>
      </c>
      <c r="FS33" s="329">
        <v>0</v>
      </c>
      <c r="FT33" s="329">
        <v>0</v>
      </c>
      <c r="FU33" s="329">
        <v>0</v>
      </c>
      <c r="FV33" s="329">
        <v>0</v>
      </c>
      <c r="FW33" s="329">
        <v>0</v>
      </c>
      <c r="FX33" s="329">
        <v>0</v>
      </c>
      <c r="FY33" s="329">
        <v>0</v>
      </c>
      <c r="FZ33" s="329">
        <v>0</v>
      </c>
      <c r="GA33" s="329">
        <v>0</v>
      </c>
      <c r="GB33" s="329">
        <v>0</v>
      </c>
      <c r="GC33" s="330">
        <v>261.33999999999997</v>
      </c>
      <c r="GD33" s="330">
        <v>261.33999999999997</v>
      </c>
      <c r="GE33" s="330">
        <v>261.33999999999997</v>
      </c>
      <c r="GF33" s="330">
        <v>201.23</v>
      </c>
      <c r="GG33" s="330">
        <v>198.42</v>
      </c>
      <c r="GH33" s="330">
        <v>177.79</v>
      </c>
      <c r="GI33" s="330">
        <v>177.79</v>
      </c>
      <c r="GJ33" s="330">
        <v>177.79</v>
      </c>
      <c r="GK33" s="330">
        <v>177.79</v>
      </c>
      <c r="GL33" s="330">
        <v>177.79</v>
      </c>
      <c r="GM33" s="330">
        <v>186.22</v>
      </c>
      <c r="GN33" s="330">
        <v>179.99</v>
      </c>
      <c r="GO33" s="331"/>
      <c r="GP33" s="331"/>
      <c r="GQ33" s="331"/>
      <c r="GR33" s="331"/>
      <c r="GS33" s="331"/>
      <c r="GT33" s="331"/>
      <c r="GU33" s="331"/>
      <c r="GV33" s="331"/>
      <c r="GW33" s="331"/>
      <c r="GX33" s="331"/>
      <c r="GY33" s="331"/>
      <c r="GZ33" s="331"/>
      <c r="HA33" s="330">
        <v>4.9000000000000004</v>
      </c>
      <c r="HB33" s="330">
        <v>4.9000000000000004</v>
      </c>
      <c r="HC33" s="330">
        <v>3.26</v>
      </c>
      <c r="HD33" s="330">
        <v>4.08</v>
      </c>
      <c r="HE33" s="330">
        <v>3.26</v>
      </c>
      <c r="HF33" s="330">
        <v>8.56</v>
      </c>
      <c r="HG33" s="330">
        <v>7.14</v>
      </c>
      <c r="HH33" s="330">
        <v>5.71</v>
      </c>
      <c r="HI33" s="330">
        <v>5.71</v>
      </c>
      <c r="HJ33" s="330">
        <v>4.28</v>
      </c>
      <c r="HK33" s="330">
        <v>5.71</v>
      </c>
      <c r="HL33" s="330">
        <v>7.14</v>
      </c>
      <c r="HM33" s="331"/>
      <c r="HN33" s="331"/>
      <c r="HO33" s="331"/>
      <c r="HP33" s="331"/>
      <c r="HQ33" s="331"/>
      <c r="HR33" s="331"/>
      <c r="HS33" s="331"/>
      <c r="HT33" s="331"/>
      <c r="HU33" s="331"/>
      <c r="HV33" s="331"/>
      <c r="HW33" s="331"/>
      <c r="HX33" s="331"/>
      <c r="HY33" s="329">
        <v>0</v>
      </c>
      <c r="HZ33" s="329">
        <v>0</v>
      </c>
      <c r="IA33" s="329">
        <v>0</v>
      </c>
      <c r="IB33" s="329">
        <v>0</v>
      </c>
      <c r="IC33" s="329">
        <v>0</v>
      </c>
      <c r="ID33" s="329">
        <v>0</v>
      </c>
      <c r="IE33" s="329">
        <v>0</v>
      </c>
      <c r="IF33" s="329">
        <v>0</v>
      </c>
      <c r="IG33" s="329">
        <v>0</v>
      </c>
      <c r="IH33" s="329">
        <v>0</v>
      </c>
      <c r="II33" s="329">
        <v>0</v>
      </c>
      <c r="IJ33" s="329">
        <v>0</v>
      </c>
      <c r="IK33" s="331"/>
      <c r="IL33" s="331"/>
      <c r="IM33" s="331"/>
      <c r="IN33" s="331"/>
      <c r="IO33" s="331"/>
      <c r="IP33" s="331"/>
      <c r="IQ33" s="331"/>
      <c r="IR33" s="331"/>
      <c r="IS33" s="331"/>
      <c r="IT33" s="331"/>
      <c r="IU33" s="331"/>
      <c r="IV33" s="331"/>
      <c r="IW33" s="331"/>
      <c r="IX33" s="331"/>
      <c r="IY33" s="331"/>
      <c r="IZ33" s="331"/>
      <c r="JA33" s="331"/>
      <c r="JB33" s="331"/>
      <c r="JC33" s="331"/>
      <c r="JD33" s="331"/>
      <c r="JE33" s="331"/>
      <c r="JF33" s="331"/>
      <c r="JG33" s="331"/>
      <c r="JH33" s="331"/>
      <c r="JI33" s="331"/>
      <c r="JJ33" s="331"/>
      <c r="JK33" s="331"/>
      <c r="JL33" s="331"/>
      <c r="JM33" s="331"/>
      <c r="JN33" s="331"/>
      <c r="JO33" s="331"/>
      <c r="JP33" s="331"/>
      <c r="JQ33" s="331"/>
      <c r="JR33" s="331"/>
      <c r="JS33" s="331"/>
      <c r="JT33" s="331"/>
      <c r="JU33" s="331"/>
      <c r="JV33" s="331"/>
      <c r="JW33" s="331"/>
      <c r="JX33" s="331"/>
      <c r="JY33" s="331"/>
      <c r="JZ33" s="331"/>
      <c r="KA33" s="331"/>
      <c r="KB33" s="331"/>
      <c r="KC33" s="331"/>
      <c r="KD33" s="331"/>
      <c r="KE33" s="331"/>
      <c r="KF33" s="331"/>
      <c r="KG33" s="331"/>
      <c r="KH33" s="331"/>
      <c r="KI33" s="331"/>
      <c r="KJ33" s="331"/>
      <c r="KK33" s="331"/>
      <c r="KL33" s="331"/>
      <c r="KM33" s="331"/>
      <c r="KN33" s="331"/>
      <c r="KO33" s="331"/>
      <c r="KP33" s="331"/>
      <c r="KQ33" s="331"/>
      <c r="KR33" s="331"/>
      <c r="KS33" s="331"/>
      <c r="KT33" s="331"/>
      <c r="KU33" s="331"/>
      <c r="KV33" s="331"/>
      <c r="KW33" s="331"/>
      <c r="KX33" s="331"/>
      <c r="KY33" s="331"/>
      <c r="KZ33" s="331"/>
      <c r="LA33" s="331"/>
      <c r="LB33" s="331"/>
      <c r="LC33" s="331"/>
      <c r="LD33" s="331"/>
      <c r="LE33" s="331"/>
      <c r="LF33" s="331"/>
      <c r="LG33" s="331"/>
      <c r="LH33" s="331"/>
      <c r="LI33" s="331"/>
      <c r="LJ33" s="331"/>
      <c r="LK33" s="331"/>
      <c r="LL33" s="331"/>
      <c r="LM33" s="331"/>
      <c r="LN33" s="331"/>
      <c r="LO33" s="331"/>
      <c r="LP33" s="331"/>
      <c r="LQ33" s="331"/>
      <c r="LR33" s="331"/>
      <c r="LS33" s="331"/>
      <c r="LT33" s="331"/>
      <c r="LU33" s="331"/>
      <c r="LV33" s="331"/>
      <c r="LW33" s="331"/>
      <c r="LX33" s="331"/>
      <c r="LY33" s="331"/>
      <c r="LZ33" s="331"/>
      <c r="MA33" s="331"/>
      <c r="MB33" s="331"/>
      <c r="MC33" s="331"/>
      <c r="MD33" s="331"/>
      <c r="ME33" s="331"/>
      <c r="MF33" s="331"/>
      <c r="MG33" s="331"/>
      <c r="MH33" s="331"/>
      <c r="MI33" s="331"/>
      <c r="MJ33" s="331"/>
      <c r="MK33" s="331"/>
      <c r="ML33" s="331"/>
      <c r="MM33" s="331"/>
      <c r="MN33" s="331"/>
      <c r="MO33" s="331"/>
      <c r="MP33" s="331"/>
      <c r="MQ33" s="331"/>
      <c r="MR33" s="331"/>
      <c r="MS33" s="331"/>
      <c r="MT33" s="331"/>
      <c r="MU33" s="331"/>
      <c r="MV33" s="331"/>
      <c r="MW33" s="331"/>
      <c r="MX33" s="331"/>
      <c r="MY33" s="331"/>
      <c r="MZ33" s="331"/>
      <c r="NA33" s="331"/>
      <c r="NB33" s="331"/>
      <c r="NC33" s="331"/>
      <c r="ND33" s="331"/>
      <c r="NE33" s="331"/>
      <c r="NF33" s="331"/>
      <c r="NG33" s="331"/>
      <c r="NH33" s="331"/>
      <c r="NI33" s="331"/>
      <c r="NJ33" s="331"/>
      <c r="NK33" s="331"/>
      <c r="NL33" s="331"/>
      <c r="NM33" s="331"/>
      <c r="NN33" s="331"/>
      <c r="NO33" s="331"/>
      <c r="NP33" s="331"/>
      <c r="NQ33" s="331"/>
      <c r="NR33" s="331"/>
      <c r="NS33" s="331"/>
      <c r="NT33" s="331"/>
      <c r="NU33" s="331"/>
      <c r="NV33" s="331"/>
      <c r="NW33" s="331"/>
      <c r="NX33" s="331"/>
      <c r="NY33" s="331"/>
      <c r="NZ33" s="331"/>
      <c r="OA33" s="331"/>
      <c r="OB33" s="331"/>
      <c r="OC33" s="331"/>
      <c r="OD33" s="331"/>
      <c r="OE33" s="331"/>
      <c r="OF33" s="331"/>
      <c r="OG33" s="331"/>
      <c r="OH33" s="331"/>
      <c r="OI33" s="331"/>
      <c r="OJ33" s="331"/>
      <c r="OK33" s="331"/>
      <c r="OL33" s="332">
        <f t="shared" si="0"/>
        <v>5813.7100000000009</v>
      </c>
    </row>
    <row r="34" spans="1:402" ht="13.5" thickBot="1">
      <c r="A34" s="320" t="s">
        <v>404</v>
      </c>
      <c r="B34" s="320" t="s">
        <v>405</v>
      </c>
      <c r="C34" s="320" t="s">
        <v>406</v>
      </c>
      <c r="D34" s="328" t="s">
        <v>438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Z34" s="329">
        <v>0</v>
      </c>
      <c r="AA34" s="329">
        <v>0</v>
      </c>
      <c r="AB34" s="329">
        <v>0</v>
      </c>
      <c r="AC34" s="329">
        <v>0</v>
      </c>
      <c r="AD34" s="329">
        <v>0</v>
      </c>
      <c r="AE34" s="329">
        <v>0</v>
      </c>
      <c r="AF34" s="329">
        <v>0</v>
      </c>
      <c r="AG34" s="329">
        <v>0</v>
      </c>
      <c r="AH34" s="329">
        <v>0</v>
      </c>
      <c r="AI34" s="329">
        <v>0</v>
      </c>
      <c r="AJ34" s="329">
        <v>0</v>
      </c>
      <c r="AK34" s="329">
        <v>0</v>
      </c>
      <c r="AL34" s="329">
        <v>0</v>
      </c>
      <c r="AM34" s="329">
        <v>0</v>
      </c>
      <c r="AN34" s="329">
        <v>0</v>
      </c>
      <c r="AO34" s="330">
        <v>16338.4</v>
      </c>
      <c r="AP34" s="330">
        <v>15370.57</v>
      </c>
      <c r="AQ34" s="330">
        <v>15363.41</v>
      </c>
      <c r="AR34" s="330">
        <v>16410.29</v>
      </c>
      <c r="AS34" s="330">
        <v>15424.41</v>
      </c>
      <c r="AT34" s="330">
        <v>16948.04</v>
      </c>
      <c r="AU34" s="330">
        <v>17700.84</v>
      </c>
      <c r="AV34" s="329">
        <v>17258</v>
      </c>
      <c r="AW34" s="330">
        <v>15707.91</v>
      </c>
      <c r="AX34" s="330">
        <v>16067.04</v>
      </c>
      <c r="AY34" s="330">
        <v>17336.11</v>
      </c>
      <c r="AZ34" s="330">
        <v>16819.830000000002</v>
      </c>
      <c r="BA34" s="329">
        <v>0</v>
      </c>
      <c r="BB34" s="329">
        <v>0</v>
      </c>
      <c r="BC34" s="329">
        <v>0</v>
      </c>
      <c r="BD34" s="329">
        <v>0</v>
      </c>
      <c r="BE34" s="329">
        <v>0</v>
      </c>
      <c r="BF34" s="329">
        <v>0</v>
      </c>
      <c r="BG34" s="329">
        <v>0</v>
      </c>
      <c r="BH34" s="329">
        <v>0</v>
      </c>
      <c r="BI34" s="329">
        <v>0</v>
      </c>
      <c r="BJ34" s="329">
        <v>0</v>
      </c>
      <c r="BK34" s="329">
        <v>0</v>
      </c>
      <c r="BL34" s="329">
        <v>0</v>
      </c>
      <c r="BM34" s="331"/>
      <c r="BN34" s="331"/>
      <c r="BO34" s="331"/>
      <c r="BP34" s="331"/>
      <c r="BQ34" s="331"/>
      <c r="BR34" s="331"/>
      <c r="BS34" s="331"/>
      <c r="BT34" s="331"/>
      <c r="BU34" s="331"/>
      <c r="BV34" s="331"/>
      <c r="BW34" s="331"/>
      <c r="BX34" s="331"/>
      <c r="BY34" s="329">
        <v>0</v>
      </c>
      <c r="BZ34" s="329">
        <v>0</v>
      </c>
      <c r="CA34" s="329">
        <v>0</v>
      </c>
      <c r="CB34" s="329">
        <v>0</v>
      </c>
      <c r="CC34" s="329">
        <v>0</v>
      </c>
      <c r="CD34" s="329">
        <v>0</v>
      </c>
      <c r="CE34" s="329">
        <v>0</v>
      </c>
      <c r="CF34" s="329">
        <v>0</v>
      </c>
      <c r="CG34" s="329">
        <v>0</v>
      </c>
      <c r="CH34" s="329">
        <v>0</v>
      </c>
      <c r="CI34" s="329">
        <v>0</v>
      </c>
      <c r="CJ34" s="329">
        <v>0</v>
      </c>
      <c r="CK34" s="329">
        <v>0</v>
      </c>
      <c r="CL34" s="329">
        <v>0</v>
      </c>
      <c r="CM34" s="329">
        <v>0</v>
      </c>
      <c r="CN34" s="329">
        <v>0</v>
      </c>
      <c r="CO34" s="329">
        <v>0</v>
      </c>
      <c r="CP34" s="329">
        <v>0</v>
      </c>
      <c r="CQ34" s="329">
        <v>0</v>
      </c>
      <c r="CR34" s="329">
        <v>0</v>
      </c>
      <c r="CS34" s="329">
        <v>0</v>
      </c>
      <c r="CT34" s="329">
        <v>0</v>
      </c>
      <c r="CU34" s="329">
        <v>0</v>
      </c>
      <c r="CV34" s="329">
        <v>0</v>
      </c>
      <c r="CW34" s="329">
        <v>0</v>
      </c>
      <c r="CX34" s="329">
        <v>0</v>
      </c>
      <c r="CY34" s="329">
        <v>0</v>
      </c>
      <c r="CZ34" s="329">
        <v>0</v>
      </c>
      <c r="DA34" s="329">
        <v>0</v>
      </c>
      <c r="DB34" s="329">
        <v>0</v>
      </c>
      <c r="DC34" s="329">
        <v>0</v>
      </c>
      <c r="DD34" s="329">
        <v>0</v>
      </c>
      <c r="DE34" s="329">
        <v>0</v>
      </c>
      <c r="DF34" s="329">
        <v>0</v>
      </c>
      <c r="DG34" s="329">
        <v>0</v>
      </c>
      <c r="DH34" s="329">
        <v>0</v>
      </c>
      <c r="DI34" s="331"/>
      <c r="DJ34" s="331"/>
      <c r="DK34" s="331"/>
      <c r="DL34" s="331"/>
      <c r="DM34" s="331"/>
      <c r="DN34" s="331"/>
      <c r="DO34" s="331"/>
      <c r="DP34" s="331"/>
      <c r="DQ34" s="331"/>
      <c r="DR34" s="331"/>
      <c r="DS34" s="331"/>
      <c r="DT34" s="331"/>
      <c r="DU34" s="330">
        <v>226.93</v>
      </c>
      <c r="DV34" s="330">
        <v>213.38</v>
      </c>
      <c r="DW34" s="330">
        <v>213.28</v>
      </c>
      <c r="DX34" s="330">
        <v>227.94</v>
      </c>
      <c r="DY34" s="330">
        <v>214.13</v>
      </c>
      <c r="DZ34" s="330">
        <v>235.47</v>
      </c>
      <c r="EA34" s="330">
        <v>246.01</v>
      </c>
      <c r="EB34" s="330">
        <v>239.81</v>
      </c>
      <c r="EC34" s="330">
        <v>218.1</v>
      </c>
      <c r="ED34" s="330">
        <v>223.13</v>
      </c>
      <c r="EE34" s="330">
        <v>240.9</v>
      </c>
      <c r="EF34" s="330">
        <v>233.67</v>
      </c>
      <c r="EG34" s="329">
        <v>0</v>
      </c>
      <c r="EH34" s="329">
        <v>0</v>
      </c>
      <c r="EI34" s="329">
        <v>0</v>
      </c>
      <c r="EJ34" s="329">
        <v>0</v>
      </c>
      <c r="EK34" s="329">
        <v>0</v>
      </c>
      <c r="EL34" s="329">
        <v>0</v>
      </c>
      <c r="EM34" s="329">
        <v>0</v>
      </c>
      <c r="EN34" s="329">
        <v>0</v>
      </c>
      <c r="EO34" s="329">
        <v>0</v>
      </c>
      <c r="EP34" s="329">
        <v>0</v>
      </c>
      <c r="EQ34" s="329">
        <v>0</v>
      </c>
      <c r="ER34" s="329">
        <v>0</v>
      </c>
      <c r="ES34" s="331"/>
      <c r="ET34" s="331"/>
      <c r="EU34" s="331"/>
      <c r="EV34" s="331"/>
      <c r="EW34" s="331"/>
      <c r="EX34" s="331"/>
      <c r="EY34" s="331"/>
      <c r="EZ34" s="331"/>
      <c r="FA34" s="331"/>
      <c r="FB34" s="331"/>
      <c r="FC34" s="331"/>
      <c r="FD34" s="331"/>
      <c r="FE34" s="329">
        <v>0</v>
      </c>
      <c r="FF34" s="329">
        <v>0</v>
      </c>
      <c r="FG34" s="329">
        <v>0</v>
      </c>
      <c r="FH34" s="329">
        <v>0</v>
      </c>
      <c r="FI34" s="329">
        <v>0</v>
      </c>
      <c r="FJ34" s="329">
        <v>0</v>
      </c>
      <c r="FK34" s="329">
        <v>0</v>
      </c>
      <c r="FL34" s="329">
        <v>0</v>
      </c>
      <c r="FM34" s="329">
        <v>0</v>
      </c>
      <c r="FN34" s="329">
        <v>0</v>
      </c>
      <c r="FO34" s="329">
        <v>0</v>
      </c>
      <c r="FP34" s="329">
        <v>0</v>
      </c>
      <c r="FQ34" s="329">
        <v>0</v>
      </c>
      <c r="FR34" s="329">
        <v>0</v>
      </c>
      <c r="FS34" s="329">
        <v>0</v>
      </c>
      <c r="FT34" s="329">
        <v>0</v>
      </c>
      <c r="FU34" s="329">
        <v>0</v>
      </c>
      <c r="FV34" s="329">
        <v>0</v>
      </c>
      <c r="FW34" s="329">
        <v>0</v>
      </c>
      <c r="FX34" s="329">
        <v>0</v>
      </c>
      <c r="FY34" s="329">
        <v>0</v>
      </c>
      <c r="FZ34" s="329">
        <v>0</v>
      </c>
      <c r="GA34" s="329">
        <v>0</v>
      </c>
      <c r="GB34" s="329">
        <v>0</v>
      </c>
      <c r="GC34" s="330">
        <v>22324.53</v>
      </c>
      <c r="GD34" s="330">
        <v>22153.040000000001</v>
      </c>
      <c r="GE34" s="330">
        <v>22151.77</v>
      </c>
      <c r="GF34" s="330">
        <v>28584.28</v>
      </c>
      <c r="GG34" s="330">
        <v>28409.59</v>
      </c>
      <c r="GH34" s="330">
        <v>26032.67</v>
      </c>
      <c r="GI34" s="330">
        <v>26166.06</v>
      </c>
      <c r="GJ34" s="330">
        <v>26087.59</v>
      </c>
      <c r="GK34" s="330">
        <v>25812.93</v>
      </c>
      <c r="GL34" s="330">
        <v>25876.560000000001</v>
      </c>
      <c r="GM34" s="330">
        <v>26101.43</v>
      </c>
      <c r="GN34" s="330">
        <v>26041.62</v>
      </c>
      <c r="GO34" s="331"/>
      <c r="GP34" s="331"/>
      <c r="GQ34" s="331"/>
      <c r="GR34" s="331"/>
      <c r="GS34" s="331"/>
      <c r="GT34" s="331"/>
      <c r="GU34" s="331"/>
      <c r="GV34" s="331"/>
      <c r="GW34" s="331"/>
      <c r="GX34" s="331"/>
      <c r="GY34" s="331"/>
      <c r="GZ34" s="331"/>
      <c r="HA34" s="330">
        <v>290.08999999999997</v>
      </c>
      <c r="HB34" s="330">
        <v>420.44</v>
      </c>
      <c r="HC34" s="330">
        <v>244.19</v>
      </c>
      <c r="HD34" s="330">
        <v>906.98</v>
      </c>
      <c r="HE34" s="330">
        <v>547.13</v>
      </c>
      <c r="HF34" s="330">
        <v>1220.26</v>
      </c>
      <c r="HG34" s="330">
        <v>1509.26</v>
      </c>
      <c r="HH34" s="330">
        <v>793.17</v>
      </c>
      <c r="HI34" s="330">
        <v>818.86</v>
      </c>
      <c r="HJ34" s="330">
        <v>414.24</v>
      </c>
      <c r="HK34" s="330">
        <v>1104.6500000000001</v>
      </c>
      <c r="HL34" s="330">
        <v>1104.6500000000001</v>
      </c>
      <c r="HM34" s="331"/>
      <c r="HN34" s="331"/>
      <c r="HO34" s="331"/>
      <c r="HP34" s="331"/>
      <c r="HQ34" s="331"/>
      <c r="HR34" s="331"/>
      <c r="HS34" s="331"/>
      <c r="HT34" s="331"/>
      <c r="HU34" s="331"/>
      <c r="HV34" s="331"/>
      <c r="HW34" s="331"/>
      <c r="HX34" s="331"/>
      <c r="HY34" s="329">
        <v>0</v>
      </c>
      <c r="HZ34" s="329">
        <v>0</v>
      </c>
      <c r="IA34" s="329">
        <v>0</v>
      </c>
      <c r="IB34" s="329">
        <v>0</v>
      </c>
      <c r="IC34" s="329">
        <v>0</v>
      </c>
      <c r="ID34" s="329">
        <v>0</v>
      </c>
      <c r="IE34" s="329">
        <v>0</v>
      </c>
      <c r="IF34" s="329">
        <v>0</v>
      </c>
      <c r="IG34" s="329">
        <v>0</v>
      </c>
      <c r="IH34" s="329">
        <v>0</v>
      </c>
      <c r="II34" s="329">
        <v>0</v>
      </c>
      <c r="IJ34" s="329">
        <v>0</v>
      </c>
      <c r="IK34" s="331"/>
      <c r="IL34" s="331"/>
      <c r="IM34" s="331"/>
      <c r="IN34" s="331"/>
      <c r="IO34" s="331"/>
      <c r="IP34" s="331"/>
      <c r="IQ34" s="331"/>
      <c r="IR34" s="331"/>
      <c r="IS34" s="331"/>
      <c r="IT34" s="331"/>
      <c r="IU34" s="331"/>
      <c r="IV34" s="331"/>
      <c r="IW34" s="331"/>
      <c r="IX34" s="331"/>
      <c r="IY34" s="331"/>
      <c r="IZ34" s="331"/>
      <c r="JA34" s="331"/>
      <c r="JB34" s="331"/>
      <c r="JC34" s="331"/>
      <c r="JD34" s="331"/>
      <c r="JE34" s="331"/>
      <c r="JF34" s="331"/>
      <c r="JG34" s="331"/>
      <c r="JH34" s="331"/>
      <c r="JI34" s="330">
        <v>637.51</v>
      </c>
      <c r="JJ34" s="331"/>
      <c r="JK34" s="331"/>
      <c r="JL34" s="331"/>
      <c r="JM34" s="331"/>
      <c r="JN34" s="331"/>
      <c r="JO34" s="331"/>
      <c r="JP34" s="331"/>
      <c r="JQ34" s="331"/>
      <c r="JR34" s="331"/>
      <c r="JS34" s="331"/>
      <c r="JT34" s="331"/>
      <c r="JU34" s="331"/>
      <c r="JV34" s="331"/>
      <c r="JW34" s="331"/>
      <c r="JX34" s="331"/>
      <c r="JY34" s="331"/>
      <c r="JZ34" s="331"/>
      <c r="KA34" s="331"/>
      <c r="KB34" s="331"/>
      <c r="KC34" s="331"/>
      <c r="KD34" s="331"/>
      <c r="KE34" s="331"/>
      <c r="KF34" s="331"/>
      <c r="KG34" s="331"/>
      <c r="KH34" s="331"/>
      <c r="KI34" s="331"/>
      <c r="KJ34" s="331"/>
      <c r="KK34" s="331"/>
      <c r="KL34" s="331"/>
      <c r="KM34" s="331"/>
      <c r="KN34" s="331"/>
      <c r="KO34" s="331"/>
      <c r="KP34" s="331"/>
      <c r="KQ34" s="331"/>
      <c r="KR34" s="331"/>
      <c r="KS34" s="331"/>
      <c r="KT34" s="331"/>
      <c r="KU34" s="331"/>
      <c r="KV34" s="331"/>
      <c r="KW34" s="331"/>
      <c r="KX34" s="331"/>
      <c r="KY34" s="331"/>
      <c r="KZ34" s="331"/>
      <c r="LA34" s="331"/>
      <c r="LB34" s="331"/>
      <c r="LC34" s="331"/>
      <c r="LD34" s="331"/>
      <c r="LE34" s="331"/>
      <c r="LF34" s="331"/>
      <c r="LG34" s="331"/>
      <c r="LH34" s="331"/>
      <c r="LI34" s="331"/>
      <c r="LJ34" s="331"/>
      <c r="LK34" s="331"/>
      <c r="LL34" s="331"/>
      <c r="LM34" s="331"/>
      <c r="LN34" s="331"/>
      <c r="LO34" s="331"/>
      <c r="LP34" s="331"/>
      <c r="LQ34" s="331"/>
      <c r="LR34" s="331"/>
      <c r="LS34" s="331"/>
      <c r="LT34" s="331"/>
      <c r="LU34" s="331"/>
      <c r="LV34" s="331"/>
      <c r="LW34" s="331"/>
      <c r="LX34" s="331"/>
      <c r="LY34" s="331"/>
      <c r="LZ34" s="331"/>
      <c r="MA34" s="331"/>
      <c r="MB34" s="331"/>
      <c r="MC34" s="331"/>
      <c r="MD34" s="331"/>
      <c r="ME34" s="331"/>
      <c r="MF34" s="331"/>
      <c r="MG34" s="331"/>
      <c r="MH34" s="331"/>
      <c r="MI34" s="331"/>
      <c r="MJ34" s="331"/>
      <c r="MK34" s="331"/>
      <c r="ML34" s="331"/>
      <c r="MM34" s="331"/>
      <c r="MN34" s="331"/>
      <c r="MO34" s="331"/>
      <c r="MP34" s="331"/>
      <c r="MQ34" s="331"/>
      <c r="MR34" s="331"/>
      <c r="MS34" s="331"/>
      <c r="MT34" s="331"/>
      <c r="MU34" s="331"/>
      <c r="MV34" s="331"/>
      <c r="MW34" s="331"/>
      <c r="MX34" s="331"/>
      <c r="MY34" s="331"/>
      <c r="MZ34" s="331"/>
      <c r="NA34" s="331"/>
      <c r="NB34" s="331"/>
      <c r="NC34" s="331"/>
      <c r="ND34" s="331"/>
      <c r="NE34" s="331"/>
      <c r="NF34" s="331"/>
      <c r="NG34" s="331"/>
      <c r="NH34" s="331"/>
      <c r="NI34" s="331"/>
      <c r="NJ34" s="331"/>
      <c r="NK34" s="331"/>
      <c r="NL34" s="331"/>
      <c r="NM34" s="331"/>
      <c r="NN34" s="331"/>
      <c r="NO34" s="331"/>
      <c r="NP34" s="331"/>
      <c r="NQ34" s="331"/>
      <c r="NR34" s="331"/>
      <c r="NS34" s="331"/>
      <c r="NT34" s="331"/>
      <c r="NU34" s="331"/>
      <c r="NV34" s="331"/>
      <c r="NW34" s="331"/>
      <c r="NX34" s="331"/>
      <c r="NY34" s="331"/>
      <c r="NZ34" s="331"/>
      <c r="OA34" s="331"/>
      <c r="OB34" s="331"/>
      <c r="OC34" s="331"/>
      <c r="OD34" s="331"/>
      <c r="OE34" s="331"/>
      <c r="OF34" s="331"/>
      <c r="OG34" s="331"/>
      <c r="OH34" s="331"/>
      <c r="OI34" s="331"/>
      <c r="OJ34" s="331"/>
      <c r="OK34" s="331"/>
      <c r="OL34" s="332">
        <f t="shared" si="0"/>
        <v>515231.10000000015</v>
      </c>
    </row>
    <row r="35" spans="1:402" ht="13.5" thickBot="1">
      <c r="A35" s="320" t="s">
        <v>404</v>
      </c>
      <c r="B35" s="320" t="s">
        <v>405</v>
      </c>
      <c r="C35" s="320" t="s">
        <v>406</v>
      </c>
      <c r="D35" s="328" t="s">
        <v>439</v>
      </c>
      <c r="E35" s="329">
        <v>0</v>
      </c>
      <c r="F35" s="329">
        <v>0</v>
      </c>
      <c r="G35" s="329">
        <v>0</v>
      </c>
      <c r="H35" s="329">
        <v>0</v>
      </c>
      <c r="I35" s="329">
        <v>0</v>
      </c>
      <c r="J35" s="329">
        <v>0</v>
      </c>
      <c r="K35" s="329">
        <v>0</v>
      </c>
      <c r="L35" s="331"/>
      <c r="M35" s="331"/>
      <c r="N35" s="331"/>
      <c r="O35" s="331"/>
      <c r="P35" s="331"/>
      <c r="Q35" s="329">
        <v>0</v>
      </c>
      <c r="R35" s="329">
        <v>0</v>
      </c>
      <c r="S35" s="329">
        <v>0</v>
      </c>
      <c r="T35" s="329">
        <v>0</v>
      </c>
      <c r="U35" s="329">
        <v>0</v>
      </c>
      <c r="V35" s="329">
        <v>0</v>
      </c>
      <c r="W35" s="329">
        <v>0</v>
      </c>
      <c r="X35" s="331"/>
      <c r="Y35" s="331"/>
      <c r="Z35" s="331"/>
      <c r="AA35" s="331"/>
      <c r="AB35" s="331"/>
      <c r="AC35" s="329">
        <v>0</v>
      </c>
      <c r="AD35" s="329">
        <v>0</v>
      </c>
      <c r="AE35" s="329">
        <v>0</v>
      </c>
      <c r="AF35" s="329">
        <v>0</v>
      </c>
      <c r="AG35" s="329">
        <v>0</v>
      </c>
      <c r="AH35" s="329">
        <v>0</v>
      </c>
      <c r="AI35" s="329">
        <v>0</v>
      </c>
      <c r="AJ35" s="331"/>
      <c r="AK35" s="331"/>
      <c r="AL35" s="331"/>
      <c r="AM35" s="331"/>
      <c r="AN35" s="331"/>
      <c r="AO35" s="330">
        <v>16969.52</v>
      </c>
      <c r="AP35" s="330">
        <v>16840.990000000002</v>
      </c>
      <c r="AQ35" s="330">
        <v>16471.91</v>
      </c>
      <c r="AR35" s="330">
        <v>15387.69</v>
      </c>
      <c r="AS35" s="330">
        <v>16153.86</v>
      </c>
      <c r="AT35" s="330">
        <v>16252.2</v>
      </c>
      <c r="AU35" s="330">
        <v>13602.33</v>
      </c>
      <c r="AV35" s="331"/>
      <c r="AW35" s="331"/>
      <c r="AX35" s="331"/>
      <c r="AY35" s="331"/>
      <c r="AZ35" s="331"/>
      <c r="BA35" s="329">
        <v>0</v>
      </c>
      <c r="BB35" s="329">
        <v>0</v>
      </c>
      <c r="BC35" s="329">
        <v>0</v>
      </c>
      <c r="BD35" s="329">
        <v>0</v>
      </c>
      <c r="BE35" s="329">
        <v>0</v>
      </c>
      <c r="BF35" s="329">
        <v>0</v>
      </c>
      <c r="BG35" s="329">
        <v>0</v>
      </c>
      <c r="BH35" s="331"/>
      <c r="BI35" s="331"/>
      <c r="BJ35" s="331"/>
      <c r="BK35" s="331"/>
      <c r="BL35" s="331"/>
      <c r="BM35" s="331"/>
      <c r="BN35" s="331"/>
      <c r="BO35" s="331"/>
      <c r="BP35" s="331"/>
      <c r="BQ35" s="331"/>
      <c r="BR35" s="331"/>
      <c r="BS35" s="331"/>
      <c r="BT35" s="331"/>
      <c r="BU35" s="331"/>
      <c r="BV35" s="331"/>
      <c r="BW35" s="331"/>
      <c r="BX35" s="331"/>
      <c r="BY35" s="329">
        <v>0</v>
      </c>
      <c r="BZ35" s="329">
        <v>0</v>
      </c>
      <c r="CA35" s="329">
        <v>0</v>
      </c>
      <c r="CB35" s="329">
        <v>0</v>
      </c>
      <c r="CC35" s="329">
        <v>0</v>
      </c>
      <c r="CD35" s="329">
        <v>0</v>
      </c>
      <c r="CE35" s="329">
        <v>0</v>
      </c>
      <c r="CF35" s="331"/>
      <c r="CG35" s="331"/>
      <c r="CH35" s="331"/>
      <c r="CI35" s="331"/>
      <c r="CJ35" s="331"/>
      <c r="CK35" s="329">
        <v>0</v>
      </c>
      <c r="CL35" s="329">
        <v>0</v>
      </c>
      <c r="CM35" s="329">
        <v>0</v>
      </c>
      <c r="CN35" s="329">
        <v>0</v>
      </c>
      <c r="CO35" s="329">
        <v>0</v>
      </c>
      <c r="CP35" s="329">
        <v>0</v>
      </c>
      <c r="CQ35" s="329">
        <v>0</v>
      </c>
      <c r="CR35" s="331"/>
      <c r="CS35" s="331"/>
      <c r="CT35" s="331"/>
      <c r="CU35" s="331"/>
      <c r="CV35" s="331"/>
      <c r="CW35" s="329">
        <v>0</v>
      </c>
      <c r="CX35" s="329">
        <v>0</v>
      </c>
      <c r="CY35" s="329">
        <v>0</v>
      </c>
      <c r="CZ35" s="329">
        <v>0</v>
      </c>
      <c r="DA35" s="329">
        <v>0</v>
      </c>
      <c r="DB35" s="329">
        <v>0</v>
      </c>
      <c r="DC35" s="329">
        <v>0</v>
      </c>
      <c r="DD35" s="331"/>
      <c r="DE35" s="331"/>
      <c r="DF35" s="331"/>
      <c r="DG35" s="331"/>
      <c r="DH35" s="331"/>
      <c r="DI35" s="331"/>
      <c r="DJ35" s="331"/>
      <c r="DK35" s="331"/>
      <c r="DL35" s="331"/>
      <c r="DM35" s="331"/>
      <c r="DN35" s="331"/>
      <c r="DO35" s="331"/>
      <c r="DP35" s="331"/>
      <c r="DQ35" s="331"/>
      <c r="DR35" s="331"/>
      <c r="DS35" s="331"/>
      <c r="DT35" s="331"/>
      <c r="DU35" s="330">
        <v>235.77</v>
      </c>
      <c r="DV35" s="330">
        <v>233.97</v>
      </c>
      <c r="DW35" s="330">
        <v>228.8</v>
      </c>
      <c r="DX35" s="330">
        <v>213.62</v>
      </c>
      <c r="DY35" s="330">
        <v>224.35</v>
      </c>
      <c r="DZ35" s="330">
        <v>225.72</v>
      </c>
      <c r="EA35" s="330">
        <v>188.61</v>
      </c>
      <c r="EB35" s="331"/>
      <c r="EC35" s="331"/>
      <c r="ED35" s="331"/>
      <c r="EE35" s="331"/>
      <c r="EF35" s="331"/>
      <c r="EG35" s="329">
        <v>0</v>
      </c>
      <c r="EH35" s="329">
        <v>0</v>
      </c>
      <c r="EI35" s="329">
        <v>0</v>
      </c>
      <c r="EJ35" s="329">
        <v>0</v>
      </c>
      <c r="EK35" s="329">
        <v>0</v>
      </c>
      <c r="EL35" s="329">
        <v>0</v>
      </c>
      <c r="EM35" s="329">
        <v>0</v>
      </c>
      <c r="EN35" s="331"/>
      <c r="EO35" s="331"/>
      <c r="EP35" s="331"/>
      <c r="EQ35" s="331"/>
      <c r="ER35" s="331"/>
      <c r="ES35" s="331"/>
      <c r="ET35" s="331"/>
      <c r="EU35" s="331"/>
      <c r="EV35" s="331"/>
      <c r="EW35" s="331"/>
      <c r="EX35" s="331"/>
      <c r="EY35" s="331"/>
      <c r="EZ35" s="331"/>
      <c r="FA35" s="331"/>
      <c r="FB35" s="331"/>
      <c r="FC35" s="331"/>
      <c r="FD35" s="331"/>
      <c r="FE35" s="329">
        <v>0</v>
      </c>
      <c r="FF35" s="329">
        <v>0</v>
      </c>
      <c r="FG35" s="329">
        <v>0</v>
      </c>
      <c r="FH35" s="329">
        <v>0</v>
      </c>
      <c r="FI35" s="329">
        <v>0</v>
      </c>
      <c r="FJ35" s="329">
        <v>0</v>
      </c>
      <c r="FK35" s="329">
        <v>0</v>
      </c>
      <c r="FL35" s="331"/>
      <c r="FM35" s="331"/>
      <c r="FN35" s="331"/>
      <c r="FO35" s="331"/>
      <c r="FP35" s="331"/>
      <c r="FQ35" s="329">
        <v>0</v>
      </c>
      <c r="FR35" s="329">
        <v>0</v>
      </c>
      <c r="FS35" s="329">
        <v>0</v>
      </c>
      <c r="FT35" s="329">
        <v>0</v>
      </c>
      <c r="FU35" s="329">
        <v>0</v>
      </c>
      <c r="FV35" s="329">
        <v>0</v>
      </c>
      <c r="FW35" s="329">
        <v>0</v>
      </c>
      <c r="FX35" s="331"/>
      <c r="FY35" s="331"/>
      <c r="FZ35" s="331"/>
      <c r="GA35" s="331"/>
      <c r="GB35" s="331"/>
      <c r="GC35" s="330">
        <v>37388.9</v>
      </c>
      <c r="GD35" s="330">
        <v>37366.120000000003</v>
      </c>
      <c r="GE35" s="330">
        <v>37300.720000000001</v>
      </c>
      <c r="GF35" s="330">
        <v>36444.300000000003</v>
      </c>
      <c r="GG35" s="330">
        <v>36580.06</v>
      </c>
      <c r="GH35" s="330">
        <v>33122.43</v>
      </c>
      <c r="GI35" s="330">
        <v>32652.9</v>
      </c>
      <c r="GJ35" s="331"/>
      <c r="GK35" s="331"/>
      <c r="GL35" s="331"/>
      <c r="GM35" s="331"/>
      <c r="GN35" s="331"/>
      <c r="GO35" s="331"/>
      <c r="GP35" s="331"/>
      <c r="GQ35" s="331"/>
      <c r="GR35" s="331"/>
      <c r="GS35" s="331"/>
      <c r="GT35" s="331"/>
      <c r="GU35" s="331"/>
      <c r="GV35" s="331"/>
      <c r="GW35" s="331"/>
      <c r="GX35" s="331"/>
      <c r="GY35" s="331"/>
      <c r="GZ35" s="331"/>
      <c r="HA35" s="330">
        <v>739.91</v>
      </c>
      <c r="HB35" s="330">
        <v>732.56</v>
      </c>
      <c r="HC35" s="330">
        <v>813.35</v>
      </c>
      <c r="HD35" s="330">
        <v>794.99</v>
      </c>
      <c r="HE35" s="330">
        <v>706.86</v>
      </c>
      <c r="HF35" s="330">
        <v>1268.42</v>
      </c>
      <c r="HG35" s="330">
        <v>918.4</v>
      </c>
      <c r="HH35" s="331"/>
      <c r="HI35" s="331"/>
      <c r="HJ35" s="331"/>
      <c r="HK35" s="331"/>
      <c r="HL35" s="331"/>
      <c r="HM35" s="331"/>
      <c r="HN35" s="331"/>
      <c r="HO35" s="331"/>
      <c r="HP35" s="331"/>
      <c r="HQ35" s="331"/>
      <c r="HR35" s="331"/>
      <c r="HS35" s="331"/>
      <c r="HT35" s="331"/>
      <c r="HU35" s="331"/>
      <c r="HV35" s="331"/>
      <c r="HW35" s="331"/>
      <c r="HX35" s="331"/>
      <c r="HY35" s="329">
        <v>0</v>
      </c>
      <c r="HZ35" s="329">
        <v>0</v>
      </c>
      <c r="IA35" s="329">
        <v>0</v>
      </c>
      <c r="IB35" s="329">
        <v>0</v>
      </c>
      <c r="IC35" s="329">
        <v>0</v>
      </c>
      <c r="ID35" s="329">
        <v>0</v>
      </c>
      <c r="IE35" s="329">
        <v>0</v>
      </c>
      <c r="IF35" s="331"/>
      <c r="IG35" s="331"/>
      <c r="IH35" s="331"/>
      <c r="II35" s="331"/>
      <c r="IJ35" s="331"/>
      <c r="IK35" s="331"/>
      <c r="IL35" s="331"/>
      <c r="IM35" s="331"/>
      <c r="IN35" s="331"/>
      <c r="IO35" s="331"/>
      <c r="IP35" s="331"/>
      <c r="IQ35" s="331"/>
      <c r="IR35" s="331"/>
      <c r="IS35" s="331"/>
      <c r="IT35" s="331"/>
      <c r="IU35" s="331"/>
      <c r="IV35" s="331"/>
      <c r="IW35" s="331"/>
      <c r="IX35" s="331"/>
      <c r="IY35" s="331"/>
      <c r="IZ35" s="331"/>
      <c r="JA35" s="331"/>
      <c r="JB35" s="331"/>
      <c r="JC35" s="331"/>
      <c r="JD35" s="331"/>
      <c r="JE35" s="331"/>
      <c r="JF35" s="331"/>
      <c r="JG35" s="331"/>
      <c r="JH35" s="331"/>
      <c r="JI35" s="331"/>
      <c r="JJ35" s="331"/>
      <c r="JK35" s="331"/>
      <c r="JL35" s="331"/>
      <c r="JM35" s="331"/>
      <c r="JN35" s="331"/>
      <c r="JO35" s="331"/>
      <c r="JP35" s="331"/>
      <c r="JQ35" s="331"/>
      <c r="JR35" s="331"/>
      <c r="JS35" s="331"/>
      <c r="JT35" s="331"/>
      <c r="JU35" s="331"/>
      <c r="JV35" s="331"/>
      <c r="JW35" s="331"/>
      <c r="JX35" s="331"/>
      <c r="JY35" s="331"/>
      <c r="JZ35" s="331"/>
      <c r="KA35" s="331"/>
      <c r="KB35" s="331"/>
      <c r="KC35" s="331"/>
      <c r="KD35" s="331"/>
      <c r="KE35" s="331"/>
      <c r="KF35" s="331"/>
      <c r="KG35" s="331"/>
      <c r="KH35" s="331"/>
      <c r="KI35" s="331"/>
      <c r="KJ35" s="331"/>
      <c r="KK35" s="331"/>
      <c r="KL35" s="331"/>
      <c r="KM35" s="331"/>
      <c r="KN35" s="331"/>
      <c r="KO35" s="331"/>
      <c r="KP35" s="331"/>
      <c r="KQ35" s="331"/>
      <c r="KR35" s="331"/>
      <c r="KS35" s="331"/>
      <c r="KT35" s="331"/>
      <c r="KU35" s="331"/>
      <c r="KV35" s="331"/>
      <c r="KW35" s="331"/>
      <c r="KX35" s="331"/>
      <c r="KY35" s="331"/>
      <c r="KZ35" s="331"/>
      <c r="LA35" s="331"/>
      <c r="LB35" s="331"/>
      <c r="LC35" s="331"/>
      <c r="LD35" s="331"/>
      <c r="LE35" s="331"/>
      <c r="LF35" s="331"/>
      <c r="LG35" s="331"/>
      <c r="LH35" s="331"/>
      <c r="LI35" s="331"/>
      <c r="LJ35" s="331"/>
      <c r="LK35" s="331"/>
      <c r="LL35" s="331"/>
      <c r="LM35" s="331"/>
      <c r="LN35" s="331"/>
      <c r="LO35" s="331"/>
      <c r="LP35" s="331"/>
      <c r="LQ35" s="331"/>
      <c r="LR35" s="331"/>
      <c r="LS35" s="331"/>
      <c r="LT35" s="331"/>
      <c r="LU35" s="331"/>
      <c r="LV35" s="331"/>
      <c r="LW35" s="331"/>
      <c r="LX35" s="331"/>
      <c r="LY35" s="331"/>
      <c r="LZ35" s="331"/>
      <c r="MA35" s="331"/>
      <c r="MB35" s="331"/>
      <c r="MC35" s="331"/>
      <c r="MD35" s="331"/>
      <c r="ME35" s="331"/>
      <c r="MF35" s="331"/>
      <c r="MG35" s="331"/>
      <c r="MH35" s="331"/>
      <c r="MI35" s="331"/>
      <c r="MJ35" s="331"/>
      <c r="MK35" s="331"/>
      <c r="ML35" s="331"/>
      <c r="MM35" s="331"/>
      <c r="MN35" s="331"/>
      <c r="MO35" s="331"/>
      <c r="MP35" s="331"/>
      <c r="MQ35" s="331"/>
      <c r="MR35" s="331"/>
      <c r="MS35" s="331"/>
      <c r="MT35" s="331"/>
      <c r="MU35" s="331"/>
      <c r="MV35" s="331"/>
      <c r="MW35" s="331"/>
      <c r="MX35" s="331"/>
      <c r="MY35" s="331"/>
      <c r="MZ35" s="331"/>
      <c r="NA35" s="331"/>
      <c r="NB35" s="331"/>
      <c r="NC35" s="331"/>
      <c r="ND35" s="331"/>
      <c r="NE35" s="331"/>
      <c r="NF35" s="331"/>
      <c r="NG35" s="331"/>
      <c r="NH35" s="331"/>
      <c r="NI35" s="331"/>
      <c r="NJ35" s="331"/>
      <c r="NK35" s="331"/>
      <c r="NL35" s="331"/>
      <c r="NM35" s="331"/>
      <c r="NN35" s="331"/>
      <c r="NO35" s="331"/>
      <c r="NP35" s="331"/>
      <c r="NQ35" s="331"/>
      <c r="NR35" s="331"/>
      <c r="NS35" s="331"/>
      <c r="NT35" s="331"/>
      <c r="NU35" s="331"/>
      <c r="NV35" s="331"/>
      <c r="NW35" s="331"/>
      <c r="NX35" s="331"/>
      <c r="NY35" s="331"/>
      <c r="NZ35" s="331"/>
      <c r="OA35" s="331"/>
      <c r="OB35" s="331"/>
      <c r="OC35" s="331"/>
      <c r="OD35" s="331"/>
      <c r="OE35" s="331"/>
      <c r="OF35" s="331"/>
      <c r="OG35" s="331"/>
      <c r="OH35" s="331"/>
      <c r="OI35" s="331"/>
      <c r="OJ35" s="331"/>
      <c r="OK35" s="331"/>
      <c r="OL35" s="332">
        <f t="shared" ref="OL35:OL66" si="1">SUM(E35:OK35)</f>
        <v>370059.25999999995</v>
      </c>
    </row>
    <row r="36" spans="1:402" ht="13.5" thickBot="1">
      <c r="A36" s="320" t="s">
        <v>404</v>
      </c>
      <c r="B36" s="320" t="s">
        <v>405</v>
      </c>
      <c r="C36" s="320" t="s">
        <v>406</v>
      </c>
      <c r="D36" s="328" t="s">
        <v>440</v>
      </c>
      <c r="E36" s="329">
        <v>0</v>
      </c>
      <c r="F36" s="331"/>
      <c r="G36" s="331"/>
      <c r="H36" s="331"/>
      <c r="I36" s="331"/>
      <c r="J36" s="331"/>
      <c r="K36" s="331"/>
      <c r="L36" s="331"/>
      <c r="M36" s="331"/>
      <c r="N36" s="331"/>
      <c r="O36" s="331"/>
      <c r="P36" s="331"/>
      <c r="Q36" s="329">
        <v>0</v>
      </c>
      <c r="R36" s="331"/>
      <c r="S36" s="331"/>
      <c r="T36" s="331"/>
      <c r="U36" s="331"/>
      <c r="V36" s="331"/>
      <c r="W36" s="331"/>
      <c r="X36" s="331"/>
      <c r="Y36" s="331"/>
      <c r="Z36" s="331"/>
      <c r="AA36" s="331"/>
      <c r="AB36" s="331"/>
      <c r="AC36" s="329">
        <v>0</v>
      </c>
      <c r="AD36" s="331"/>
      <c r="AE36" s="331"/>
      <c r="AF36" s="331"/>
      <c r="AG36" s="331"/>
      <c r="AH36" s="331"/>
      <c r="AI36" s="331"/>
      <c r="AJ36" s="331"/>
      <c r="AK36" s="331"/>
      <c r="AL36" s="331"/>
      <c r="AM36" s="331"/>
      <c r="AN36" s="331"/>
      <c r="AO36" s="330">
        <v>660.76</v>
      </c>
      <c r="AP36" s="331"/>
      <c r="AQ36" s="331"/>
      <c r="AR36" s="331"/>
      <c r="AS36" s="331"/>
      <c r="AT36" s="331"/>
      <c r="AU36" s="331"/>
      <c r="AV36" s="331"/>
      <c r="AW36" s="331"/>
      <c r="AX36" s="331"/>
      <c r="AY36" s="331"/>
      <c r="AZ36" s="331"/>
      <c r="BA36" s="329">
        <v>0</v>
      </c>
      <c r="BB36" s="331"/>
      <c r="BC36" s="331"/>
      <c r="BD36" s="331"/>
      <c r="BE36" s="331"/>
      <c r="BF36" s="331"/>
      <c r="BG36" s="331"/>
      <c r="BH36" s="331"/>
      <c r="BI36" s="331"/>
      <c r="BJ36" s="331"/>
      <c r="BK36" s="331"/>
      <c r="BL36" s="331"/>
      <c r="BM36" s="331"/>
      <c r="BN36" s="331"/>
      <c r="BO36" s="331"/>
      <c r="BP36" s="331"/>
      <c r="BQ36" s="331"/>
      <c r="BR36" s="331"/>
      <c r="BS36" s="331"/>
      <c r="BT36" s="331"/>
      <c r="BU36" s="331"/>
      <c r="BV36" s="331"/>
      <c r="BW36" s="331"/>
      <c r="BX36" s="331"/>
      <c r="BY36" s="329">
        <v>0</v>
      </c>
      <c r="BZ36" s="331"/>
      <c r="CA36" s="331"/>
      <c r="CB36" s="331"/>
      <c r="CC36" s="331"/>
      <c r="CD36" s="331"/>
      <c r="CE36" s="331"/>
      <c r="CF36" s="331"/>
      <c r="CG36" s="331"/>
      <c r="CH36" s="331"/>
      <c r="CI36" s="331"/>
      <c r="CJ36" s="331"/>
      <c r="CK36" s="329">
        <v>0</v>
      </c>
      <c r="CL36" s="331"/>
      <c r="CM36" s="331"/>
      <c r="CN36" s="331"/>
      <c r="CO36" s="331"/>
      <c r="CP36" s="331"/>
      <c r="CQ36" s="331"/>
      <c r="CR36" s="331"/>
      <c r="CS36" s="331"/>
      <c r="CT36" s="331"/>
      <c r="CU36" s="331"/>
      <c r="CV36" s="331"/>
      <c r="CW36" s="329">
        <v>0</v>
      </c>
      <c r="CX36" s="331"/>
      <c r="CY36" s="331"/>
      <c r="CZ36" s="331"/>
      <c r="DA36" s="331"/>
      <c r="DB36" s="331"/>
      <c r="DC36" s="331"/>
      <c r="DD36" s="331"/>
      <c r="DE36" s="331"/>
      <c r="DF36" s="331"/>
      <c r="DG36" s="331"/>
      <c r="DH36" s="331"/>
      <c r="DI36" s="331"/>
      <c r="DJ36" s="331"/>
      <c r="DK36" s="331"/>
      <c r="DL36" s="331"/>
      <c r="DM36" s="331"/>
      <c r="DN36" s="331"/>
      <c r="DO36" s="331"/>
      <c r="DP36" s="331"/>
      <c r="DQ36" s="331"/>
      <c r="DR36" s="331"/>
      <c r="DS36" s="331"/>
      <c r="DT36" s="331"/>
      <c r="DU36" s="330">
        <v>7.89</v>
      </c>
      <c r="DV36" s="331"/>
      <c r="DW36" s="331"/>
      <c r="DX36" s="331"/>
      <c r="DY36" s="331"/>
      <c r="DZ36" s="331"/>
      <c r="EA36" s="331"/>
      <c r="EB36" s="331"/>
      <c r="EC36" s="331"/>
      <c r="ED36" s="331"/>
      <c r="EE36" s="331"/>
      <c r="EF36" s="331"/>
      <c r="EG36" s="329">
        <v>0</v>
      </c>
      <c r="EH36" s="331"/>
      <c r="EI36" s="331"/>
      <c r="EJ36" s="331"/>
      <c r="EK36" s="331"/>
      <c r="EL36" s="331"/>
      <c r="EM36" s="331"/>
      <c r="EN36" s="331"/>
      <c r="EO36" s="331"/>
      <c r="EP36" s="331"/>
      <c r="EQ36" s="331"/>
      <c r="ER36" s="331"/>
      <c r="ES36" s="331"/>
      <c r="ET36" s="331"/>
      <c r="EU36" s="331"/>
      <c r="EV36" s="331"/>
      <c r="EW36" s="331"/>
      <c r="EX36" s="331"/>
      <c r="EY36" s="331"/>
      <c r="EZ36" s="331"/>
      <c r="FA36" s="331"/>
      <c r="FB36" s="331"/>
      <c r="FC36" s="331"/>
      <c r="FD36" s="331"/>
      <c r="FE36" s="329">
        <v>0</v>
      </c>
      <c r="FF36" s="331"/>
      <c r="FG36" s="331"/>
      <c r="FH36" s="331"/>
      <c r="FI36" s="331"/>
      <c r="FJ36" s="331"/>
      <c r="FK36" s="331"/>
      <c r="FL36" s="331"/>
      <c r="FM36" s="331"/>
      <c r="FN36" s="331"/>
      <c r="FO36" s="331"/>
      <c r="FP36" s="331"/>
      <c r="FQ36" s="329">
        <v>0</v>
      </c>
      <c r="FR36" s="331"/>
      <c r="FS36" s="331"/>
      <c r="FT36" s="331"/>
      <c r="FU36" s="331"/>
      <c r="FV36" s="331"/>
      <c r="FW36" s="331"/>
      <c r="FX36" s="331"/>
      <c r="FY36" s="331"/>
      <c r="FZ36" s="331"/>
      <c r="GA36" s="331"/>
      <c r="GB36" s="331"/>
      <c r="GC36" s="330">
        <v>890.14</v>
      </c>
      <c r="GD36" s="331"/>
      <c r="GE36" s="331"/>
      <c r="GF36" s="331"/>
      <c r="GG36" s="331"/>
      <c r="GH36" s="331"/>
      <c r="GI36" s="331"/>
      <c r="GJ36" s="331"/>
      <c r="GK36" s="331"/>
      <c r="GL36" s="331"/>
      <c r="GM36" s="331"/>
      <c r="GN36" s="331"/>
      <c r="GO36" s="331"/>
      <c r="GP36" s="331"/>
      <c r="GQ36" s="331"/>
      <c r="GR36" s="331"/>
      <c r="GS36" s="331"/>
      <c r="GT36" s="331"/>
      <c r="GU36" s="331"/>
      <c r="GV36" s="331"/>
      <c r="GW36" s="331"/>
      <c r="GX36" s="331"/>
      <c r="GY36" s="331"/>
      <c r="GZ36" s="331"/>
      <c r="HA36" s="330">
        <v>20.68</v>
      </c>
      <c r="HB36" s="331"/>
      <c r="HC36" s="331"/>
      <c r="HD36" s="331"/>
      <c r="HE36" s="331"/>
      <c r="HF36" s="331"/>
      <c r="HG36" s="331"/>
      <c r="HH36" s="331"/>
      <c r="HI36" s="331"/>
      <c r="HJ36" s="331"/>
      <c r="HK36" s="331"/>
      <c r="HL36" s="331"/>
      <c r="HM36" s="331"/>
      <c r="HN36" s="331"/>
      <c r="HO36" s="331"/>
      <c r="HP36" s="331"/>
      <c r="HQ36" s="331"/>
      <c r="HR36" s="331"/>
      <c r="HS36" s="331"/>
      <c r="HT36" s="331"/>
      <c r="HU36" s="331"/>
      <c r="HV36" s="331"/>
      <c r="HW36" s="331"/>
      <c r="HX36" s="331"/>
      <c r="HY36" s="329">
        <v>0</v>
      </c>
      <c r="HZ36" s="331"/>
      <c r="IA36" s="331"/>
      <c r="IB36" s="331"/>
      <c r="IC36" s="331"/>
      <c r="ID36" s="331"/>
      <c r="IE36" s="331"/>
      <c r="IF36" s="331"/>
      <c r="IG36" s="331"/>
      <c r="IH36" s="331"/>
      <c r="II36" s="331"/>
      <c r="IJ36" s="331"/>
      <c r="IK36" s="331"/>
      <c r="IL36" s="331"/>
      <c r="IM36" s="331"/>
      <c r="IN36" s="331"/>
      <c r="IO36" s="331"/>
      <c r="IP36" s="331"/>
      <c r="IQ36" s="331"/>
      <c r="IR36" s="331"/>
      <c r="IS36" s="331"/>
      <c r="IT36" s="331"/>
      <c r="IU36" s="331"/>
      <c r="IV36" s="331"/>
      <c r="IW36" s="331"/>
      <c r="IX36" s="331"/>
      <c r="IY36" s="331"/>
      <c r="IZ36" s="331"/>
      <c r="JA36" s="331"/>
      <c r="JB36" s="331"/>
      <c r="JC36" s="331"/>
      <c r="JD36" s="331"/>
      <c r="JE36" s="331"/>
      <c r="JF36" s="331"/>
      <c r="JG36" s="331"/>
      <c r="JH36" s="331"/>
      <c r="JI36" s="331"/>
      <c r="JJ36" s="331"/>
      <c r="JK36" s="331"/>
      <c r="JL36" s="331"/>
      <c r="JM36" s="331"/>
      <c r="JN36" s="331"/>
      <c r="JO36" s="331"/>
      <c r="JP36" s="331"/>
      <c r="JQ36" s="331"/>
      <c r="JR36" s="331"/>
      <c r="JS36" s="331"/>
      <c r="JT36" s="331"/>
      <c r="JU36" s="331"/>
      <c r="JV36" s="331"/>
      <c r="JW36" s="331"/>
      <c r="JX36" s="331"/>
      <c r="JY36" s="331"/>
      <c r="JZ36" s="331"/>
      <c r="KA36" s="331"/>
      <c r="KB36" s="331"/>
      <c r="KC36" s="331"/>
      <c r="KD36" s="331"/>
      <c r="KE36" s="331"/>
      <c r="KF36" s="331"/>
      <c r="KG36" s="331"/>
      <c r="KH36" s="331"/>
      <c r="KI36" s="331"/>
      <c r="KJ36" s="331"/>
      <c r="KK36" s="331"/>
      <c r="KL36" s="331"/>
      <c r="KM36" s="331"/>
      <c r="KN36" s="331"/>
      <c r="KO36" s="331"/>
      <c r="KP36" s="331"/>
      <c r="KQ36" s="331"/>
      <c r="KR36" s="331"/>
      <c r="KS36" s="331"/>
      <c r="KT36" s="331"/>
      <c r="KU36" s="331"/>
      <c r="KV36" s="331"/>
      <c r="KW36" s="331"/>
      <c r="KX36" s="331"/>
      <c r="KY36" s="331"/>
      <c r="KZ36" s="331"/>
      <c r="LA36" s="331"/>
      <c r="LB36" s="331"/>
      <c r="LC36" s="331"/>
      <c r="LD36" s="331"/>
      <c r="LE36" s="331"/>
      <c r="LF36" s="331"/>
      <c r="LG36" s="331"/>
      <c r="LH36" s="331"/>
      <c r="LI36" s="331"/>
      <c r="LJ36" s="331"/>
      <c r="LK36" s="331"/>
      <c r="LL36" s="331"/>
      <c r="LM36" s="331"/>
      <c r="LN36" s="331"/>
      <c r="LO36" s="331"/>
      <c r="LP36" s="331"/>
      <c r="LQ36" s="331"/>
      <c r="LR36" s="331"/>
      <c r="LS36" s="331"/>
      <c r="LT36" s="331"/>
      <c r="LU36" s="331"/>
      <c r="LV36" s="331"/>
      <c r="LW36" s="331"/>
      <c r="LX36" s="331"/>
      <c r="LY36" s="331"/>
      <c r="LZ36" s="331"/>
      <c r="MA36" s="331"/>
      <c r="MB36" s="331"/>
      <c r="MC36" s="331"/>
      <c r="MD36" s="331"/>
      <c r="ME36" s="331"/>
      <c r="MF36" s="331"/>
      <c r="MG36" s="331"/>
      <c r="MH36" s="331"/>
      <c r="MI36" s="331"/>
      <c r="MJ36" s="331"/>
      <c r="MK36" s="331"/>
      <c r="ML36" s="331"/>
      <c r="MM36" s="331"/>
      <c r="MN36" s="331"/>
      <c r="MO36" s="331"/>
      <c r="MP36" s="331"/>
      <c r="MQ36" s="331"/>
      <c r="MR36" s="331"/>
      <c r="MS36" s="331"/>
      <c r="MT36" s="331"/>
      <c r="MU36" s="331"/>
      <c r="MV36" s="331"/>
      <c r="MW36" s="331"/>
      <c r="MX36" s="331"/>
      <c r="MY36" s="331"/>
      <c r="MZ36" s="331"/>
      <c r="NA36" s="331"/>
      <c r="NB36" s="331"/>
      <c r="NC36" s="331"/>
      <c r="ND36" s="331"/>
      <c r="NE36" s="331"/>
      <c r="NF36" s="331"/>
      <c r="NG36" s="331"/>
      <c r="NH36" s="331"/>
      <c r="NI36" s="331"/>
      <c r="NJ36" s="331"/>
      <c r="NK36" s="331"/>
      <c r="NL36" s="331"/>
      <c r="NM36" s="331"/>
      <c r="NN36" s="331"/>
      <c r="NO36" s="331"/>
      <c r="NP36" s="331"/>
      <c r="NQ36" s="331"/>
      <c r="NR36" s="331"/>
      <c r="NS36" s="331"/>
      <c r="NT36" s="331"/>
      <c r="NU36" s="331"/>
      <c r="NV36" s="331"/>
      <c r="NW36" s="331"/>
      <c r="NX36" s="331"/>
      <c r="NY36" s="331"/>
      <c r="NZ36" s="331"/>
      <c r="OA36" s="331"/>
      <c r="OB36" s="331"/>
      <c r="OC36" s="331"/>
      <c r="OD36" s="331"/>
      <c r="OE36" s="331"/>
      <c r="OF36" s="331"/>
      <c r="OG36" s="331"/>
      <c r="OH36" s="331"/>
      <c r="OI36" s="331"/>
      <c r="OJ36" s="331"/>
      <c r="OK36" s="331"/>
      <c r="OL36" s="332">
        <f t="shared" si="1"/>
        <v>1579.47</v>
      </c>
    </row>
    <row r="37" spans="1:402" ht="13.5" thickBot="1">
      <c r="A37" s="320" t="s">
        <v>404</v>
      </c>
      <c r="B37" s="328" t="s">
        <v>441</v>
      </c>
      <c r="C37" s="328" t="s">
        <v>206</v>
      </c>
      <c r="D37" s="328" t="s">
        <v>442</v>
      </c>
      <c r="E37" s="329">
        <v>0</v>
      </c>
      <c r="F37" s="329">
        <v>0</v>
      </c>
      <c r="G37" s="329">
        <v>0</v>
      </c>
      <c r="H37" s="329">
        <v>0</v>
      </c>
      <c r="I37" s="329">
        <v>0</v>
      </c>
      <c r="J37" s="329">
        <v>0</v>
      </c>
      <c r="K37" s="329">
        <v>0</v>
      </c>
      <c r="L37" s="329">
        <v>0</v>
      </c>
      <c r="M37" s="329">
        <v>0</v>
      </c>
      <c r="N37" s="329">
        <v>0</v>
      </c>
      <c r="O37" s="329">
        <v>0</v>
      </c>
      <c r="P37" s="329">
        <v>0</v>
      </c>
      <c r="Q37" s="329">
        <v>0</v>
      </c>
      <c r="R37" s="329">
        <v>0</v>
      </c>
      <c r="S37" s="329">
        <v>0</v>
      </c>
      <c r="T37" s="329">
        <v>0</v>
      </c>
      <c r="U37" s="329">
        <v>0</v>
      </c>
      <c r="V37" s="329">
        <v>0</v>
      </c>
      <c r="W37" s="329">
        <v>0</v>
      </c>
      <c r="X37" s="329">
        <v>0</v>
      </c>
      <c r="Y37" s="329">
        <v>0</v>
      </c>
      <c r="Z37" s="329">
        <v>0</v>
      </c>
      <c r="AA37" s="329">
        <v>0</v>
      </c>
      <c r="AB37" s="329">
        <v>0</v>
      </c>
      <c r="AC37" s="329">
        <v>0</v>
      </c>
      <c r="AD37" s="329">
        <v>0</v>
      </c>
      <c r="AE37" s="329">
        <v>0</v>
      </c>
      <c r="AF37" s="329">
        <v>0</v>
      </c>
      <c r="AG37" s="329">
        <v>0</v>
      </c>
      <c r="AH37" s="329">
        <v>0</v>
      </c>
      <c r="AI37" s="329">
        <v>0</v>
      </c>
      <c r="AJ37" s="329">
        <v>0</v>
      </c>
      <c r="AK37" s="329">
        <v>0</v>
      </c>
      <c r="AL37" s="329">
        <v>0</v>
      </c>
      <c r="AM37" s="329">
        <v>0</v>
      </c>
      <c r="AN37" s="329">
        <v>0</v>
      </c>
      <c r="AO37" s="330">
        <v>14486.45</v>
      </c>
      <c r="AP37" s="330">
        <v>16266.83</v>
      </c>
      <c r="AQ37" s="330">
        <v>14855.22</v>
      </c>
      <c r="AR37" s="330">
        <v>16468.490000000002</v>
      </c>
      <c r="AS37" s="330">
        <v>14486.45</v>
      </c>
      <c r="AT37" s="330">
        <v>14486.45</v>
      </c>
      <c r="AU37" s="330">
        <v>14486.45</v>
      </c>
      <c r="AV37" s="330">
        <v>14486.45</v>
      </c>
      <c r="AW37" s="330">
        <v>15572.23</v>
      </c>
      <c r="AX37" s="330">
        <v>14486.45</v>
      </c>
      <c r="AY37" s="330">
        <v>15953.14</v>
      </c>
      <c r="AZ37" s="330">
        <v>15885.92</v>
      </c>
      <c r="BA37" s="331"/>
      <c r="BB37" s="331"/>
      <c r="BC37" s="331"/>
      <c r="BD37" s="331"/>
      <c r="BE37" s="331"/>
      <c r="BF37" s="331"/>
      <c r="BG37" s="331"/>
      <c r="BH37" s="331"/>
      <c r="BI37" s="331"/>
      <c r="BJ37" s="331"/>
      <c r="BK37" s="331"/>
      <c r="BL37" s="331"/>
      <c r="BM37" s="329">
        <v>0</v>
      </c>
      <c r="BN37" s="329">
        <v>0</v>
      </c>
      <c r="BO37" s="329">
        <v>0</v>
      </c>
      <c r="BP37" s="329">
        <v>0</v>
      </c>
      <c r="BQ37" s="329">
        <v>0</v>
      </c>
      <c r="BR37" s="329">
        <v>0</v>
      </c>
      <c r="BS37" s="329">
        <v>0</v>
      </c>
      <c r="BT37" s="329">
        <v>0</v>
      </c>
      <c r="BU37" s="329">
        <v>0</v>
      </c>
      <c r="BV37" s="329">
        <v>0</v>
      </c>
      <c r="BW37" s="329">
        <v>0</v>
      </c>
      <c r="BX37" s="329">
        <v>0</v>
      </c>
      <c r="BY37" s="329">
        <v>0</v>
      </c>
      <c r="BZ37" s="329">
        <v>0</v>
      </c>
      <c r="CA37" s="329">
        <v>0</v>
      </c>
      <c r="CB37" s="329">
        <v>0</v>
      </c>
      <c r="CC37" s="329">
        <v>0</v>
      </c>
      <c r="CD37" s="329">
        <v>0</v>
      </c>
      <c r="CE37" s="329">
        <v>0</v>
      </c>
      <c r="CF37" s="329">
        <v>0</v>
      </c>
      <c r="CG37" s="329">
        <v>0</v>
      </c>
      <c r="CH37" s="329">
        <v>0</v>
      </c>
      <c r="CI37" s="329">
        <v>0</v>
      </c>
      <c r="CJ37" s="329">
        <v>0</v>
      </c>
      <c r="CK37" s="331"/>
      <c r="CL37" s="331"/>
      <c r="CM37" s="331"/>
      <c r="CN37" s="331"/>
      <c r="CO37" s="331"/>
      <c r="CP37" s="331"/>
      <c r="CQ37" s="331"/>
      <c r="CR37" s="331"/>
      <c r="CS37" s="331"/>
      <c r="CT37" s="331"/>
      <c r="CU37" s="331"/>
      <c r="CV37" s="331"/>
      <c r="CW37" s="329">
        <v>0</v>
      </c>
      <c r="CX37" s="329">
        <v>0</v>
      </c>
      <c r="CY37" s="329">
        <v>0</v>
      </c>
      <c r="CZ37" s="329">
        <v>0</v>
      </c>
      <c r="DA37" s="329">
        <v>0</v>
      </c>
      <c r="DB37" s="329">
        <v>0</v>
      </c>
      <c r="DC37" s="329">
        <v>0</v>
      </c>
      <c r="DD37" s="329">
        <v>0</v>
      </c>
      <c r="DE37" s="329">
        <v>0</v>
      </c>
      <c r="DF37" s="329">
        <v>0</v>
      </c>
      <c r="DG37" s="329">
        <v>0</v>
      </c>
      <c r="DH37" s="329">
        <v>0</v>
      </c>
      <c r="DI37" s="330">
        <v>1027.69</v>
      </c>
      <c r="DJ37" s="330">
        <v>1155.17</v>
      </c>
      <c r="DK37" s="330">
        <v>1054.0899999999999</v>
      </c>
      <c r="DL37" s="330">
        <v>1169.6099999999999</v>
      </c>
      <c r="DM37" s="330">
        <v>1027.69</v>
      </c>
      <c r="DN37" s="330">
        <v>1027.69</v>
      </c>
      <c r="DO37" s="330">
        <v>1027.69</v>
      </c>
      <c r="DP37" s="330">
        <v>1027.69</v>
      </c>
      <c r="DQ37" s="330">
        <v>1105.43</v>
      </c>
      <c r="DR37" s="330">
        <v>1027.69</v>
      </c>
      <c r="DS37" s="330">
        <v>1132.71</v>
      </c>
      <c r="DT37" s="330">
        <v>1264.79</v>
      </c>
      <c r="DU37" s="329">
        <v>201</v>
      </c>
      <c r="DV37" s="330">
        <v>225.93</v>
      </c>
      <c r="DW37" s="330">
        <v>206.16</v>
      </c>
      <c r="DX37" s="330">
        <v>228.75</v>
      </c>
      <c r="DY37" s="329">
        <v>201</v>
      </c>
      <c r="DZ37" s="329">
        <v>201</v>
      </c>
      <c r="EA37" s="329">
        <v>201</v>
      </c>
      <c r="EB37" s="329">
        <v>201</v>
      </c>
      <c r="EC37" s="330">
        <v>216.2</v>
      </c>
      <c r="ED37" s="329">
        <v>201</v>
      </c>
      <c r="EE37" s="330">
        <v>221.54</v>
      </c>
      <c r="EF37" s="330">
        <v>220.59</v>
      </c>
      <c r="EG37" s="329">
        <v>0</v>
      </c>
      <c r="EH37" s="329">
        <v>0</v>
      </c>
      <c r="EI37" s="329">
        <v>0</v>
      </c>
      <c r="EJ37" s="329">
        <v>0</v>
      </c>
      <c r="EK37" s="329">
        <v>0</v>
      </c>
      <c r="EL37" s="329">
        <v>0</v>
      </c>
      <c r="EM37" s="329">
        <v>0</v>
      </c>
      <c r="EN37" s="329">
        <v>0</v>
      </c>
      <c r="EO37" s="329">
        <v>0</v>
      </c>
      <c r="EP37" s="329">
        <v>0</v>
      </c>
      <c r="EQ37" s="329">
        <v>0</v>
      </c>
      <c r="ER37" s="329">
        <v>0</v>
      </c>
      <c r="ES37" s="329">
        <v>0</v>
      </c>
      <c r="ET37" s="329">
        <v>0</v>
      </c>
      <c r="EU37" s="329">
        <v>0</v>
      </c>
      <c r="EV37" s="329">
        <v>0</v>
      </c>
      <c r="EW37" s="329">
        <v>0</v>
      </c>
      <c r="EX37" s="329">
        <v>0</v>
      </c>
      <c r="EY37" s="329">
        <v>0</v>
      </c>
      <c r="EZ37" s="329">
        <v>0</v>
      </c>
      <c r="FA37" s="329">
        <v>0</v>
      </c>
      <c r="FB37" s="329">
        <v>0</v>
      </c>
      <c r="FC37" s="329">
        <v>0</v>
      </c>
      <c r="FD37" s="329">
        <v>0</v>
      </c>
      <c r="FE37" s="331"/>
      <c r="FF37" s="331"/>
      <c r="FG37" s="331"/>
      <c r="FH37" s="331"/>
      <c r="FI37" s="331"/>
      <c r="FJ37" s="331"/>
      <c r="FK37" s="331"/>
      <c r="FL37" s="331"/>
      <c r="FM37" s="331"/>
      <c r="FN37" s="331"/>
      <c r="FO37" s="331"/>
      <c r="FP37" s="331"/>
      <c r="FQ37" s="329">
        <v>0</v>
      </c>
      <c r="FR37" s="329">
        <v>0</v>
      </c>
      <c r="FS37" s="329">
        <v>0</v>
      </c>
      <c r="FT37" s="329">
        <v>0</v>
      </c>
      <c r="FU37" s="329">
        <v>0</v>
      </c>
      <c r="FV37" s="329">
        <v>0</v>
      </c>
      <c r="FW37" s="329">
        <v>0</v>
      </c>
      <c r="FX37" s="329">
        <v>0</v>
      </c>
      <c r="FY37" s="329">
        <v>0</v>
      </c>
      <c r="FZ37" s="329">
        <v>0</v>
      </c>
      <c r="GA37" s="329">
        <v>0</v>
      </c>
      <c r="GB37" s="329">
        <v>0</v>
      </c>
      <c r="GC37" s="330">
        <v>12298.8</v>
      </c>
      <c r="GD37" s="330">
        <v>12614.27</v>
      </c>
      <c r="GE37" s="330">
        <v>12364.14</v>
      </c>
      <c r="GF37" s="330">
        <v>14905.78</v>
      </c>
      <c r="GG37" s="330">
        <v>14554.58</v>
      </c>
      <c r="GH37" s="330">
        <v>13317.51</v>
      </c>
      <c r="GI37" s="330">
        <v>13317.51</v>
      </c>
      <c r="GJ37" s="330">
        <v>13317.51</v>
      </c>
      <c r="GK37" s="330">
        <v>13509.9</v>
      </c>
      <c r="GL37" s="330">
        <v>13317.51</v>
      </c>
      <c r="GM37" s="330">
        <v>13577.39</v>
      </c>
      <c r="GN37" s="330">
        <v>14129.42</v>
      </c>
      <c r="GO37" s="330">
        <v>3663.61</v>
      </c>
      <c r="GP37" s="330">
        <v>4118.08</v>
      </c>
      <c r="GQ37" s="330">
        <v>3757.75</v>
      </c>
      <c r="GR37" s="330">
        <v>4169.5600000000004</v>
      </c>
      <c r="GS37" s="330">
        <v>3663.61</v>
      </c>
      <c r="GT37" s="330">
        <v>3578.29</v>
      </c>
      <c r="GU37" s="330">
        <v>3578.29</v>
      </c>
      <c r="GV37" s="330">
        <v>3578.29</v>
      </c>
      <c r="GW37" s="329">
        <v>3849</v>
      </c>
      <c r="GX37" s="330">
        <v>3578.29</v>
      </c>
      <c r="GY37" s="330">
        <v>3943.96</v>
      </c>
      <c r="GZ37" s="330">
        <v>3927.2</v>
      </c>
      <c r="HA37" s="330">
        <v>299.27</v>
      </c>
      <c r="HB37" s="330">
        <v>359.86</v>
      </c>
      <c r="HC37" s="330">
        <v>315.79000000000002</v>
      </c>
      <c r="HD37" s="330">
        <v>367.2</v>
      </c>
      <c r="HE37" s="330">
        <v>324.97000000000003</v>
      </c>
      <c r="HF37" s="330">
        <v>542.69000000000005</v>
      </c>
      <c r="HG37" s="330">
        <v>658.3</v>
      </c>
      <c r="HH37" s="330">
        <v>651.87</v>
      </c>
      <c r="HI37" s="330">
        <v>587.65</v>
      </c>
      <c r="HJ37" s="330">
        <v>629.4</v>
      </c>
      <c r="HK37" s="330">
        <v>635.82000000000005</v>
      </c>
      <c r="HL37" s="330">
        <v>664.72</v>
      </c>
      <c r="HM37" s="329">
        <v>0</v>
      </c>
      <c r="HN37" s="329">
        <v>0</v>
      </c>
      <c r="HO37" s="329">
        <v>0</v>
      </c>
      <c r="HP37" s="329">
        <v>0</v>
      </c>
      <c r="HQ37" s="329">
        <v>0</v>
      </c>
      <c r="HR37" s="329">
        <v>0</v>
      </c>
      <c r="HS37" s="329">
        <v>0</v>
      </c>
      <c r="HT37" s="329">
        <v>0</v>
      </c>
      <c r="HU37" s="329">
        <v>0</v>
      </c>
      <c r="HV37" s="329">
        <v>0</v>
      </c>
      <c r="HW37" s="329">
        <v>0</v>
      </c>
      <c r="HX37" s="329">
        <v>0</v>
      </c>
      <c r="HY37" s="331"/>
      <c r="HZ37" s="331"/>
      <c r="IA37" s="331"/>
      <c r="IB37" s="331"/>
      <c r="IC37" s="331"/>
      <c r="ID37" s="331"/>
      <c r="IE37" s="331"/>
      <c r="IF37" s="331"/>
      <c r="IG37" s="331"/>
      <c r="IH37" s="331"/>
      <c r="II37" s="331"/>
      <c r="IJ37" s="331"/>
      <c r="IK37" s="329">
        <v>0</v>
      </c>
      <c r="IL37" s="329">
        <v>0</v>
      </c>
      <c r="IM37" s="329">
        <v>0</v>
      </c>
      <c r="IN37" s="329">
        <v>0</v>
      </c>
      <c r="IO37" s="329">
        <v>0</v>
      </c>
      <c r="IP37" s="329">
        <v>0</v>
      </c>
      <c r="IQ37" s="329">
        <v>0</v>
      </c>
      <c r="IR37" s="329">
        <v>0</v>
      </c>
      <c r="IS37" s="329">
        <v>0</v>
      </c>
      <c r="IT37" s="329">
        <v>0</v>
      </c>
      <c r="IU37" s="329">
        <v>0</v>
      </c>
      <c r="IV37" s="329">
        <v>0</v>
      </c>
      <c r="IW37" s="329">
        <v>0</v>
      </c>
      <c r="IX37" s="329">
        <v>0</v>
      </c>
      <c r="IY37" s="329">
        <v>0</v>
      </c>
      <c r="IZ37" s="329">
        <v>0</v>
      </c>
      <c r="JA37" s="329">
        <v>0</v>
      </c>
      <c r="JB37" s="329">
        <v>0</v>
      </c>
      <c r="JC37" s="329">
        <v>0</v>
      </c>
      <c r="JD37" s="329">
        <v>0</v>
      </c>
      <c r="JE37" s="329">
        <v>0</v>
      </c>
      <c r="JF37" s="329">
        <v>0</v>
      </c>
      <c r="JG37" s="329">
        <v>0</v>
      </c>
      <c r="JH37" s="329">
        <v>0</v>
      </c>
      <c r="JI37" s="330">
        <v>601.82000000000005</v>
      </c>
      <c r="JJ37" s="330">
        <v>-67.930000000000007</v>
      </c>
      <c r="JK37" s="330">
        <v>-76.36</v>
      </c>
      <c r="JL37" s="330">
        <v>-69.680000000000007</v>
      </c>
      <c r="JM37" s="330">
        <v>-77.31</v>
      </c>
      <c r="JN37" s="330">
        <v>-67.930000000000007</v>
      </c>
      <c r="JO37" s="330">
        <v>-67.930000000000007</v>
      </c>
      <c r="JP37" s="330">
        <v>-67.930000000000007</v>
      </c>
      <c r="JQ37" s="330">
        <v>-67.930000000000007</v>
      </c>
      <c r="JR37" s="330">
        <v>-73.069999999999993</v>
      </c>
      <c r="JS37" s="330">
        <v>-67.930000000000007</v>
      </c>
      <c r="JT37" s="330">
        <v>-74.88</v>
      </c>
      <c r="JU37" s="330">
        <v>-65.239999999999995</v>
      </c>
      <c r="JV37" s="331"/>
      <c r="JW37" s="331"/>
      <c r="JX37" s="331"/>
      <c r="JY37" s="331"/>
      <c r="JZ37" s="331"/>
      <c r="KA37" s="331"/>
      <c r="KB37" s="331"/>
      <c r="KC37" s="331"/>
      <c r="KD37" s="331"/>
      <c r="KE37" s="331"/>
      <c r="KF37" s="331"/>
      <c r="KG37" s="331"/>
      <c r="KH37" s="331"/>
      <c r="KI37" s="331"/>
      <c r="KJ37" s="331"/>
      <c r="KK37" s="331"/>
      <c r="KL37" s="331"/>
      <c r="KM37" s="331"/>
      <c r="KN37" s="331"/>
      <c r="KO37" s="331"/>
      <c r="KP37" s="331"/>
      <c r="KQ37" s="331"/>
      <c r="KR37" s="331"/>
      <c r="KS37" s="331"/>
      <c r="KT37" s="329">
        <v>0</v>
      </c>
      <c r="KU37" s="329">
        <v>0</v>
      </c>
      <c r="KV37" s="329">
        <v>0</v>
      </c>
      <c r="KW37" s="329">
        <v>0</v>
      </c>
      <c r="KX37" s="329">
        <v>0</v>
      </c>
      <c r="KY37" s="329">
        <v>0</v>
      </c>
      <c r="KZ37" s="329">
        <v>0</v>
      </c>
      <c r="LA37" s="329">
        <v>0</v>
      </c>
      <c r="LB37" s="329">
        <v>0</v>
      </c>
      <c r="LC37" s="329">
        <v>0</v>
      </c>
      <c r="LD37" s="329">
        <v>0</v>
      </c>
      <c r="LE37" s="329">
        <v>0</v>
      </c>
      <c r="LF37" s="329">
        <v>0</v>
      </c>
      <c r="LG37" s="329">
        <v>0</v>
      </c>
      <c r="LH37" s="329">
        <v>0</v>
      </c>
      <c r="LI37" s="329">
        <v>0</v>
      </c>
      <c r="LJ37" s="329">
        <v>0</v>
      </c>
      <c r="LK37" s="329">
        <v>0</v>
      </c>
      <c r="LL37" s="329">
        <v>0</v>
      </c>
      <c r="LM37" s="329">
        <v>0</v>
      </c>
      <c r="LN37" s="329">
        <v>0</v>
      </c>
      <c r="LO37" s="329">
        <v>0</v>
      </c>
      <c r="LP37" s="329">
        <v>0</v>
      </c>
      <c r="LQ37" s="329">
        <v>0</v>
      </c>
      <c r="LR37" s="331"/>
      <c r="LS37" s="331"/>
      <c r="LT37" s="331"/>
      <c r="LU37" s="331"/>
      <c r="LV37" s="331"/>
      <c r="LW37" s="331"/>
      <c r="LX37" s="331"/>
      <c r="LY37" s="331"/>
      <c r="LZ37" s="331"/>
      <c r="MA37" s="331"/>
      <c r="MB37" s="331"/>
      <c r="MC37" s="331"/>
      <c r="MD37" s="331"/>
      <c r="ME37" s="331"/>
      <c r="MF37" s="331"/>
      <c r="MG37" s="331"/>
      <c r="MH37" s="331"/>
      <c r="MI37" s="331"/>
      <c r="MJ37" s="331"/>
      <c r="MK37" s="331"/>
      <c r="ML37" s="331"/>
      <c r="MM37" s="331"/>
      <c r="MN37" s="331"/>
      <c r="MO37" s="331"/>
      <c r="MP37" s="331"/>
      <c r="MQ37" s="331"/>
      <c r="MR37" s="331"/>
      <c r="MS37" s="331"/>
      <c r="MT37" s="331"/>
      <c r="MU37" s="331"/>
      <c r="MV37" s="331"/>
      <c r="MW37" s="331"/>
      <c r="MX37" s="331"/>
      <c r="MY37" s="331"/>
      <c r="MZ37" s="331"/>
      <c r="NA37" s="331"/>
      <c r="NB37" s="331"/>
      <c r="NC37" s="331"/>
      <c r="ND37" s="331"/>
      <c r="NE37" s="331"/>
      <c r="NF37" s="331"/>
      <c r="NG37" s="331"/>
      <c r="NH37" s="331"/>
      <c r="NI37" s="331"/>
      <c r="NJ37" s="331"/>
      <c r="NK37" s="331"/>
      <c r="NL37" s="331"/>
      <c r="NM37" s="331"/>
      <c r="NN37" s="331"/>
      <c r="NO37" s="331"/>
      <c r="NP37" s="331"/>
      <c r="NQ37" s="331"/>
      <c r="NR37" s="331"/>
      <c r="NS37" s="331"/>
      <c r="NT37" s="331"/>
      <c r="NU37" s="331"/>
      <c r="NV37" s="331"/>
      <c r="NW37" s="331"/>
      <c r="NX37" s="331"/>
      <c r="NY37" s="331"/>
      <c r="NZ37" s="331"/>
      <c r="OA37" s="331"/>
      <c r="OB37" s="331"/>
      <c r="OC37" s="331"/>
      <c r="OD37" s="331"/>
      <c r="OE37" s="331"/>
      <c r="OF37" s="331"/>
      <c r="OG37" s="331"/>
      <c r="OH37" s="331"/>
      <c r="OI37" s="331"/>
      <c r="OJ37" s="331"/>
      <c r="OK37" s="331"/>
      <c r="OL37" s="332">
        <f t="shared" si="1"/>
        <v>409919.13</v>
      </c>
    </row>
    <row r="38" spans="1:402" ht="13.5" thickBot="1">
      <c r="A38" s="320" t="s">
        <v>404</v>
      </c>
      <c r="B38" s="328" t="s">
        <v>441</v>
      </c>
      <c r="C38" s="328" t="s">
        <v>206</v>
      </c>
      <c r="D38" s="328" t="s">
        <v>443</v>
      </c>
      <c r="E38" s="329">
        <v>0</v>
      </c>
      <c r="F38" s="329">
        <v>0</v>
      </c>
      <c r="G38" s="329">
        <v>0</v>
      </c>
      <c r="H38" s="329">
        <v>0</v>
      </c>
      <c r="I38" s="329">
        <v>0</v>
      </c>
      <c r="J38" s="329">
        <v>0</v>
      </c>
      <c r="K38" s="329">
        <v>0</v>
      </c>
      <c r="L38" s="329">
        <v>0</v>
      </c>
      <c r="M38" s="329">
        <v>0</v>
      </c>
      <c r="N38" s="329">
        <v>0</v>
      </c>
      <c r="O38" s="329">
        <v>0</v>
      </c>
      <c r="P38" s="329">
        <v>0</v>
      </c>
      <c r="Q38" s="329">
        <v>0</v>
      </c>
      <c r="R38" s="329">
        <v>0</v>
      </c>
      <c r="S38" s="329">
        <v>0</v>
      </c>
      <c r="T38" s="329">
        <v>0</v>
      </c>
      <c r="U38" s="329">
        <v>0</v>
      </c>
      <c r="V38" s="329">
        <v>0</v>
      </c>
      <c r="W38" s="329">
        <v>0</v>
      </c>
      <c r="X38" s="329">
        <v>0</v>
      </c>
      <c r="Y38" s="329">
        <v>0</v>
      </c>
      <c r="Z38" s="329">
        <v>0</v>
      </c>
      <c r="AA38" s="329">
        <v>0</v>
      </c>
      <c r="AB38" s="329">
        <v>0</v>
      </c>
      <c r="AC38" s="329">
        <v>0</v>
      </c>
      <c r="AD38" s="329">
        <v>0</v>
      </c>
      <c r="AE38" s="329">
        <v>0</v>
      </c>
      <c r="AF38" s="329">
        <v>0</v>
      </c>
      <c r="AG38" s="329">
        <v>0</v>
      </c>
      <c r="AH38" s="329">
        <v>0</v>
      </c>
      <c r="AI38" s="329">
        <v>0</v>
      </c>
      <c r="AJ38" s="329">
        <v>0</v>
      </c>
      <c r="AK38" s="329">
        <v>0</v>
      </c>
      <c r="AL38" s="329">
        <v>0</v>
      </c>
      <c r="AM38" s="329">
        <v>0</v>
      </c>
      <c r="AN38" s="329">
        <v>0</v>
      </c>
      <c r="AO38" s="330">
        <v>3245.91</v>
      </c>
      <c r="AP38" s="330">
        <v>3245.91</v>
      </c>
      <c r="AQ38" s="330">
        <v>3245.91</v>
      </c>
      <c r="AR38" s="330">
        <v>3245.91</v>
      </c>
      <c r="AS38" s="330">
        <v>2192.19</v>
      </c>
      <c r="AT38" s="330">
        <v>3593.83</v>
      </c>
      <c r="AU38" s="330">
        <v>2902.03</v>
      </c>
      <c r="AV38" s="330">
        <v>2902.03</v>
      </c>
      <c r="AW38" s="330">
        <v>6157.18</v>
      </c>
      <c r="AX38" s="330">
        <v>4952.53</v>
      </c>
      <c r="AY38" s="330">
        <v>4952.53</v>
      </c>
      <c r="AZ38" s="330">
        <v>4952.53</v>
      </c>
      <c r="BA38" s="331"/>
      <c r="BB38" s="331"/>
      <c r="BC38" s="331"/>
      <c r="BD38" s="331"/>
      <c r="BE38" s="331"/>
      <c r="BF38" s="331"/>
      <c r="BG38" s="331"/>
      <c r="BH38" s="331"/>
      <c r="BI38" s="331"/>
      <c r="BJ38" s="331"/>
      <c r="BK38" s="331"/>
      <c r="BL38" s="331"/>
      <c r="BM38" s="329">
        <v>0</v>
      </c>
      <c r="BN38" s="329">
        <v>0</v>
      </c>
      <c r="BO38" s="329">
        <v>0</v>
      </c>
      <c r="BP38" s="329">
        <v>0</v>
      </c>
      <c r="BQ38" s="329">
        <v>0</v>
      </c>
      <c r="BR38" s="329">
        <v>0</v>
      </c>
      <c r="BS38" s="329">
        <v>0</v>
      </c>
      <c r="BT38" s="329">
        <v>0</v>
      </c>
      <c r="BU38" s="329">
        <v>0</v>
      </c>
      <c r="BV38" s="329">
        <v>0</v>
      </c>
      <c r="BW38" s="329">
        <v>0</v>
      </c>
      <c r="BX38" s="329">
        <v>0</v>
      </c>
      <c r="BY38" s="329">
        <v>0</v>
      </c>
      <c r="BZ38" s="329">
        <v>0</v>
      </c>
      <c r="CA38" s="329">
        <v>0</v>
      </c>
      <c r="CB38" s="329">
        <v>0</v>
      </c>
      <c r="CC38" s="329">
        <v>0</v>
      </c>
      <c r="CD38" s="329">
        <v>0</v>
      </c>
      <c r="CE38" s="329">
        <v>0</v>
      </c>
      <c r="CF38" s="329">
        <v>0</v>
      </c>
      <c r="CG38" s="329">
        <v>0</v>
      </c>
      <c r="CH38" s="329">
        <v>0</v>
      </c>
      <c r="CI38" s="329">
        <v>0</v>
      </c>
      <c r="CJ38" s="329">
        <v>0</v>
      </c>
      <c r="CK38" s="331"/>
      <c r="CL38" s="331"/>
      <c r="CM38" s="331"/>
      <c r="CN38" s="331"/>
      <c r="CO38" s="331"/>
      <c r="CP38" s="331"/>
      <c r="CQ38" s="331"/>
      <c r="CR38" s="331"/>
      <c r="CS38" s="331"/>
      <c r="CT38" s="331"/>
      <c r="CU38" s="331"/>
      <c r="CV38" s="331"/>
      <c r="CW38" s="329">
        <v>0</v>
      </c>
      <c r="CX38" s="329">
        <v>0</v>
      </c>
      <c r="CY38" s="329">
        <v>0</v>
      </c>
      <c r="CZ38" s="329">
        <v>0</v>
      </c>
      <c r="DA38" s="329">
        <v>0</v>
      </c>
      <c r="DB38" s="329">
        <v>0</v>
      </c>
      <c r="DC38" s="329">
        <v>0</v>
      </c>
      <c r="DD38" s="329">
        <v>0</v>
      </c>
      <c r="DE38" s="329">
        <v>0</v>
      </c>
      <c r="DF38" s="329">
        <v>0</v>
      </c>
      <c r="DG38" s="329">
        <v>0</v>
      </c>
      <c r="DH38" s="329">
        <v>0</v>
      </c>
      <c r="DI38" s="330">
        <v>222.81</v>
      </c>
      <c r="DJ38" s="330">
        <v>222.81</v>
      </c>
      <c r="DK38" s="330">
        <v>222.81</v>
      </c>
      <c r="DL38" s="330">
        <v>222.81</v>
      </c>
      <c r="DM38" s="330">
        <v>147.36000000000001</v>
      </c>
      <c r="DN38" s="330">
        <v>247.72</v>
      </c>
      <c r="DO38" s="330">
        <v>198.19</v>
      </c>
      <c r="DP38" s="330">
        <v>198.19</v>
      </c>
      <c r="DQ38" s="330">
        <v>431.27</v>
      </c>
      <c r="DR38" s="330">
        <v>345.01</v>
      </c>
      <c r="DS38" s="330">
        <v>345.01</v>
      </c>
      <c r="DT38" s="330">
        <v>386.89</v>
      </c>
      <c r="DU38" s="330">
        <v>43.58</v>
      </c>
      <c r="DV38" s="330">
        <v>43.58</v>
      </c>
      <c r="DW38" s="330">
        <v>43.58</v>
      </c>
      <c r="DX38" s="330">
        <v>43.58</v>
      </c>
      <c r="DY38" s="330">
        <v>28.82</v>
      </c>
      <c r="DZ38" s="330">
        <v>48.45</v>
      </c>
      <c r="EA38" s="330">
        <v>38.76</v>
      </c>
      <c r="EB38" s="330">
        <v>38.76</v>
      </c>
      <c r="EC38" s="330">
        <v>84.35</v>
      </c>
      <c r="ED38" s="330">
        <v>67.48</v>
      </c>
      <c r="EE38" s="330">
        <v>67.48</v>
      </c>
      <c r="EF38" s="330">
        <v>67.48</v>
      </c>
      <c r="EG38" s="329">
        <v>0</v>
      </c>
      <c r="EH38" s="329">
        <v>0</v>
      </c>
      <c r="EI38" s="329">
        <v>0</v>
      </c>
      <c r="EJ38" s="329">
        <v>0</v>
      </c>
      <c r="EK38" s="329">
        <v>0</v>
      </c>
      <c r="EL38" s="329">
        <v>0</v>
      </c>
      <c r="EM38" s="329">
        <v>0</v>
      </c>
      <c r="EN38" s="329">
        <v>0</v>
      </c>
      <c r="EO38" s="329">
        <v>0</v>
      </c>
      <c r="EP38" s="329">
        <v>0</v>
      </c>
      <c r="EQ38" s="329">
        <v>0</v>
      </c>
      <c r="ER38" s="329">
        <v>0</v>
      </c>
      <c r="ES38" s="329">
        <v>0</v>
      </c>
      <c r="ET38" s="329">
        <v>0</v>
      </c>
      <c r="EU38" s="329">
        <v>0</v>
      </c>
      <c r="EV38" s="329">
        <v>0</v>
      </c>
      <c r="EW38" s="329">
        <v>0</v>
      </c>
      <c r="EX38" s="329">
        <v>0</v>
      </c>
      <c r="EY38" s="329">
        <v>0</v>
      </c>
      <c r="EZ38" s="329">
        <v>0</v>
      </c>
      <c r="FA38" s="329">
        <v>0</v>
      </c>
      <c r="FB38" s="329">
        <v>0</v>
      </c>
      <c r="FC38" s="329">
        <v>0</v>
      </c>
      <c r="FD38" s="329">
        <v>0</v>
      </c>
      <c r="FE38" s="331"/>
      <c r="FF38" s="331"/>
      <c r="FG38" s="331"/>
      <c r="FH38" s="331"/>
      <c r="FI38" s="331"/>
      <c r="FJ38" s="331"/>
      <c r="FK38" s="331"/>
      <c r="FL38" s="331"/>
      <c r="FM38" s="331"/>
      <c r="FN38" s="331"/>
      <c r="FO38" s="331"/>
      <c r="FP38" s="331"/>
      <c r="FQ38" s="329">
        <v>0</v>
      </c>
      <c r="FR38" s="329">
        <v>0</v>
      </c>
      <c r="FS38" s="329">
        <v>0</v>
      </c>
      <c r="FT38" s="329">
        <v>0</v>
      </c>
      <c r="FU38" s="329">
        <v>0</v>
      </c>
      <c r="FV38" s="329">
        <v>0</v>
      </c>
      <c r="FW38" s="329">
        <v>0</v>
      </c>
      <c r="FX38" s="329">
        <v>0</v>
      </c>
      <c r="FY38" s="329">
        <v>0</v>
      </c>
      <c r="FZ38" s="329">
        <v>0</v>
      </c>
      <c r="GA38" s="329">
        <v>0</v>
      </c>
      <c r="GB38" s="329">
        <v>0</v>
      </c>
      <c r="GC38" s="330">
        <v>1790.76</v>
      </c>
      <c r="GD38" s="330">
        <v>1790.76</v>
      </c>
      <c r="GE38" s="330">
        <v>1790.76</v>
      </c>
      <c r="GF38" s="330">
        <v>3115.31</v>
      </c>
      <c r="GG38" s="330">
        <v>2928.6</v>
      </c>
      <c r="GH38" s="330">
        <v>2912.9</v>
      </c>
      <c r="GI38" s="330">
        <v>2790.32</v>
      </c>
      <c r="GJ38" s="330">
        <v>2790.32</v>
      </c>
      <c r="GK38" s="330">
        <v>3367.11</v>
      </c>
      <c r="GL38" s="330">
        <v>3153.65</v>
      </c>
      <c r="GM38" s="330">
        <v>3153.65</v>
      </c>
      <c r="GN38" s="330">
        <v>3374.55</v>
      </c>
      <c r="GO38" s="330">
        <v>794.3</v>
      </c>
      <c r="GP38" s="330">
        <v>794.3</v>
      </c>
      <c r="GQ38" s="330">
        <v>794.3</v>
      </c>
      <c r="GR38" s="330">
        <v>794.3</v>
      </c>
      <c r="GS38" s="330">
        <v>525.33000000000004</v>
      </c>
      <c r="GT38" s="330">
        <v>862.55</v>
      </c>
      <c r="GU38" s="330">
        <v>690.07</v>
      </c>
      <c r="GV38" s="330">
        <v>690.07</v>
      </c>
      <c r="GW38" s="330">
        <v>1501.64</v>
      </c>
      <c r="GX38" s="330">
        <v>1201.3</v>
      </c>
      <c r="GY38" s="330">
        <v>1201.3</v>
      </c>
      <c r="GZ38" s="330">
        <v>1201.3</v>
      </c>
      <c r="HA38" s="330">
        <v>27.23</v>
      </c>
      <c r="HB38" s="330">
        <v>22.95</v>
      </c>
      <c r="HC38" s="330">
        <v>38.86</v>
      </c>
      <c r="HD38" s="330">
        <v>38.56</v>
      </c>
      <c r="HE38" s="330">
        <v>33.659999999999997</v>
      </c>
      <c r="HF38" s="330">
        <v>116.67</v>
      </c>
      <c r="HG38" s="330">
        <v>41.75</v>
      </c>
      <c r="HH38" s="330">
        <v>38.53</v>
      </c>
      <c r="HI38" s="330">
        <v>56.73</v>
      </c>
      <c r="HJ38" s="330">
        <v>111.32</v>
      </c>
      <c r="HK38" s="330">
        <v>80.28</v>
      </c>
      <c r="HL38" s="330">
        <v>137.01</v>
      </c>
      <c r="HM38" s="329">
        <v>0</v>
      </c>
      <c r="HN38" s="329">
        <v>0</v>
      </c>
      <c r="HO38" s="329">
        <v>0</v>
      </c>
      <c r="HP38" s="329">
        <v>0</v>
      </c>
      <c r="HQ38" s="329">
        <v>0</v>
      </c>
      <c r="HR38" s="329">
        <v>0</v>
      </c>
      <c r="HS38" s="329">
        <v>0</v>
      </c>
      <c r="HT38" s="329">
        <v>0</v>
      </c>
      <c r="HU38" s="329">
        <v>0</v>
      </c>
      <c r="HV38" s="329">
        <v>0</v>
      </c>
      <c r="HW38" s="329">
        <v>0</v>
      </c>
      <c r="HX38" s="329">
        <v>0</v>
      </c>
      <c r="HY38" s="331"/>
      <c r="HZ38" s="331"/>
      <c r="IA38" s="331"/>
      <c r="IB38" s="331"/>
      <c r="IC38" s="331"/>
      <c r="ID38" s="331"/>
      <c r="IE38" s="331"/>
      <c r="IF38" s="331"/>
      <c r="IG38" s="331"/>
      <c r="IH38" s="331"/>
      <c r="II38" s="331"/>
      <c r="IJ38" s="331"/>
      <c r="IK38" s="329">
        <v>0</v>
      </c>
      <c r="IL38" s="329">
        <v>0</v>
      </c>
      <c r="IM38" s="329">
        <v>0</v>
      </c>
      <c r="IN38" s="329">
        <v>0</v>
      </c>
      <c r="IO38" s="329">
        <v>0</v>
      </c>
      <c r="IP38" s="329">
        <v>0</v>
      </c>
      <c r="IQ38" s="329">
        <v>0</v>
      </c>
      <c r="IR38" s="329">
        <v>0</v>
      </c>
      <c r="IS38" s="329">
        <v>0</v>
      </c>
      <c r="IT38" s="329">
        <v>0</v>
      </c>
      <c r="IU38" s="329">
        <v>0</v>
      </c>
      <c r="IV38" s="329">
        <v>0</v>
      </c>
      <c r="IW38" s="329">
        <v>0</v>
      </c>
      <c r="IX38" s="329">
        <v>0</v>
      </c>
      <c r="IY38" s="329">
        <v>0</v>
      </c>
      <c r="IZ38" s="329">
        <v>0</v>
      </c>
      <c r="JA38" s="329">
        <v>0</v>
      </c>
      <c r="JB38" s="329">
        <v>0</v>
      </c>
      <c r="JC38" s="329">
        <v>0</v>
      </c>
      <c r="JD38" s="329">
        <v>0</v>
      </c>
      <c r="JE38" s="329">
        <v>0</v>
      </c>
      <c r="JF38" s="329">
        <v>0</v>
      </c>
      <c r="JG38" s="329">
        <v>0</v>
      </c>
      <c r="JH38" s="329">
        <v>0</v>
      </c>
      <c r="JI38" s="330">
        <v>184.09</v>
      </c>
      <c r="JJ38" s="330">
        <v>-14.73</v>
      </c>
      <c r="JK38" s="330">
        <v>-14.73</v>
      </c>
      <c r="JL38" s="330">
        <v>-14.73</v>
      </c>
      <c r="JM38" s="330">
        <v>-14.73</v>
      </c>
      <c r="JN38" s="330">
        <v>-9.74</v>
      </c>
      <c r="JO38" s="330">
        <v>-16.38</v>
      </c>
      <c r="JP38" s="330">
        <v>-13.1</v>
      </c>
      <c r="JQ38" s="330">
        <v>-13.1</v>
      </c>
      <c r="JR38" s="330">
        <v>-28.51</v>
      </c>
      <c r="JS38" s="330">
        <v>-22.81</v>
      </c>
      <c r="JT38" s="330">
        <v>-22.81</v>
      </c>
      <c r="JU38" s="330">
        <v>-19.96</v>
      </c>
      <c r="JV38" s="331"/>
      <c r="JW38" s="331"/>
      <c r="JX38" s="331"/>
      <c r="JY38" s="331"/>
      <c r="JZ38" s="331"/>
      <c r="KA38" s="331"/>
      <c r="KB38" s="331"/>
      <c r="KC38" s="331"/>
      <c r="KD38" s="331"/>
      <c r="KE38" s="331"/>
      <c r="KF38" s="331"/>
      <c r="KG38" s="331"/>
      <c r="KH38" s="331"/>
      <c r="KI38" s="331"/>
      <c r="KJ38" s="331"/>
      <c r="KK38" s="331"/>
      <c r="KL38" s="331"/>
      <c r="KM38" s="331"/>
      <c r="KN38" s="331"/>
      <c r="KO38" s="331"/>
      <c r="KP38" s="331"/>
      <c r="KQ38" s="331"/>
      <c r="KR38" s="331"/>
      <c r="KS38" s="331"/>
      <c r="KT38" s="329">
        <v>0</v>
      </c>
      <c r="KU38" s="329">
        <v>0</v>
      </c>
      <c r="KV38" s="329">
        <v>0</v>
      </c>
      <c r="KW38" s="329">
        <v>0</v>
      </c>
      <c r="KX38" s="329">
        <v>0</v>
      </c>
      <c r="KY38" s="329">
        <v>0</v>
      </c>
      <c r="KZ38" s="329">
        <v>0</v>
      </c>
      <c r="LA38" s="329">
        <v>0</v>
      </c>
      <c r="LB38" s="329">
        <v>0</v>
      </c>
      <c r="LC38" s="329">
        <v>0</v>
      </c>
      <c r="LD38" s="329">
        <v>0</v>
      </c>
      <c r="LE38" s="329">
        <v>0</v>
      </c>
      <c r="LF38" s="329">
        <v>0</v>
      </c>
      <c r="LG38" s="329">
        <v>0</v>
      </c>
      <c r="LH38" s="329">
        <v>0</v>
      </c>
      <c r="LI38" s="329">
        <v>0</v>
      </c>
      <c r="LJ38" s="329">
        <v>0</v>
      </c>
      <c r="LK38" s="329">
        <v>0</v>
      </c>
      <c r="LL38" s="329">
        <v>0</v>
      </c>
      <c r="LM38" s="329">
        <v>0</v>
      </c>
      <c r="LN38" s="329">
        <v>0</v>
      </c>
      <c r="LO38" s="329">
        <v>0</v>
      </c>
      <c r="LP38" s="329">
        <v>0</v>
      </c>
      <c r="LQ38" s="329">
        <v>0</v>
      </c>
      <c r="LR38" s="331"/>
      <c r="LS38" s="331"/>
      <c r="LT38" s="331"/>
      <c r="LU38" s="331"/>
      <c r="LV38" s="331"/>
      <c r="LW38" s="331"/>
      <c r="LX38" s="331"/>
      <c r="LY38" s="331"/>
      <c r="LZ38" s="331"/>
      <c r="MA38" s="331"/>
      <c r="MB38" s="331"/>
      <c r="MC38" s="331"/>
      <c r="MD38" s="331"/>
      <c r="ME38" s="331"/>
      <c r="MF38" s="331"/>
      <c r="MG38" s="331"/>
      <c r="MH38" s="331"/>
      <c r="MI38" s="331"/>
      <c r="MJ38" s="331"/>
      <c r="MK38" s="331"/>
      <c r="ML38" s="331"/>
      <c r="MM38" s="331"/>
      <c r="MN38" s="331"/>
      <c r="MO38" s="331"/>
      <c r="MP38" s="331"/>
      <c r="MQ38" s="331"/>
      <c r="MR38" s="331"/>
      <c r="MS38" s="331"/>
      <c r="MT38" s="331"/>
      <c r="MU38" s="331"/>
      <c r="MV38" s="331"/>
      <c r="MW38" s="331"/>
      <c r="MX38" s="331"/>
      <c r="MY38" s="331"/>
      <c r="MZ38" s="331"/>
      <c r="NA38" s="331"/>
      <c r="NB38" s="331"/>
      <c r="NC38" s="331"/>
      <c r="ND38" s="331"/>
      <c r="NE38" s="331"/>
      <c r="NF38" s="331"/>
      <c r="NG38" s="331"/>
      <c r="NH38" s="331"/>
      <c r="NI38" s="331"/>
      <c r="NJ38" s="331"/>
      <c r="NK38" s="331"/>
      <c r="NL38" s="331"/>
      <c r="NM38" s="331"/>
      <c r="NN38" s="331"/>
      <c r="NO38" s="331"/>
      <c r="NP38" s="331"/>
      <c r="NQ38" s="331"/>
      <c r="NR38" s="331"/>
      <c r="NS38" s="331"/>
      <c r="NT38" s="331"/>
      <c r="NU38" s="331"/>
      <c r="NV38" s="331"/>
      <c r="NW38" s="331"/>
      <c r="NX38" s="331"/>
      <c r="NY38" s="331"/>
      <c r="NZ38" s="331"/>
      <c r="OA38" s="331"/>
      <c r="OB38" s="331"/>
      <c r="OC38" s="331"/>
      <c r="OD38" s="331"/>
      <c r="OE38" s="331"/>
      <c r="OF38" s="331"/>
      <c r="OG38" s="331"/>
      <c r="OH38" s="331"/>
      <c r="OI38" s="331"/>
      <c r="OJ38" s="331"/>
      <c r="OK38" s="331"/>
      <c r="OL38" s="332">
        <f t="shared" si="1"/>
        <v>94127.030000000042</v>
      </c>
    </row>
    <row r="39" spans="1:402" ht="13.5" thickBot="1">
      <c r="A39" s="320" t="s">
        <v>404</v>
      </c>
      <c r="B39" s="328" t="s">
        <v>441</v>
      </c>
      <c r="C39" s="328" t="s">
        <v>206</v>
      </c>
      <c r="D39" s="328" t="s">
        <v>444</v>
      </c>
      <c r="E39" s="329">
        <v>0</v>
      </c>
      <c r="F39" s="329">
        <v>0</v>
      </c>
      <c r="G39" s="329">
        <v>0</v>
      </c>
      <c r="H39" s="329">
        <v>0</v>
      </c>
      <c r="I39" s="329">
        <v>0</v>
      </c>
      <c r="J39" s="329">
        <v>0</v>
      </c>
      <c r="K39" s="329">
        <v>0</v>
      </c>
      <c r="L39" s="329">
        <v>0</v>
      </c>
      <c r="M39" s="329">
        <v>0</v>
      </c>
      <c r="N39" s="329">
        <v>0</v>
      </c>
      <c r="O39" s="329">
        <v>0</v>
      </c>
      <c r="P39" s="329">
        <v>0</v>
      </c>
      <c r="Q39" s="329">
        <v>0</v>
      </c>
      <c r="R39" s="329">
        <v>0</v>
      </c>
      <c r="S39" s="329">
        <v>0</v>
      </c>
      <c r="T39" s="329">
        <v>0</v>
      </c>
      <c r="U39" s="329">
        <v>0</v>
      </c>
      <c r="V39" s="329">
        <v>0</v>
      </c>
      <c r="W39" s="329">
        <v>0</v>
      </c>
      <c r="X39" s="329">
        <v>0</v>
      </c>
      <c r="Y39" s="329">
        <v>0</v>
      </c>
      <c r="Z39" s="329">
        <v>0</v>
      </c>
      <c r="AA39" s="329">
        <v>0</v>
      </c>
      <c r="AB39" s="329">
        <v>0</v>
      </c>
      <c r="AC39" s="329">
        <v>0</v>
      </c>
      <c r="AD39" s="329">
        <v>0</v>
      </c>
      <c r="AE39" s="329">
        <v>0</v>
      </c>
      <c r="AF39" s="329">
        <v>0</v>
      </c>
      <c r="AG39" s="329">
        <v>0</v>
      </c>
      <c r="AH39" s="329">
        <v>0</v>
      </c>
      <c r="AI39" s="329">
        <v>0</v>
      </c>
      <c r="AJ39" s="329">
        <v>0</v>
      </c>
      <c r="AK39" s="329">
        <v>0</v>
      </c>
      <c r="AL39" s="329">
        <v>0</v>
      </c>
      <c r="AM39" s="329">
        <v>0</v>
      </c>
      <c r="AN39" s="329">
        <v>0</v>
      </c>
      <c r="AO39" s="330">
        <v>7509.66</v>
      </c>
      <c r="AP39" s="330">
        <v>7256.65</v>
      </c>
      <c r="AQ39" s="330">
        <v>6080.01</v>
      </c>
      <c r="AR39" s="330">
        <v>6080.01</v>
      </c>
      <c r="AS39" s="330">
        <v>7238.6</v>
      </c>
      <c r="AT39" s="330">
        <v>9003.42</v>
      </c>
      <c r="AU39" s="330">
        <v>7229.58</v>
      </c>
      <c r="AV39" s="330">
        <v>7229.58</v>
      </c>
      <c r="AW39" s="330">
        <v>7229.58</v>
      </c>
      <c r="AX39" s="330">
        <v>7229.58</v>
      </c>
      <c r="AY39" s="330">
        <v>7229.58</v>
      </c>
      <c r="AZ39" s="330">
        <v>7229.58</v>
      </c>
      <c r="BA39" s="331"/>
      <c r="BB39" s="331"/>
      <c r="BC39" s="331"/>
      <c r="BD39" s="331"/>
      <c r="BE39" s="331"/>
      <c r="BF39" s="331"/>
      <c r="BG39" s="331"/>
      <c r="BH39" s="331"/>
      <c r="BI39" s="331"/>
      <c r="BJ39" s="331"/>
      <c r="BK39" s="331"/>
      <c r="BL39" s="331"/>
      <c r="BM39" s="329">
        <v>0</v>
      </c>
      <c r="BN39" s="329">
        <v>0</v>
      </c>
      <c r="BO39" s="329">
        <v>0</v>
      </c>
      <c r="BP39" s="329">
        <v>0</v>
      </c>
      <c r="BQ39" s="329">
        <v>0</v>
      </c>
      <c r="BR39" s="329">
        <v>0</v>
      </c>
      <c r="BS39" s="329">
        <v>0</v>
      </c>
      <c r="BT39" s="329">
        <v>0</v>
      </c>
      <c r="BU39" s="329">
        <v>0</v>
      </c>
      <c r="BV39" s="329">
        <v>0</v>
      </c>
      <c r="BW39" s="329">
        <v>0</v>
      </c>
      <c r="BX39" s="329">
        <v>0</v>
      </c>
      <c r="BY39" s="329">
        <v>0</v>
      </c>
      <c r="BZ39" s="329">
        <v>0</v>
      </c>
      <c r="CA39" s="329">
        <v>0</v>
      </c>
      <c r="CB39" s="329">
        <v>0</v>
      </c>
      <c r="CC39" s="329">
        <v>0</v>
      </c>
      <c r="CD39" s="329">
        <v>0</v>
      </c>
      <c r="CE39" s="329">
        <v>0</v>
      </c>
      <c r="CF39" s="329">
        <v>0</v>
      </c>
      <c r="CG39" s="329">
        <v>0</v>
      </c>
      <c r="CH39" s="329">
        <v>0</v>
      </c>
      <c r="CI39" s="329">
        <v>0</v>
      </c>
      <c r="CJ39" s="329">
        <v>0</v>
      </c>
      <c r="CK39" s="331"/>
      <c r="CL39" s="331"/>
      <c r="CM39" s="331"/>
      <c r="CN39" s="331"/>
      <c r="CO39" s="331"/>
      <c r="CP39" s="331"/>
      <c r="CQ39" s="331"/>
      <c r="CR39" s="331"/>
      <c r="CS39" s="331"/>
      <c r="CT39" s="331"/>
      <c r="CU39" s="331"/>
      <c r="CV39" s="331"/>
      <c r="CW39" s="329">
        <v>0</v>
      </c>
      <c r="CX39" s="329">
        <v>0</v>
      </c>
      <c r="CY39" s="329">
        <v>0</v>
      </c>
      <c r="CZ39" s="329">
        <v>0</v>
      </c>
      <c r="DA39" s="329">
        <v>0</v>
      </c>
      <c r="DB39" s="329">
        <v>0</v>
      </c>
      <c r="DC39" s="329">
        <v>0</v>
      </c>
      <c r="DD39" s="329">
        <v>0</v>
      </c>
      <c r="DE39" s="329">
        <v>0</v>
      </c>
      <c r="DF39" s="329">
        <v>0</v>
      </c>
      <c r="DG39" s="329">
        <v>0</v>
      </c>
      <c r="DH39" s="329">
        <v>0</v>
      </c>
      <c r="DI39" s="330">
        <v>528.12</v>
      </c>
      <c r="DJ39" s="329">
        <v>510</v>
      </c>
      <c r="DK39" s="330">
        <v>425.75</v>
      </c>
      <c r="DL39" s="330">
        <v>425.75</v>
      </c>
      <c r="DM39" s="330">
        <v>508.71</v>
      </c>
      <c r="DN39" s="330">
        <v>635.08000000000004</v>
      </c>
      <c r="DO39" s="330">
        <v>508.06</v>
      </c>
      <c r="DP39" s="330">
        <v>508.06</v>
      </c>
      <c r="DQ39" s="330">
        <v>508.06</v>
      </c>
      <c r="DR39" s="330">
        <v>508.06</v>
      </c>
      <c r="DS39" s="330">
        <v>508.06</v>
      </c>
      <c r="DT39" s="330">
        <v>569.73</v>
      </c>
      <c r="DU39" s="330">
        <v>103.29</v>
      </c>
      <c r="DV39" s="330">
        <v>99.75</v>
      </c>
      <c r="DW39" s="330">
        <v>83.27</v>
      </c>
      <c r="DX39" s="330">
        <v>83.27</v>
      </c>
      <c r="DY39" s="330">
        <v>99.49</v>
      </c>
      <c r="DZ39" s="330">
        <v>124.21</v>
      </c>
      <c r="EA39" s="330">
        <v>99.37</v>
      </c>
      <c r="EB39" s="330">
        <v>99.37</v>
      </c>
      <c r="EC39" s="330">
        <v>99.37</v>
      </c>
      <c r="ED39" s="330">
        <v>99.37</v>
      </c>
      <c r="EE39" s="330">
        <v>99.37</v>
      </c>
      <c r="EF39" s="330">
        <v>99.37</v>
      </c>
      <c r="EG39" s="329">
        <v>0</v>
      </c>
      <c r="EH39" s="329">
        <v>0</v>
      </c>
      <c r="EI39" s="329">
        <v>0</v>
      </c>
      <c r="EJ39" s="329">
        <v>0</v>
      </c>
      <c r="EK39" s="329">
        <v>0</v>
      </c>
      <c r="EL39" s="329">
        <v>0</v>
      </c>
      <c r="EM39" s="329">
        <v>0</v>
      </c>
      <c r="EN39" s="329">
        <v>0</v>
      </c>
      <c r="EO39" s="329">
        <v>0</v>
      </c>
      <c r="EP39" s="329">
        <v>0</v>
      </c>
      <c r="EQ39" s="329">
        <v>0</v>
      </c>
      <c r="ER39" s="329">
        <v>0</v>
      </c>
      <c r="ES39" s="329">
        <v>0</v>
      </c>
      <c r="ET39" s="329">
        <v>0</v>
      </c>
      <c r="EU39" s="329">
        <v>0</v>
      </c>
      <c r="EV39" s="329">
        <v>0</v>
      </c>
      <c r="EW39" s="329">
        <v>0</v>
      </c>
      <c r="EX39" s="329">
        <v>0</v>
      </c>
      <c r="EY39" s="329">
        <v>0</v>
      </c>
      <c r="EZ39" s="329">
        <v>0</v>
      </c>
      <c r="FA39" s="329">
        <v>0</v>
      </c>
      <c r="FB39" s="329">
        <v>0</v>
      </c>
      <c r="FC39" s="329">
        <v>0</v>
      </c>
      <c r="FD39" s="329">
        <v>0</v>
      </c>
      <c r="FE39" s="331"/>
      <c r="FF39" s="331"/>
      <c r="FG39" s="331"/>
      <c r="FH39" s="331"/>
      <c r="FI39" s="331"/>
      <c r="FJ39" s="331"/>
      <c r="FK39" s="331"/>
      <c r="FL39" s="331"/>
      <c r="FM39" s="331"/>
      <c r="FN39" s="331"/>
      <c r="FO39" s="331"/>
      <c r="FP39" s="331"/>
      <c r="FQ39" s="329">
        <v>0</v>
      </c>
      <c r="FR39" s="329">
        <v>0</v>
      </c>
      <c r="FS39" s="329">
        <v>0</v>
      </c>
      <c r="FT39" s="329">
        <v>0</v>
      </c>
      <c r="FU39" s="329">
        <v>0</v>
      </c>
      <c r="FV39" s="329">
        <v>0</v>
      </c>
      <c r="FW39" s="329">
        <v>0</v>
      </c>
      <c r="FX39" s="329">
        <v>0</v>
      </c>
      <c r="FY39" s="329">
        <v>0</v>
      </c>
      <c r="FZ39" s="329">
        <v>0</v>
      </c>
      <c r="GA39" s="329">
        <v>0</v>
      </c>
      <c r="GB39" s="329">
        <v>0</v>
      </c>
      <c r="GC39" s="330">
        <v>12538.49</v>
      </c>
      <c r="GD39" s="330">
        <v>12493.66</v>
      </c>
      <c r="GE39" s="330">
        <v>12285.17</v>
      </c>
      <c r="GF39" s="330">
        <v>13796.91</v>
      </c>
      <c r="GG39" s="330">
        <v>14002.2</v>
      </c>
      <c r="GH39" s="330">
        <v>13002.47</v>
      </c>
      <c r="GI39" s="330">
        <v>12688.17</v>
      </c>
      <c r="GJ39" s="330">
        <v>12688.17</v>
      </c>
      <c r="GK39" s="330">
        <v>12688.17</v>
      </c>
      <c r="GL39" s="330">
        <v>12688.17</v>
      </c>
      <c r="GM39" s="330">
        <v>12688.17</v>
      </c>
      <c r="GN39" s="330">
        <v>12688.17</v>
      </c>
      <c r="GO39" s="330">
        <v>1882.69</v>
      </c>
      <c r="GP39" s="330">
        <v>1818.1</v>
      </c>
      <c r="GQ39" s="330">
        <v>1517.75</v>
      </c>
      <c r="GR39" s="330">
        <v>1517.75</v>
      </c>
      <c r="GS39" s="330">
        <v>1813.5</v>
      </c>
      <c r="GT39" s="330">
        <v>2211.2600000000002</v>
      </c>
      <c r="GU39" s="330">
        <v>1769.01</v>
      </c>
      <c r="GV39" s="330">
        <v>1769.01</v>
      </c>
      <c r="GW39" s="330">
        <v>1769.01</v>
      </c>
      <c r="GX39" s="330">
        <v>1769.01</v>
      </c>
      <c r="GY39" s="330">
        <v>1769.01</v>
      </c>
      <c r="GZ39" s="330">
        <v>1769.01</v>
      </c>
      <c r="HA39" s="330">
        <v>288.86</v>
      </c>
      <c r="HB39" s="330">
        <v>254.59</v>
      </c>
      <c r="HC39" s="330">
        <v>161.57</v>
      </c>
      <c r="HD39" s="330">
        <v>222.77</v>
      </c>
      <c r="HE39" s="330">
        <v>293.76</v>
      </c>
      <c r="HF39" s="330">
        <v>436.72</v>
      </c>
      <c r="HG39" s="330">
        <v>351.09</v>
      </c>
      <c r="HH39" s="330">
        <v>428.16</v>
      </c>
      <c r="HI39" s="330">
        <v>406.75</v>
      </c>
      <c r="HJ39" s="330">
        <v>462.41</v>
      </c>
      <c r="HK39" s="330">
        <v>518.07000000000005</v>
      </c>
      <c r="HL39" s="330">
        <v>411.03</v>
      </c>
      <c r="HM39" s="329">
        <v>0</v>
      </c>
      <c r="HN39" s="329">
        <v>0</v>
      </c>
      <c r="HO39" s="329">
        <v>0</v>
      </c>
      <c r="HP39" s="329">
        <v>0</v>
      </c>
      <c r="HQ39" s="329">
        <v>0</v>
      </c>
      <c r="HR39" s="329">
        <v>0</v>
      </c>
      <c r="HS39" s="329">
        <v>0</v>
      </c>
      <c r="HT39" s="329">
        <v>0</v>
      </c>
      <c r="HU39" s="329">
        <v>0</v>
      </c>
      <c r="HV39" s="329">
        <v>0</v>
      </c>
      <c r="HW39" s="329">
        <v>0</v>
      </c>
      <c r="HX39" s="329">
        <v>0</v>
      </c>
      <c r="HY39" s="331"/>
      <c r="HZ39" s="331"/>
      <c r="IA39" s="331"/>
      <c r="IB39" s="331"/>
      <c r="IC39" s="331"/>
      <c r="ID39" s="331"/>
      <c r="IE39" s="331"/>
      <c r="IF39" s="331"/>
      <c r="IG39" s="331"/>
      <c r="IH39" s="331"/>
      <c r="II39" s="331"/>
      <c r="IJ39" s="331"/>
      <c r="IK39" s="329">
        <v>0</v>
      </c>
      <c r="IL39" s="329">
        <v>0</v>
      </c>
      <c r="IM39" s="329">
        <v>0</v>
      </c>
      <c r="IN39" s="329">
        <v>0</v>
      </c>
      <c r="IO39" s="329">
        <v>0</v>
      </c>
      <c r="IP39" s="329">
        <v>0</v>
      </c>
      <c r="IQ39" s="329">
        <v>0</v>
      </c>
      <c r="IR39" s="329">
        <v>0</v>
      </c>
      <c r="IS39" s="329">
        <v>0</v>
      </c>
      <c r="IT39" s="329">
        <v>0</v>
      </c>
      <c r="IU39" s="329">
        <v>0</v>
      </c>
      <c r="IV39" s="329">
        <v>0</v>
      </c>
      <c r="IW39" s="329">
        <v>0</v>
      </c>
      <c r="IX39" s="329">
        <v>0</v>
      </c>
      <c r="IY39" s="329">
        <v>0</v>
      </c>
      <c r="IZ39" s="329">
        <v>0</v>
      </c>
      <c r="JA39" s="329">
        <v>0</v>
      </c>
      <c r="JB39" s="329">
        <v>0</v>
      </c>
      <c r="JC39" s="329">
        <v>0</v>
      </c>
      <c r="JD39" s="329">
        <v>0</v>
      </c>
      <c r="JE39" s="329">
        <v>0</v>
      </c>
      <c r="JF39" s="329">
        <v>0</v>
      </c>
      <c r="JG39" s="329">
        <v>0</v>
      </c>
      <c r="JH39" s="329">
        <v>0</v>
      </c>
      <c r="JI39" s="331"/>
      <c r="JJ39" s="330">
        <v>-34.909999999999997</v>
      </c>
      <c r="JK39" s="330">
        <v>-33.71</v>
      </c>
      <c r="JL39" s="330">
        <v>-28.14</v>
      </c>
      <c r="JM39" s="330">
        <v>-28.14</v>
      </c>
      <c r="JN39" s="330">
        <v>-33.630000000000003</v>
      </c>
      <c r="JO39" s="330">
        <v>-41.98</v>
      </c>
      <c r="JP39" s="330">
        <v>-33.58</v>
      </c>
      <c r="JQ39" s="330">
        <v>-33.58</v>
      </c>
      <c r="JR39" s="330">
        <v>-33.58</v>
      </c>
      <c r="JS39" s="330">
        <v>-33.58</v>
      </c>
      <c r="JT39" s="330">
        <v>-33.58</v>
      </c>
      <c r="JU39" s="330">
        <v>-29.39</v>
      </c>
      <c r="JV39" s="331"/>
      <c r="JW39" s="331"/>
      <c r="JX39" s="331"/>
      <c r="JY39" s="331"/>
      <c r="JZ39" s="331"/>
      <c r="KA39" s="331"/>
      <c r="KB39" s="331"/>
      <c r="KC39" s="331"/>
      <c r="KD39" s="331"/>
      <c r="KE39" s="331"/>
      <c r="KF39" s="331"/>
      <c r="KG39" s="331"/>
      <c r="KH39" s="331"/>
      <c r="KI39" s="331"/>
      <c r="KJ39" s="331"/>
      <c r="KK39" s="331"/>
      <c r="KL39" s="331"/>
      <c r="KM39" s="331"/>
      <c r="KN39" s="331"/>
      <c r="KO39" s="331"/>
      <c r="KP39" s="331"/>
      <c r="KQ39" s="331"/>
      <c r="KR39" s="331"/>
      <c r="KS39" s="331"/>
      <c r="KT39" s="329">
        <v>0</v>
      </c>
      <c r="KU39" s="329">
        <v>0</v>
      </c>
      <c r="KV39" s="329">
        <v>0</v>
      </c>
      <c r="KW39" s="329">
        <v>0</v>
      </c>
      <c r="KX39" s="329">
        <v>0</v>
      </c>
      <c r="KY39" s="329">
        <v>0</v>
      </c>
      <c r="KZ39" s="329">
        <v>0</v>
      </c>
      <c r="LA39" s="329">
        <v>0</v>
      </c>
      <c r="LB39" s="329">
        <v>0</v>
      </c>
      <c r="LC39" s="329">
        <v>0</v>
      </c>
      <c r="LD39" s="329">
        <v>0</v>
      </c>
      <c r="LE39" s="329">
        <v>0</v>
      </c>
      <c r="LF39" s="329">
        <v>0</v>
      </c>
      <c r="LG39" s="329">
        <v>0</v>
      </c>
      <c r="LH39" s="329">
        <v>0</v>
      </c>
      <c r="LI39" s="329">
        <v>0</v>
      </c>
      <c r="LJ39" s="329">
        <v>0</v>
      </c>
      <c r="LK39" s="329">
        <v>0</v>
      </c>
      <c r="LL39" s="329">
        <v>0</v>
      </c>
      <c r="LM39" s="329">
        <v>0</v>
      </c>
      <c r="LN39" s="329">
        <v>0</v>
      </c>
      <c r="LO39" s="329">
        <v>0</v>
      </c>
      <c r="LP39" s="329">
        <v>0</v>
      </c>
      <c r="LQ39" s="329">
        <v>0</v>
      </c>
      <c r="LR39" s="331"/>
      <c r="LS39" s="331"/>
      <c r="LT39" s="331"/>
      <c r="LU39" s="331"/>
      <c r="LV39" s="331"/>
      <c r="LW39" s="331"/>
      <c r="LX39" s="331"/>
      <c r="LY39" s="331"/>
      <c r="LZ39" s="331"/>
      <c r="MA39" s="331"/>
      <c r="MB39" s="331"/>
      <c r="MC39" s="331"/>
      <c r="MD39" s="331"/>
      <c r="ME39" s="331"/>
      <c r="MF39" s="331"/>
      <c r="MG39" s="331"/>
      <c r="MH39" s="331"/>
      <c r="MI39" s="331"/>
      <c r="MJ39" s="331"/>
      <c r="MK39" s="331"/>
      <c r="ML39" s="331"/>
      <c r="MM39" s="331"/>
      <c r="MN39" s="331"/>
      <c r="MO39" s="331"/>
      <c r="MP39" s="331"/>
      <c r="MQ39" s="331"/>
      <c r="MR39" s="331"/>
      <c r="MS39" s="331"/>
      <c r="MT39" s="331"/>
      <c r="MU39" s="331"/>
      <c r="MV39" s="331"/>
      <c r="MW39" s="331"/>
      <c r="MX39" s="331"/>
      <c r="MY39" s="331"/>
      <c r="MZ39" s="331"/>
      <c r="NA39" s="331"/>
      <c r="NB39" s="331"/>
      <c r="NC39" s="331"/>
      <c r="ND39" s="331"/>
      <c r="NE39" s="331"/>
      <c r="NF39" s="331"/>
      <c r="NG39" s="331"/>
      <c r="NH39" s="331"/>
      <c r="NI39" s="331"/>
      <c r="NJ39" s="331"/>
      <c r="NK39" s="331"/>
      <c r="NL39" s="331"/>
      <c r="NM39" s="331"/>
      <c r="NN39" s="331"/>
      <c r="NO39" s="331"/>
      <c r="NP39" s="331"/>
      <c r="NQ39" s="331"/>
      <c r="NR39" s="331"/>
      <c r="NS39" s="331"/>
      <c r="NT39" s="331"/>
      <c r="NU39" s="331"/>
      <c r="NV39" s="331"/>
      <c r="NW39" s="331"/>
      <c r="NX39" s="331"/>
      <c r="NY39" s="331"/>
      <c r="NZ39" s="331"/>
      <c r="OA39" s="331"/>
      <c r="OB39" s="331"/>
      <c r="OC39" s="331"/>
      <c r="OD39" s="331"/>
      <c r="OE39" s="331"/>
      <c r="OF39" s="331"/>
      <c r="OG39" s="331"/>
      <c r="OH39" s="331"/>
      <c r="OI39" s="331"/>
      <c r="OJ39" s="331"/>
      <c r="OK39" s="331"/>
      <c r="OL39" s="332">
        <f t="shared" si="1"/>
        <v>273339.78000000009</v>
      </c>
    </row>
    <row r="40" spans="1:402" ht="13.5" thickBot="1">
      <c r="A40" s="320" t="s">
        <v>404</v>
      </c>
      <c r="B40" s="328" t="s">
        <v>441</v>
      </c>
      <c r="C40" s="328" t="s">
        <v>206</v>
      </c>
      <c r="D40" s="328" t="s">
        <v>445</v>
      </c>
      <c r="E40" s="329">
        <v>0</v>
      </c>
      <c r="F40" s="329">
        <v>0</v>
      </c>
      <c r="G40" s="329">
        <v>0</v>
      </c>
      <c r="H40" s="329">
        <v>0</v>
      </c>
      <c r="I40" s="329">
        <v>0</v>
      </c>
      <c r="J40" s="329">
        <v>0</v>
      </c>
      <c r="K40" s="329">
        <v>0</v>
      </c>
      <c r="L40" s="329">
        <v>0</v>
      </c>
      <c r="M40" s="329">
        <v>0</v>
      </c>
      <c r="N40" s="329">
        <v>0</v>
      </c>
      <c r="O40" s="329">
        <v>0</v>
      </c>
      <c r="P40" s="329">
        <v>0</v>
      </c>
      <c r="Q40" s="329">
        <v>0</v>
      </c>
      <c r="R40" s="329">
        <v>0</v>
      </c>
      <c r="S40" s="329">
        <v>0</v>
      </c>
      <c r="T40" s="329">
        <v>0</v>
      </c>
      <c r="U40" s="329">
        <v>0</v>
      </c>
      <c r="V40" s="329">
        <v>0</v>
      </c>
      <c r="W40" s="329">
        <v>0</v>
      </c>
      <c r="X40" s="329">
        <v>0</v>
      </c>
      <c r="Y40" s="329">
        <v>0</v>
      </c>
      <c r="Z40" s="329">
        <v>0</v>
      </c>
      <c r="AA40" s="329">
        <v>0</v>
      </c>
      <c r="AB40" s="329">
        <v>0</v>
      </c>
      <c r="AC40" s="329">
        <v>0</v>
      </c>
      <c r="AD40" s="329">
        <v>0</v>
      </c>
      <c r="AE40" s="329">
        <v>0</v>
      </c>
      <c r="AF40" s="329">
        <v>0</v>
      </c>
      <c r="AG40" s="329">
        <v>0</v>
      </c>
      <c r="AH40" s="329">
        <v>0</v>
      </c>
      <c r="AI40" s="329">
        <v>0</v>
      </c>
      <c r="AJ40" s="329">
        <v>0</v>
      </c>
      <c r="AK40" s="329">
        <v>0</v>
      </c>
      <c r="AL40" s="329">
        <v>0</v>
      </c>
      <c r="AM40" s="329">
        <v>0</v>
      </c>
      <c r="AN40" s="329">
        <v>0</v>
      </c>
      <c r="AO40" s="330">
        <v>74433.84</v>
      </c>
      <c r="AP40" s="330">
        <v>74725.13</v>
      </c>
      <c r="AQ40" s="330">
        <v>74702.720000000001</v>
      </c>
      <c r="AR40" s="330">
        <v>72798.179999999993</v>
      </c>
      <c r="AS40" s="330">
        <v>72753.36</v>
      </c>
      <c r="AT40" s="330">
        <v>73806.460000000006</v>
      </c>
      <c r="AU40" s="330">
        <v>74030.53</v>
      </c>
      <c r="AV40" s="330">
        <v>74478.66</v>
      </c>
      <c r="AW40" s="330">
        <v>74478.66</v>
      </c>
      <c r="AX40" s="330">
        <v>59914.5</v>
      </c>
      <c r="AY40" s="330">
        <v>63856.47</v>
      </c>
      <c r="AZ40" s="330">
        <v>66950.100000000006</v>
      </c>
      <c r="BA40" s="331"/>
      <c r="BB40" s="331"/>
      <c r="BC40" s="331"/>
      <c r="BD40" s="331"/>
      <c r="BE40" s="331"/>
      <c r="BF40" s="331"/>
      <c r="BG40" s="331"/>
      <c r="BH40" s="331"/>
      <c r="BI40" s="331"/>
      <c r="BJ40" s="331"/>
      <c r="BK40" s="331"/>
      <c r="BL40" s="331"/>
      <c r="BM40" s="329">
        <v>0</v>
      </c>
      <c r="BN40" s="329">
        <v>0</v>
      </c>
      <c r="BO40" s="329">
        <v>0</v>
      </c>
      <c r="BP40" s="329">
        <v>0</v>
      </c>
      <c r="BQ40" s="329">
        <v>0</v>
      </c>
      <c r="BR40" s="329">
        <v>0</v>
      </c>
      <c r="BS40" s="329">
        <v>0</v>
      </c>
      <c r="BT40" s="329">
        <v>0</v>
      </c>
      <c r="BU40" s="329">
        <v>0</v>
      </c>
      <c r="BV40" s="329">
        <v>0</v>
      </c>
      <c r="BW40" s="329">
        <v>0</v>
      </c>
      <c r="BX40" s="329">
        <v>0</v>
      </c>
      <c r="BY40" s="329">
        <v>0</v>
      </c>
      <c r="BZ40" s="329">
        <v>0</v>
      </c>
      <c r="CA40" s="329">
        <v>0</v>
      </c>
      <c r="CB40" s="329">
        <v>0</v>
      </c>
      <c r="CC40" s="329">
        <v>0</v>
      </c>
      <c r="CD40" s="329">
        <v>0</v>
      </c>
      <c r="CE40" s="329">
        <v>0</v>
      </c>
      <c r="CF40" s="329">
        <v>0</v>
      </c>
      <c r="CG40" s="329">
        <v>0</v>
      </c>
      <c r="CH40" s="329">
        <v>0</v>
      </c>
      <c r="CI40" s="329">
        <v>0</v>
      </c>
      <c r="CJ40" s="329">
        <v>0</v>
      </c>
      <c r="CK40" s="331"/>
      <c r="CL40" s="331"/>
      <c r="CM40" s="331"/>
      <c r="CN40" s="331"/>
      <c r="CO40" s="331"/>
      <c r="CP40" s="331"/>
      <c r="CQ40" s="331"/>
      <c r="CR40" s="331"/>
      <c r="CS40" s="331"/>
      <c r="CT40" s="331"/>
      <c r="CU40" s="331"/>
      <c r="CV40" s="331"/>
      <c r="CW40" s="329">
        <v>0</v>
      </c>
      <c r="CX40" s="329">
        <v>0</v>
      </c>
      <c r="CY40" s="329">
        <v>0</v>
      </c>
      <c r="CZ40" s="329">
        <v>0</v>
      </c>
      <c r="DA40" s="329">
        <v>0</v>
      </c>
      <c r="DB40" s="329">
        <v>0</v>
      </c>
      <c r="DC40" s="329">
        <v>0</v>
      </c>
      <c r="DD40" s="329">
        <v>0</v>
      </c>
      <c r="DE40" s="329">
        <v>0</v>
      </c>
      <c r="DF40" s="329">
        <v>0</v>
      </c>
      <c r="DG40" s="329">
        <v>0</v>
      </c>
      <c r="DH40" s="329">
        <v>0</v>
      </c>
      <c r="DI40" s="330">
        <v>5320.21</v>
      </c>
      <c r="DJ40" s="330">
        <v>5341.06</v>
      </c>
      <c r="DK40" s="330">
        <v>5339.46</v>
      </c>
      <c r="DL40" s="330">
        <v>5203.08</v>
      </c>
      <c r="DM40" s="330">
        <v>5199.88</v>
      </c>
      <c r="DN40" s="330">
        <v>5275.28</v>
      </c>
      <c r="DO40" s="330">
        <v>5291.33</v>
      </c>
      <c r="DP40" s="330">
        <v>5323.42</v>
      </c>
      <c r="DQ40" s="330">
        <v>5323.42</v>
      </c>
      <c r="DR40" s="330">
        <v>4280.55</v>
      </c>
      <c r="DS40" s="330">
        <v>4562.82</v>
      </c>
      <c r="DT40" s="330">
        <v>5365.02</v>
      </c>
      <c r="DU40" s="330">
        <v>1040.53</v>
      </c>
      <c r="DV40" s="330">
        <v>1044.6099999999999</v>
      </c>
      <c r="DW40" s="330">
        <v>1044.29</v>
      </c>
      <c r="DX40" s="330">
        <v>1017.62</v>
      </c>
      <c r="DY40" s="330">
        <v>1016.99</v>
      </c>
      <c r="DZ40" s="330">
        <v>1031.74</v>
      </c>
      <c r="EA40" s="330">
        <v>1034.8800000000001</v>
      </c>
      <c r="EB40" s="330">
        <v>1041.1600000000001</v>
      </c>
      <c r="EC40" s="330">
        <v>1041.1600000000001</v>
      </c>
      <c r="ED40" s="330">
        <v>837.19</v>
      </c>
      <c r="EE40" s="330">
        <v>892.4</v>
      </c>
      <c r="EF40" s="330">
        <v>935.72</v>
      </c>
      <c r="EG40" s="329">
        <v>0</v>
      </c>
      <c r="EH40" s="329">
        <v>0</v>
      </c>
      <c r="EI40" s="329">
        <v>0</v>
      </c>
      <c r="EJ40" s="329">
        <v>0</v>
      </c>
      <c r="EK40" s="329">
        <v>0</v>
      </c>
      <c r="EL40" s="329">
        <v>0</v>
      </c>
      <c r="EM40" s="329">
        <v>0</v>
      </c>
      <c r="EN40" s="329">
        <v>0</v>
      </c>
      <c r="EO40" s="329">
        <v>0</v>
      </c>
      <c r="EP40" s="329">
        <v>0</v>
      </c>
      <c r="EQ40" s="329">
        <v>0</v>
      </c>
      <c r="ER40" s="329">
        <v>0</v>
      </c>
      <c r="ES40" s="329">
        <v>0</v>
      </c>
      <c r="ET40" s="329">
        <v>0</v>
      </c>
      <c r="EU40" s="329">
        <v>0</v>
      </c>
      <c r="EV40" s="329">
        <v>0</v>
      </c>
      <c r="EW40" s="329">
        <v>0</v>
      </c>
      <c r="EX40" s="329">
        <v>0</v>
      </c>
      <c r="EY40" s="329">
        <v>0</v>
      </c>
      <c r="EZ40" s="329">
        <v>0</v>
      </c>
      <c r="FA40" s="329">
        <v>0</v>
      </c>
      <c r="FB40" s="329">
        <v>0</v>
      </c>
      <c r="FC40" s="329">
        <v>0</v>
      </c>
      <c r="FD40" s="329">
        <v>0</v>
      </c>
      <c r="FE40" s="331"/>
      <c r="FF40" s="331"/>
      <c r="FG40" s="331"/>
      <c r="FH40" s="331"/>
      <c r="FI40" s="331"/>
      <c r="FJ40" s="331"/>
      <c r="FK40" s="331"/>
      <c r="FL40" s="331"/>
      <c r="FM40" s="331"/>
      <c r="FN40" s="331"/>
      <c r="FO40" s="331"/>
      <c r="FP40" s="331"/>
      <c r="FQ40" s="329">
        <v>0</v>
      </c>
      <c r="FR40" s="329">
        <v>0</v>
      </c>
      <c r="FS40" s="329">
        <v>0</v>
      </c>
      <c r="FT40" s="329">
        <v>0</v>
      </c>
      <c r="FU40" s="329">
        <v>0</v>
      </c>
      <c r="FV40" s="329">
        <v>0</v>
      </c>
      <c r="FW40" s="329">
        <v>0</v>
      </c>
      <c r="FX40" s="329">
        <v>0</v>
      </c>
      <c r="FY40" s="329">
        <v>0</v>
      </c>
      <c r="FZ40" s="329">
        <v>0</v>
      </c>
      <c r="GA40" s="329">
        <v>0</v>
      </c>
      <c r="GB40" s="329">
        <v>0</v>
      </c>
      <c r="GC40" s="330">
        <v>96961.86</v>
      </c>
      <c r="GD40" s="330">
        <v>97013.47</v>
      </c>
      <c r="GE40" s="330">
        <v>97009.5</v>
      </c>
      <c r="GF40" s="330">
        <v>111356.95</v>
      </c>
      <c r="GG40" s="330">
        <v>111349.01</v>
      </c>
      <c r="GH40" s="330">
        <v>101392.96000000001</v>
      </c>
      <c r="GI40" s="330">
        <v>101432.67</v>
      </c>
      <c r="GJ40" s="330">
        <v>101512.07</v>
      </c>
      <c r="GK40" s="330">
        <v>101512.07</v>
      </c>
      <c r="GL40" s="330">
        <v>98931.43</v>
      </c>
      <c r="GM40" s="330">
        <v>99629.91</v>
      </c>
      <c r="GN40" s="330">
        <v>100178.08</v>
      </c>
      <c r="GO40" s="330">
        <v>18966.05</v>
      </c>
      <c r="GP40" s="330">
        <v>19040.41</v>
      </c>
      <c r="GQ40" s="330">
        <v>19034.689999999999</v>
      </c>
      <c r="GR40" s="330">
        <v>18548.53</v>
      </c>
      <c r="GS40" s="330">
        <v>18537.09</v>
      </c>
      <c r="GT40" s="330">
        <v>18367.919999999998</v>
      </c>
      <c r="GU40" s="330">
        <v>18423.78</v>
      </c>
      <c r="GV40" s="330">
        <v>18535.509999999998</v>
      </c>
      <c r="GW40" s="330">
        <v>18535.509999999998</v>
      </c>
      <c r="GX40" s="330">
        <v>14904.38</v>
      </c>
      <c r="GY40" s="330">
        <v>15887.19</v>
      </c>
      <c r="GZ40" s="330">
        <v>16658.5</v>
      </c>
      <c r="HA40" s="330">
        <v>2434.54</v>
      </c>
      <c r="HB40" s="330">
        <v>1797.44</v>
      </c>
      <c r="HC40" s="330">
        <v>1865.38</v>
      </c>
      <c r="HD40" s="330">
        <v>1569.78</v>
      </c>
      <c r="HE40" s="330">
        <v>2269.3000000000002</v>
      </c>
      <c r="HF40" s="330">
        <v>2289.59</v>
      </c>
      <c r="HG40" s="330">
        <v>2941.46</v>
      </c>
      <c r="HH40" s="330">
        <v>3789.22</v>
      </c>
      <c r="HI40" s="330">
        <v>3724.99</v>
      </c>
      <c r="HJ40" s="330">
        <v>1730.84</v>
      </c>
      <c r="HK40" s="330">
        <v>1416.14</v>
      </c>
      <c r="HL40" s="330">
        <v>1945.99</v>
      </c>
      <c r="HM40" s="329">
        <v>0</v>
      </c>
      <c r="HN40" s="329">
        <v>0</v>
      </c>
      <c r="HO40" s="329">
        <v>0</v>
      </c>
      <c r="HP40" s="329">
        <v>0</v>
      </c>
      <c r="HQ40" s="329">
        <v>0</v>
      </c>
      <c r="HR40" s="329">
        <v>0</v>
      </c>
      <c r="HS40" s="329">
        <v>0</v>
      </c>
      <c r="HT40" s="329">
        <v>0</v>
      </c>
      <c r="HU40" s="329">
        <v>0</v>
      </c>
      <c r="HV40" s="329">
        <v>0</v>
      </c>
      <c r="HW40" s="329">
        <v>0</v>
      </c>
      <c r="HX40" s="329">
        <v>0</v>
      </c>
      <c r="HY40" s="331"/>
      <c r="HZ40" s="331"/>
      <c r="IA40" s="331"/>
      <c r="IB40" s="331"/>
      <c r="IC40" s="331"/>
      <c r="ID40" s="331"/>
      <c r="IE40" s="331"/>
      <c r="IF40" s="331"/>
      <c r="IG40" s="331"/>
      <c r="IH40" s="331"/>
      <c r="II40" s="331"/>
      <c r="IJ40" s="331"/>
      <c r="IK40" s="329">
        <v>0</v>
      </c>
      <c r="IL40" s="329">
        <v>0</v>
      </c>
      <c r="IM40" s="329">
        <v>0</v>
      </c>
      <c r="IN40" s="329">
        <v>0</v>
      </c>
      <c r="IO40" s="329">
        <v>0</v>
      </c>
      <c r="IP40" s="329">
        <v>0</v>
      </c>
      <c r="IQ40" s="329">
        <v>0</v>
      </c>
      <c r="IR40" s="329">
        <v>0</v>
      </c>
      <c r="IS40" s="329">
        <v>0</v>
      </c>
      <c r="IT40" s="329">
        <v>0</v>
      </c>
      <c r="IU40" s="329">
        <v>0</v>
      </c>
      <c r="IV40" s="329">
        <v>0</v>
      </c>
      <c r="IW40" s="329">
        <v>0</v>
      </c>
      <c r="IX40" s="329">
        <v>0</v>
      </c>
      <c r="IY40" s="329">
        <v>0</v>
      </c>
      <c r="IZ40" s="329">
        <v>0</v>
      </c>
      <c r="JA40" s="329">
        <v>0</v>
      </c>
      <c r="JB40" s="329">
        <v>0</v>
      </c>
      <c r="JC40" s="329">
        <v>0</v>
      </c>
      <c r="JD40" s="329">
        <v>0</v>
      </c>
      <c r="JE40" s="329">
        <v>0</v>
      </c>
      <c r="JF40" s="329">
        <v>0</v>
      </c>
      <c r="JG40" s="329">
        <v>0</v>
      </c>
      <c r="JH40" s="329">
        <v>0</v>
      </c>
      <c r="JI40" s="331"/>
      <c r="JJ40" s="330">
        <v>-351.68</v>
      </c>
      <c r="JK40" s="330">
        <v>-353.06</v>
      </c>
      <c r="JL40" s="330">
        <v>-352.95</v>
      </c>
      <c r="JM40" s="330">
        <v>-343.94</v>
      </c>
      <c r="JN40" s="330">
        <v>-343.73</v>
      </c>
      <c r="JO40" s="330">
        <v>-348.71</v>
      </c>
      <c r="JP40" s="330">
        <v>-349.77</v>
      </c>
      <c r="JQ40" s="330">
        <v>-351.89</v>
      </c>
      <c r="JR40" s="330">
        <v>-351.89</v>
      </c>
      <c r="JS40" s="330">
        <v>-282.95999999999998</v>
      </c>
      <c r="JT40" s="330">
        <v>-301.62</v>
      </c>
      <c r="JU40" s="330">
        <v>-276.73</v>
      </c>
      <c r="JV40" s="331"/>
      <c r="JW40" s="331"/>
      <c r="JX40" s="331"/>
      <c r="JY40" s="331"/>
      <c r="JZ40" s="331"/>
      <c r="KA40" s="331"/>
      <c r="KB40" s="331"/>
      <c r="KC40" s="331"/>
      <c r="KD40" s="331"/>
      <c r="KE40" s="331"/>
      <c r="KF40" s="331"/>
      <c r="KG40" s="331"/>
      <c r="KH40" s="331"/>
      <c r="KI40" s="331"/>
      <c r="KJ40" s="331"/>
      <c r="KK40" s="331"/>
      <c r="KL40" s="331"/>
      <c r="KM40" s="331"/>
      <c r="KN40" s="331"/>
      <c r="KO40" s="331"/>
      <c r="KP40" s="331"/>
      <c r="KQ40" s="331"/>
      <c r="KR40" s="331"/>
      <c r="KS40" s="331"/>
      <c r="KT40" s="329">
        <v>0</v>
      </c>
      <c r="KU40" s="329">
        <v>0</v>
      </c>
      <c r="KV40" s="329">
        <v>0</v>
      </c>
      <c r="KW40" s="329">
        <v>0</v>
      </c>
      <c r="KX40" s="329">
        <v>0</v>
      </c>
      <c r="KY40" s="329">
        <v>0</v>
      </c>
      <c r="KZ40" s="329">
        <v>0</v>
      </c>
      <c r="LA40" s="329">
        <v>0</v>
      </c>
      <c r="LB40" s="329">
        <v>0</v>
      </c>
      <c r="LC40" s="329">
        <v>0</v>
      </c>
      <c r="LD40" s="329">
        <v>0</v>
      </c>
      <c r="LE40" s="329">
        <v>0</v>
      </c>
      <c r="LF40" s="329">
        <v>0</v>
      </c>
      <c r="LG40" s="329">
        <v>0</v>
      </c>
      <c r="LH40" s="329">
        <v>0</v>
      </c>
      <c r="LI40" s="329">
        <v>0</v>
      </c>
      <c r="LJ40" s="329">
        <v>0</v>
      </c>
      <c r="LK40" s="329">
        <v>0</v>
      </c>
      <c r="LL40" s="329">
        <v>0</v>
      </c>
      <c r="LM40" s="329">
        <v>0</v>
      </c>
      <c r="LN40" s="329">
        <v>0</v>
      </c>
      <c r="LO40" s="329">
        <v>0</v>
      </c>
      <c r="LP40" s="329">
        <v>0</v>
      </c>
      <c r="LQ40" s="329">
        <v>0</v>
      </c>
      <c r="LR40" s="331"/>
      <c r="LS40" s="331"/>
      <c r="LT40" s="331"/>
      <c r="LU40" s="331"/>
      <c r="LV40" s="331"/>
      <c r="LW40" s="331"/>
      <c r="LX40" s="331"/>
      <c r="LY40" s="331"/>
      <c r="LZ40" s="331"/>
      <c r="MA40" s="331"/>
      <c r="MB40" s="331"/>
      <c r="MC40" s="331"/>
      <c r="MD40" s="331"/>
      <c r="ME40" s="331"/>
      <c r="MF40" s="331"/>
      <c r="MG40" s="331"/>
      <c r="MH40" s="331"/>
      <c r="MI40" s="331"/>
      <c r="MJ40" s="331"/>
      <c r="MK40" s="331"/>
      <c r="ML40" s="331"/>
      <c r="MM40" s="331"/>
      <c r="MN40" s="331"/>
      <c r="MO40" s="331"/>
      <c r="MP40" s="331"/>
      <c r="MQ40" s="331"/>
      <c r="MR40" s="331"/>
      <c r="MS40" s="331"/>
      <c r="MT40" s="331"/>
      <c r="MU40" s="331"/>
      <c r="MV40" s="331"/>
      <c r="MW40" s="331"/>
      <c r="MX40" s="331"/>
      <c r="MY40" s="331"/>
      <c r="MZ40" s="331"/>
      <c r="NA40" s="331"/>
      <c r="NB40" s="331"/>
      <c r="NC40" s="331"/>
      <c r="ND40" s="331"/>
      <c r="NE40" s="331"/>
      <c r="NF40" s="331"/>
      <c r="NG40" s="331"/>
      <c r="NH40" s="331"/>
      <c r="NI40" s="331"/>
      <c r="NJ40" s="331"/>
      <c r="NK40" s="331"/>
      <c r="NL40" s="331"/>
      <c r="NM40" s="331"/>
      <c r="NN40" s="331"/>
      <c r="NO40" s="331"/>
      <c r="NP40" s="331"/>
      <c r="NQ40" s="331"/>
      <c r="NR40" s="331"/>
      <c r="NS40" s="331"/>
      <c r="NT40" s="331"/>
      <c r="NU40" s="331"/>
      <c r="NV40" s="331"/>
      <c r="NW40" s="331"/>
      <c r="NX40" s="331"/>
      <c r="NY40" s="331"/>
      <c r="NZ40" s="331"/>
      <c r="OA40" s="331"/>
      <c r="OB40" s="331"/>
      <c r="OC40" s="331"/>
      <c r="OD40" s="331"/>
      <c r="OE40" s="331"/>
      <c r="OF40" s="331"/>
      <c r="OG40" s="331"/>
      <c r="OH40" s="331"/>
      <c r="OI40" s="331"/>
      <c r="OJ40" s="331"/>
      <c r="OK40" s="331"/>
      <c r="OL40" s="332">
        <f t="shared" si="1"/>
        <v>2388217.7099999976</v>
      </c>
    </row>
    <row r="41" spans="1:402" ht="13.5" thickBot="1">
      <c r="A41" s="320" t="s">
        <v>404</v>
      </c>
      <c r="B41" s="328" t="s">
        <v>441</v>
      </c>
      <c r="C41" s="328" t="s">
        <v>206</v>
      </c>
      <c r="D41" s="328" t="s">
        <v>446</v>
      </c>
      <c r="E41" s="329">
        <v>0</v>
      </c>
      <c r="F41" s="329">
        <v>0</v>
      </c>
      <c r="G41" s="329">
        <v>0</v>
      </c>
      <c r="H41" s="329">
        <v>0</v>
      </c>
      <c r="I41" s="329">
        <v>0</v>
      </c>
      <c r="J41" s="329">
        <v>0</v>
      </c>
      <c r="K41" s="329">
        <v>0</v>
      </c>
      <c r="L41" s="329">
        <v>0</v>
      </c>
      <c r="M41" s="329">
        <v>0</v>
      </c>
      <c r="N41" s="329">
        <v>0</v>
      </c>
      <c r="O41" s="329">
        <v>0</v>
      </c>
      <c r="P41" s="329">
        <v>0</v>
      </c>
      <c r="Q41" s="329">
        <v>0</v>
      </c>
      <c r="R41" s="329">
        <v>0</v>
      </c>
      <c r="S41" s="329">
        <v>0</v>
      </c>
      <c r="T41" s="329">
        <v>0</v>
      </c>
      <c r="U41" s="329">
        <v>0</v>
      </c>
      <c r="V41" s="329">
        <v>0</v>
      </c>
      <c r="W41" s="329">
        <v>0</v>
      </c>
      <c r="X41" s="329">
        <v>0</v>
      </c>
      <c r="Y41" s="329">
        <v>0</v>
      </c>
      <c r="Z41" s="329">
        <v>0</v>
      </c>
      <c r="AA41" s="329">
        <v>0</v>
      </c>
      <c r="AB41" s="329">
        <v>0</v>
      </c>
      <c r="AC41" s="329">
        <v>0</v>
      </c>
      <c r="AD41" s="329">
        <v>0</v>
      </c>
      <c r="AE41" s="329">
        <v>0</v>
      </c>
      <c r="AF41" s="329">
        <v>0</v>
      </c>
      <c r="AG41" s="329">
        <v>0</v>
      </c>
      <c r="AH41" s="329">
        <v>0</v>
      </c>
      <c r="AI41" s="329">
        <v>0</v>
      </c>
      <c r="AJ41" s="329">
        <v>0</v>
      </c>
      <c r="AK41" s="329">
        <v>0</v>
      </c>
      <c r="AL41" s="329">
        <v>0</v>
      </c>
      <c r="AM41" s="329">
        <v>0</v>
      </c>
      <c r="AN41" s="329">
        <v>0</v>
      </c>
      <c r="AO41" s="330">
        <v>2225.48</v>
      </c>
      <c r="AP41" s="330">
        <v>2032.54</v>
      </c>
      <c r="AQ41" s="330">
        <v>2032.54</v>
      </c>
      <c r="AR41" s="330">
        <v>2021.96</v>
      </c>
      <c r="AS41" s="330">
        <v>2021.96</v>
      </c>
      <c r="AT41" s="330">
        <v>2314.1799999999998</v>
      </c>
      <c r="AU41" s="330">
        <v>2021.96</v>
      </c>
      <c r="AV41" s="330">
        <v>2021.96</v>
      </c>
      <c r="AW41" s="330">
        <v>1878.18</v>
      </c>
      <c r="AX41" s="330">
        <v>2737.1</v>
      </c>
      <c r="AY41" s="330">
        <v>2793.11</v>
      </c>
      <c r="AZ41" s="330">
        <v>2261.27</v>
      </c>
      <c r="BA41" s="331"/>
      <c r="BB41" s="331"/>
      <c r="BC41" s="331"/>
      <c r="BD41" s="331"/>
      <c r="BE41" s="331"/>
      <c r="BF41" s="331"/>
      <c r="BG41" s="331"/>
      <c r="BH41" s="331"/>
      <c r="BI41" s="331"/>
      <c r="BJ41" s="331"/>
      <c r="BK41" s="331"/>
      <c r="BL41" s="331"/>
      <c r="BM41" s="329">
        <v>0</v>
      </c>
      <c r="BN41" s="329">
        <v>0</v>
      </c>
      <c r="BO41" s="329">
        <v>0</v>
      </c>
      <c r="BP41" s="329">
        <v>0</v>
      </c>
      <c r="BQ41" s="329">
        <v>0</v>
      </c>
      <c r="BR41" s="329">
        <v>0</v>
      </c>
      <c r="BS41" s="329">
        <v>0</v>
      </c>
      <c r="BT41" s="329">
        <v>0</v>
      </c>
      <c r="BU41" s="329">
        <v>0</v>
      </c>
      <c r="BV41" s="329">
        <v>0</v>
      </c>
      <c r="BW41" s="329">
        <v>0</v>
      </c>
      <c r="BX41" s="329">
        <v>0</v>
      </c>
      <c r="BY41" s="329">
        <v>0</v>
      </c>
      <c r="BZ41" s="329">
        <v>0</v>
      </c>
      <c r="CA41" s="329">
        <v>0</v>
      </c>
      <c r="CB41" s="329">
        <v>0</v>
      </c>
      <c r="CC41" s="329">
        <v>0</v>
      </c>
      <c r="CD41" s="329">
        <v>0</v>
      </c>
      <c r="CE41" s="329">
        <v>0</v>
      </c>
      <c r="CF41" s="329">
        <v>0</v>
      </c>
      <c r="CG41" s="329">
        <v>0</v>
      </c>
      <c r="CH41" s="329">
        <v>0</v>
      </c>
      <c r="CI41" s="329">
        <v>0</v>
      </c>
      <c r="CJ41" s="329">
        <v>0</v>
      </c>
      <c r="CK41" s="331"/>
      <c r="CL41" s="331"/>
      <c r="CM41" s="331"/>
      <c r="CN41" s="331"/>
      <c r="CO41" s="331"/>
      <c r="CP41" s="331"/>
      <c r="CQ41" s="331"/>
      <c r="CR41" s="331"/>
      <c r="CS41" s="331"/>
      <c r="CT41" s="331"/>
      <c r="CU41" s="331"/>
      <c r="CV41" s="331"/>
      <c r="CW41" s="329">
        <v>0</v>
      </c>
      <c r="CX41" s="329">
        <v>0</v>
      </c>
      <c r="CY41" s="329">
        <v>0</v>
      </c>
      <c r="CZ41" s="329">
        <v>0</v>
      </c>
      <c r="DA41" s="329">
        <v>0</v>
      </c>
      <c r="DB41" s="329">
        <v>0</v>
      </c>
      <c r="DC41" s="329">
        <v>0</v>
      </c>
      <c r="DD41" s="329">
        <v>0</v>
      </c>
      <c r="DE41" s="329">
        <v>0</v>
      </c>
      <c r="DF41" s="329">
        <v>0</v>
      </c>
      <c r="DG41" s="329">
        <v>0</v>
      </c>
      <c r="DH41" s="329">
        <v>0</v>
      </c>
      <c r="DI41" s="330">
        <v>149.74</v>
      </c>
      <c r="DJ41" s="330">
        <v>135.93</v>
      </c>
      <c r="DK41" s="330">
        <v>135.93</v>
      </c>
      <c r="DL41" s="330">
        <v>135.16999999999999</v>
      </c>
      <c r="DM41" s="330">
        <v>135.16999999999999</v>
      </c>
      <c r="DN41" s="330">
        <v>156.1</v>
      </c>
      <c r="DO41" s="330">
        <v>135.16999999999999</v>
      </c>
      <c r="DP41" s="330">
        <v>135.16999999999999</v>
      </c>
      <c r="DQ41" s="330">
        <v>124.88</v>
      </c>
      <c r="DR41" s="330">
        <v>186.38</v>
      </c>
      <c r="DS41" s="330">
        <v>190.39</v>
      </c>
      <c r="DT41" s="330">
        <v>170.79</v>
      </c>
      <c r="DU41" s="330">
        <v>29.29</v>
      </c>
      <c r="DV41" s="330">
        <v>26.59</v>
      </c>
      <c r="DW41" s="330">
        <v>26.59</v>
      </c>
      <c r="DX41" s="330">
        <v>26.44</v>
      </c>
      <c r="DY41" s="330">
        <v>26.44</v>
      </c>
      <c r="DZ41" s="330">
        <v>30.53</v>
      </c>
      <c r="EA41" s="330">
        <v>26.44</v>
      </c>
      <c r="EB41" s="330">
        <v>26.44</v>
      </c>
      <c r="EC41" s="330">
        <v>24.42</v>
      </c>
      <c r="ED41" s="330">
        <v>36.450000000000003</v>
      </c>
      <c r="EE41" s="330">
        <v>37.24</v>
      </c>
      <c r="EF41" s="330">
        <v>29.79</v>
      </c>
      <c r="EG41" s="329">
        <v>0</v>
      </c>
      <c r="EH41" s="329">
        <v>0</v>
      </c>
      <c r="EI41" s="329">
        <v>0</v>
      </c>
      <c r="EJ41" s="329">
        <v>0</v>
      </c>
      <c r="EK41" s="329">
        <v>0</v>
      </c>
      <c r="EL41" s="329">
        <v>0</v>
      </c>
      <c r="EM41" s="329">
        <v>0</v>
      </c>
      <c r="EN41" s="329">
        <v>0</v>
      </c>
      <c r="EO41" s="329">
        <v>0</v>
      </c>
      <c r="EP41" s="329">
        <v>0</v>
      </c>
      <c r="EQ41" s="329">
        <v>0</v>
      </c>
      <c r="ER41" s="329">
        <v>0</v>
      </c>
      <c r="ES41" s="329">
        <v>0</v>
      </c>
      <c r="ET41" s="329">
        <v>0</v>
      </c>
      <c r="EU41" s="329">
        <v>0</v>
      </c>
      <c r="EV41" s="329">
        <v>0</v>
      </c>
      <c r="EW41" s="329">
        <v>0</v>
      </c>
      <c r="EX41" s="329">
        <v>0</v>
      </c>
      <c r="EY41" s="329">
        <v>0</v>
      </c>
      <c r="EZ41" s="329">
        <v>0</v>
      </c>
      <c r="FA41" s="329">
        <v>0</v>
      </c>
      <c r="FB41" s="329">
        <v>0</v>
      </c>
      <c r="FC41" s="329">
        <v>0</v>
      </c>
      <c r="FD41" s="329">
        <v>0</v>
      </c>
      <c r="FE41" s="331"/>
      <c r="FF41" s="331"/>
      <c r="FG41" s="331"/>
      <c r="FH41" s="331"/>
      <c r="FI41" s="331"/>
      <c r="FJ41" s="331"/>
      <c r="FK41" s="331"/>
      <c r="FL41" s="331"/>
      <c r="FM41" s="331"/>
      <c r="FN41" s="331"/>
      <c r="FO41" s="331"/>
      <c r="FP41" s="331"/>
      <c r="FQ41" s="329">
        <v>0</v>
      </c>
      <c r="FR41" s="329">
        <v>0</v>
      </c>
      <c r="FS41" s="329">
        <v>0</v>
      </c>
      <c r="FT41" s="329">
        <v>0</v>
      </c>
      <c r="FU41" s="329">
        <v>0</v>
      </c>
      <c r="FV41" s="329">
        <v>0</v>
      </c>
      <c r="FW41" s="329">
        <v>0</v>
      </c>
      <c r="FX41" s="329">
        <v>0</v>
      </c>
      <c r="FY41" s="329">
        <v>0</v>
      </c>
      <c r="FZ41" s="329">
        <v>0</v>
      </c>
      <c r="GA41" s="329">
        <v>0</v>
      </c>
      <c r="GB41" s="329">
        <v>0</v>
      </c>
      <c r="GC41" s="330">
        <v>413.12</v>
      </c>
      <c r="GD41" s="330">
        <v>378.94</v>
      </c>
      <c r="GE41" s="330">
        <v>378.94</v>
      </c>
      <c r="GF41" s="330">
        <v>360.85</v>
      </c>
      <c r="GG41" s="330">
        <v>360.85</v>
      </c>
      <c r="GH41" s="330">
        <v>409.91</v>
      </c>
      <c r="GI41" s="330">
        <v>358.13</v>
      </c>
      <c r="GJ41" s="330">
        <v>358.13</v>
      </c>
      <c r="GK41" s="330">
        <v>332.66</v>
      </c>
      <c r="GL41" s="330">
        <v>484.85</v>
      </c>
      <c r="GM41" s="330">
        <v>494.77</v>
      </c>
      <c r="GN41" s="330">
        <v>546.25</v>
      </c>
      <c r="GO41" s="330">
        <v>533.83000000000004</v>
      </c>
      <c r="GP41" s="330">
        <v>484.57</v>
      </c>
      <c r="GQ41" s="330">
        <v>484.57</v>
      </c>
      <c r="GR41" s="330">
        <v>481.87</v>
      </c>
      <c r="GS41" s="330">
        <v>481.87</v>
      </c>
      <c r="GT41" s="330">
        <v>543.51</v>
      </c>
      <c r="GU41" s="330">
        <v>470.65</v>
      </c>
      <c r="GV41" s="330">
        <v>470.65</v>
      </c>
      <c r="GW41" s="330">
        <v>434.8</v>
      </c>
      <c r="GX41" s="330">
        <v>648.95000000000005</v>
      </c>
      <c r="GY41" s="330">
        <v>662.91</v>
      </c>
      <c r="GZ41" s="330">
        <v>530.32000000000005</v>
      </c>
      <c r="HA41" s="330">
        <v>4.9000000000000004</v>
      </c>
      <c r="HB41" s="330">
        <v>5.92</v>
      </c>
      <c r="HC41" s="330">
        <v>8.57</v>
      </c>
      <c r="HD41" s="330">
        <v>3.26</v>
      </c>
      <c r="HE41" s="330">
        <v>9.59</v>
      </c>
      <c r="HF41" s="330">
        <v>10.7</v>
      </c>
      <c r="HG41" s="330">
        <v>9.2799999999999994</v>
      </c>
      <c r="HH41" s="330">
        <v>7.14</v>
      </c>
      <c r="HI41" s="330">
        <v>12.84</v>
      </c>
      <c r="HJ41" s="330">
        <v>12.13</v>
      </c>
      <c r="HK41" s="330">
        <v>13.56</v>
      </c>
      <c r="HL41" s="330">
        <v>15.34</v>
      </c>
      <c r="HM41" s="329">
        <v>0</v>
      </c>
      <c r="HN41" s="329">
        <v>0</v>
      </c>
      <c r="HO41" s="329">
        <v>0</v>
      </c>
      <c r="HP41" s="329">
        <v>0</v>
      </c>
      <c r="HQ41" s="329">
        <v>0</v>
      </c>
      <c r="HR41" s="329">
        <v>0</v>
      </c>
      <c r="HS41" s="329">
        <v>0</v>
      </c>
      <c r="HT41" s="329">
        <v>0</v>
      </c>
      <c r="HU41" s="329">
        <v>0</v>
      </c>
      <c r="HV41" s="329">
        <v>0</v>
      </c>
      <c r="HW41" s="329">
        <v>0</v>
      </c>
      <c r="HX41" s="329">
        <v>0</v>
      </c>
      <c r="HY41" s="331"/>
      <c r="HZ41" s="331"/>
      <c r="IA41" s="331"/>
      <c r="IB41" s="331"/>
      <c r="IC41" s="331"/>
      <c r="ID41" s="331"/>
      <c r="IE41" s="331"/>
      <c r="IF41" s="331"/>
      <c r="IG41" s="331"/>
      <c r="IH41" s="331"/>
      <c r="II41" s="331"/>
      <c r="IJ41" s="331"/>
      <c r="IK41" s="329">
        <v>0</v>
      </c>
      <c r="IL41" s="329">
        <v>0</v>
      </c>
      <c r="IM41" s="329">
        <v>0</v>
      </c>
      <c r="IN41" s="329">
        <v>0</v>
      </c>
      <c r="IO41" s="329">
        <v>0</v>
      </c>
      <c r="IP41" s="329">
        <v>0</v>
      </c>
      <c r="IQ41" s="329">
        <v>0</v>
      </c>
      <c r="IR41" s="329">
        <v>0</v>
      </c>
      <c r="IS41" s="329">
        <v>0</v>
      </c>
      <c r="IT41" s="329">
        <v>0</v>
      </c>
      <c r="IU41" s="329">
        <v>0</v>
      </c>
      <c r="IV41" s="329">
        <v>0</v>
      </c>
      <c r="IW41" s="329">
        <v>0</v>
      </c>
      <c r="IX41" s="329">
        <v>0</v>
      </c>
      <c r="IY41" s="329">
        <v>0</v>
      </c>
      <c r="IZ41" s="329">
        <v>0</v>
      </c>
      <c r="JA41" s="329">
        <v>0</v>
      </c>
      <c r="JB41" s="329">
        <v>0</v>
      </c>
      <c r="JC41" s="329">
        <v>0</v>
      </c>
      <c r="JD41" s="329">
        <v>0</v>
      </c>
      <c r="JE41" s="329">
        <v>0</v>
      </c>
      <c r="JF41" s="329">
        <v>0</v>
      </c>
      <c r="JG41" s="329">
        <v>0</v>
      </c>
      <c r="JH41" s="329">
        <v>0</v>
      </c>
      <c r="JI41" s="330">
        <v>81.27</v>
      </c>
      <c r="JJ41" s="330">
        <v>-9.9</v>
      </c>
      <c r="JK41" s="330">
        <v>-8.99</v>
      </c>
      <c r="JL41" s="330">
        <v>-8.99</v>
      </c>
      <c r="JM41" s="330">
        <v>-8.94</v>
      </c>
      <c r="JN41" s="330">
        <v>-8.94</v>
      </c>
      <c r="JO41" s="330">
        <v>-10.32</v>
      </c>
      <c r="JP41" s="330">
        <v>-8.94</v>
      </c>
      <c r="JQ41" s="330">
        <v>-8.94</v>
      </c>
      <c r="JR41" s="330">
        <v>-8.25</v>
      </c>
      <c r="JS41" s="330">
        <v>-12.32</v>
      </c>
      <c r="JT41" s="330">
        <v>-12.59</v>
      </c>
      <c r="JU41" s="330">
        <v>-8.81</v>
      </c>
      <c r="JV41" s="331"/>
      <c r="JW41" s="331"/>
      <c r="JX41" s="331"/>
      <c r="JY41" s="331"/>
      <c r="JZ41" s="331"/>
      <c r="KA41" s="331"/>
      <c r="KB41" s="331"/>
      <c r="KC41" s="331"/>
      <c r="KD41" s="331"/>
      <c r="KE41" s="331"/>
      <c r="KF41" s="331"/>
      <c r="KG41" s="331"/>
      <c r="KH41" s="331"/>
      <c r="KI41" s="331"/>
      <c r="KJ41" s="331"/>
      <c r="KK41" s="331"/>
      <c r="KL41" s="331"/>
      <c r="KM41" s="331"/>
      <c r="KN41" s="331"/>
      <c r="KO41" s="331"/>
      <c r="KP41" s="331"/>
      <c r="KQ41" s="331"/>
      <c r="KR41" s="331"/>
      <c r="KS41" s="331"/>
      <c r="KT41" s="329">
        <v>0</v>
      </c>
      <c r="KU41" s="329">
        <v>0</v>
      </c>
      <c r="KV41" s="329">
        <v>0</v>
      </c>
      <c r="KW41" s="329">
        <v>0</v>
      </c>
      <c r="KX41" s="329">
        <v>0</v>
      </c>
      <c r="KY41" s="329">
        <v>0</v>
      </c>
      <c r="KZ41" s="329">
        <v>0</v>
      </c>
      <c r="LA41" s="329">
        <v>0</v>
      </c>
      <c r="LB41" s="329">
        <v>0</v>
      </c>
      <c r="LC41" s="329">
        <v>0</v>
      </c>
      <c r="LD41" s="329">
        <v>0</v>
      </c>
      <c r="LE41" s="329">
        <v>0</v>
      </c>
      <c r="LF41" s="329">
        <v>0</v>
      </c>
      <c r="LG41" s="329">
        <v>0</v>
      </c>
      <c r="LH41" s="329">
        <v>0</v>
      </c>
      <c r="LI41" s="329">
        <v>0</v>
      </c>
      <c r="LJ41" s="329">
        <v>0</v>
      </c>
      <c r="LK41" s="329">
        <v>0</v>
      </c>
      <c r="LL41" s="329">
        <v>0</v>
      </c>
      <c r="LM41" s="329">
        <v>0</v>
      </c>
      <c r="LN41" s="329">
        <v>0</v>
      </c>
      <c r="LO41" s="329">
        <v>0</v>
      </c>
      <c r="LP41" s="329">
        <v>0</v>
      </c>
      <c r="LQ41" s="329">
        <v>0</v>
      </c>
      <c r="LR41" s="331"/>
      <c r="LS41" s="331"/>
      <c r="LT41" s="331"/>
      <c r="LU41" s="331"/>
      <c r="LV41" s="331"/>
      <c r="LW41" s="331"/>
      <c r="LX41" s="331"/>
      <c r="LY41" s="331"/>
      <c r="LZ41" s="331"/>
      <c r="MA41" s="331"/>
      <c r="MB41" s="331"/>
      <c r="MC41" s="331"/>
      <c r="MD41" s="331"/>
      <c r="ME41" s="331"/>
      <c r="MF41" s="331"/>
      <c r="MG41" s="331"/>
      <c r="MH41" s="331"/>
      <c r="MI41" s="331"/>
      <c r="MJ41" s="331"/>
      <c r="MK41" s="331"/>
      <c r="ML41" s="331"/>
      <c r="MM41" s="331"/>
      <c r="MN41" s="331"/>
      <c r="MO41" s="331"/>
      <c r="MP41" s="331"/>
      <c r="MQ41" s="331"/>
      <c r="MR41" s="331"/>
      <c r="MS41" s="331"/>
      <c r="MT41" s="331"/>
      <c r="MU41" s="331"/>
      <c r="MV41" s="331"/>
      <c r="MW41" s="331"/>
      <c r="MX41" s="331"/>
      <c r="MY41" s="331"/>
      <c r="MZ41" s="331"/>
      <c r="NA41" s="331"/>
      <c r="NB41" s="331"/>
      <c r="NC41" s="331"/>
      <c r="ND41" s="331"/>
      <c r="NE41" s="331"/>
      <c r="NF41" s="331"/>
      <c r="NG41" s="331"/>
      <c r="NH41" s="331"/>
      <c r="NI41" s="331"/>
      <c r="NJ41" s="331"/>
      <c r="NK41" s="331"/>
      <c r="NL41" s="331"/>
      <c r="NM41" s="331"/>
      <c r="NN41" s="331"/>
      <c r="NO41" s="331"/>
      <c r="NP41" s="331"/>
      <c r="NQ41" s="331"/>
      <c r="NR41" s="331"/>
      <c r="NS41" s="331"/>
      <c r="NT41" s="331"/>
      <c r="NU41" s="331"/>
      <c r="NV41" s="331"/>
      <c r="NW41" s="331"/>
      <c r="NX41" s="331"/>
      <c r="NY41" s="331"/>
      <c r="NZ41" s="331"/>
      <c r="OA41" s="331"/>
      <c r="OB41" s="331"/>
      <c r="OC41" s="331"/>
      <c r="OD41" s="331"/>
      <c r="OE41" s="331"/>
      <c r="OF41" s="331"/>
      <c r="OG41" s="331"/>
      <c r="OH41" s="331"/>
      <c r="OI41" s="331"/>
      <c r="OJ41" s="331"/>
      <c r="OK41" s="331"/>
      <c r="OL41" s="332">
        <f t="shared" si="1"/>
        <v>39684.189999999973</v>
      </c>
    </row>
    <row r="42" spans="1:402" ht="13.5" thickBot="1">
      <c r="A42" s="320" t="s">
        <v>404</v>
      </c>
      <c r="B42" s="328" t="s">
        <v>441</v>
      </c>
      <c r="C42" s="328" t="s">
        <v>206</v>
      </c>
      <c r="D42" s="328" t="s">
        <v>447</v>
      </c>
      <c r="E42" s="329">
        <v>0</v>
      </c>
      <c r="F42" s="329">
        <v>0</v>
      </c>
      <c r="G42" s="329">
        <v>0</v>
      </c>
      <c r="H42" s="329">
        <v>0</v>
      </c>
      <c r="I42" s="329">
        <v>0</v>
      </c>
      <c r="J42" s="329">
        <v>0</v>
      </c>
      <c r="K42" s="329">
        <v>0</v>
      </c>
      <c r="L42" s="329">
        <v>0</v>
      </c>
      <c r="M42" s="329">
        <v>0</v>
      </c>
      <c r="N42" s="329">
        <v>0</v>
      </c>
      <c r="O42" s="329">
        <v>0</v>
      </c>
      <c r="P42" s="329">
        <v>0</v>
      </c>
      <c r="Q42" s="329">
        <v>0</v>
      </c>
      <c r="R42" s="329">
        <v>0</v>
      </c>
      <c r="S42" s="329">
        <v>0</v>
      </c>
      <c r="T42" s="329">
        <v>0</v>
      </c>
      <c r="U42" s="329">
        <v>0</v>
      </c>
      <c r="V42" s="329">
        <v>0</v>
      </c>
      <c r="W42" s="329">
        <v>0</v>
      </c>
      <c r="X42" s="329">
        <v>0</v>
      </c>
      <c r="Y42" s="329">
        <v>0</v>
      </c>
      <c r="Z42" s="329">
        <v>0</v>
      </c>
      <c r="AA42" s="329">
        <v>0</v>
      </c>
      <c r="AB42" s="329">
        <v>0</v>
      </c>
      <c r="AC42" s="329">
        <v>0</v>
      </c>
      <c r="AD42" s="329">
        <v>0</v>
      </c>
      <c r="AE42" s="329">
        <v>0</v>
      </c>
      <c r="AF42" s="329">
        <v>0</v>
      </c>
      <c r="AG42" s="329">
        <v>0</v>
      </c>
      <c r="AH42" s="329">
        <v>0</v>
      </c>
      <c r="AI42" s="329">
        <v>0</v>
      </c>
      <c r="AJ42" s="329">
        <v>0</v>
      </c>
      <c r="AK42" s="329">
        <v>0</v>
      </c>
      <c r="AL42" s="329">
        <v>0</v>
      </c>
      <c r="AM42" s="329">
        <v>0</v>
      </c>
      <c r="AN42" s="329">
        <v>0</v>
      </c>
      <c r="AO42" s="330">
        <v>12284.4</v>
      </c>
      <c r="AP42" s="330">
        <v>14309.38</v>
      </c>
      <c r="AQ42" s="330">
        <v>14463.11</v>
      </c>
      <c r="AR42" s="330">
        <v>12145.61</v>
      </c>
      <c r="AS42" s="330">
        <v>12145.61</v>
      </c>
      <c r="AT42" s="330">
        <v>11597.27</v>
      </c>
      <c r="AU42" s="330">
        <v>11597.27</v>
      </c>
      <c r="AV42" s="330">
        <v>12157.12</v>
      </c>
      <c r="AW42" s="330">
        <v>14309.69</v>
      </c>
      <c r="AX42" s="330">
        <v>12240.21</v>
      </c>
      <c r="AY42" s="330">
        <v>12029.22</v>
      </c>
      <c r="AZ42" s="330">
        <v>13688.22</v>
      </c>
      <c r="BA42" s="331"/>
      <c r="BB42" s="331"/>
      <c r="BC42" s="331"/>
      <c r="BD42" s="331"/>
      <c r="BE42" s="331"/>
      <c r="BF42" s="331"/>
      <c r="BG42" s="331"/>
      <c r="BH42" s="331"/>
      <c r="BI42" s="331"/>
      <c r="BJ42" s="331"/>
      <c r="BK42" s="331"/>
      <c r="BL42" s="331"/>
      <c r="BM42" s="329">
        <v>0</v>
      </c>
      <c r="BN42" s="329">
        <v>0</v>
      </c>
      <c r="BO42" s="329">
        <v>0</v>
      </c>
      <c r="BP42" s="329">
        <v>0</v>
      </c>
      <c r="BQ42" s="329">
        <v>0</v>
      </c>
      <c r="BR42" s="329">
        <v>0</v>
      </c>
      <c r="BS42" s="329">
        <v>0</v>
      </c>
      <c r="BT42" s="329">
        <v>0</v>
      </c>
      <c r="BU42" s="329">
        <v>0</v>
      </c>
      <c r="BV42" s="329">
        <v>0</v>
      </c>
      <c r="BW42" s="329">
        <v>0</v>
      </c>
      <c r="BX42" s="329">
        <v>0</v>
      </c>
      <c r="BY42" s="329">
        <v>0</v>
      </c>
      <c r="BZ42" s="329">
        <v>0</v>
      </c>
      <c r="CA42" s="329">
        <v>0</v>
      </c>
      <c r="CB42" s="329">
        <v>0</v>
      </c>
      <c r="CC42" s="329">
        <v>0</v>
      </c>
      <c r="CD42" s="329">
        <v>0</v>
      </c>
      <c r="CE42" s="329">
        <v>0</v>
      </c>
      <c r="CF42" s="329">
        <v>0</v>
      </c>
      <c r="CG42" s="329">
        <v>0</v>
      </c>
      <c r="CH42" s="329">
        <v>0</v>
      </c>
      <c r="CI42" s="329">
        <v>0</v>
      </c>
      <c r="CJ42" s="329">
        <v>0</v>
      </c>
      <c r="CK42" s="331"/>
      <c r="CL42" s="331"/>
      <c r="CM42" s="331"/>
      <c r="CN42" s="331"/>
      <c r="CO42" s="331"/>
      <c r="CP42" s="331"/>
      <c r="CQ42" s="331"/>
      <c r="CR42" s="331"/>
      <c r="CS42" s="331"/>
      <c r="CT42" s="331"/>
      <c r="CU42" s="331"/>
      <c r="CV42" s="331"/>
      <c r="CW42" s="329">
        <v>0</v>
      </c>
      <c r="CX42" s="329">
        <v>0</v>
      </c>
      <c r="CY42" s="329">
        <v>0</v>
      </c>
      <c r="CZ42" s="329">
        <v>0</v>
      </c>
      <c r="DA42" s="329">
        <v>0</v>
      </c>
      <c r="DB42" s="329">
        <v>0</v>
      </c>
      <c r="DC42" s="329">
        <v>0</v>
      </c>
      <c r="DD42" s="329">
        <v>0</v>
      </c>
      <c r="DE42" s="329">
        <v>0</v>
      </c>
      <c r="DF42" s="329">
        <v>0</v>
      </c>
      <c r="DG42" s="329">
        <v>0</v>
      </c>
      <c r="DH42" s="329">
        <v>0</v>
      </c>
      <c r="DI42" s="330">
        <v>870.01</v>
      </c>
      <c r="DJ42" s="330">
        <v>1015.01</v>
      </c>
      <c r="DK42" s="330">
        <v>1026.02</v>
      </c>
      <c r="DL42" s="330">
        <v>860.07</v>
      </c>
      <c r="DM42" s="330">
        <v>860.07</v>
      </c>
      <c r="DN42" s="330">
        <v>820.81</v>
      </c>
      <c r="DO42" s="330">
        <v>820.81</v>
      </c>
      <c r="DP42" s="330">
        <v>860.9</v>
      </c>
      <c r="DQ42" s="330">
        <v>1015.03</v>
      </c>
      <c r="DR42" s="330">
        <v>866.85</v>
      </c>
      <c r="DS42" s="330">
        <v>851.74</v>
      </c>
      <c r="DT42" s="330">
        <v>1088.33</v>
      </c>
      <c r="DU42" s="330">
        <v>170.16</v>
      </c>
      <c r="DV42" s="330">
        <v>198.52</v>
      </c>
      <c r="DW42" s="330">
        <v>200.67</v>
      </c>
      <c r="DX42" s="330">
        <v>168.21</v>
      </c>
      <c r="DY42" s="330">
        <v>168.21</v>
      </c>
      <c r="DZ42" s="330">
        <v>160.53</v>
      </c>
      <c r="EA42" s="330">
        <v>160.53</v>
      </c>
      <c r="EB42" s="330">
        <v>168.37</v>
      </c>
      <c r="EC42" s="330">
        <v>198.52</v>
      </c>
      <c r="ED42" s="330">
        <v>169.54</v>
      </c>
      <c r="EE42" s="330">
        <v>166.58</v>
      </c>
      <c r="EF42" s="330">
        <v>189.82</v>
      </c>
      <c r="EG42" s="329">
        <v>0</v>
      </c>
      <c r="EH42" s="329">
        <v>0</v>
      </c>
      <c r="EI42" s="329">
        <v>0</v>
      </c>
      <c r="EJ42" s="329">
        <v>0</v>
      </c>
      <c r="EK42" s="329">
        <v>0</v>
      </c>
      <c r="EL42" s="329">
        <v>0</v>
      </c>
      <c r="EM42" s="329">
        <v>0</v>
      </c>
      <c r="EN42" s="329">
        <v>0</v>
      </c>
      <c r="EO42" s="329">
        <v>0</v>
      </c>
      <c r="EP42" s="329">
        <v>0</v>
      </c>
      <c r="EQ42" s="329">
        <v>0</v>
      </c>
      <c r="ER42" s="329">
        <v>0</v>
      </c>
      <c r="ES42" s="329">
        <v>0</v>
      </c>
      <c r="ET42" s="329">
        <v>0</v>
      </c>
      <c r="EU42" s="329">
        <v>0</v>
      </c>
      <c r="EV42" s="329">
        <v>0</v>
      </c>
      <c r="EW42" s="329">
        <v>0</v>
      </c>
      <c r="EX42" s="329">
        <v>0</v>
      </c>
      <c r="EY42" s="329">
        <v>0</v>
      </c>
      <c r="EZ42" s="329">
        <v>0</v>
      </c>
      <c r="FA42" s="329">
        <v>0</v>
      </c>
      <c r="FB42" s="329">
        <v>0</v>
      </c>
      <c r="FC42" s="329">
        <v>0</v>
      </c>
      <c r="FD42" s="329">
        <v>0</v>
      </c>
      <c r="FE42" s="331"/>
      <c r="FF42" s="331"/>
      <c r="FG42" s="331"/>
      <c r="FH42" s="331"/>
      <c r="FI42" s="331"/>
      <c r="FJ42" s="331"/>
      <c r="FK42" s="331"/>
      <c r="FL42" s="331"/>
      <c r="FM42" s="331"/>
      <c r="FN42" s="331"/>
      <c r="FO42" s="331"/>
      <c r="FP42" s="331"/>
      <c r="FQ42" s="329">
        <v>0</v>
      </c>
      <c r="FR42" s="329">
        <v>0</v>
      </c>
      <c r="FS42" s="329">
        <v>0</v>
      </c>
      <c r="FT42" s="329">
        <v>0</v>
      </c>
      <c r="FU42" s="329">
        <v>0</v>
      </c>
      <c r="FV42" s="329">
        <v>0</v>
      </c>
      <c r="FW42" s="329">
        <v>0</v>
      </c>
      <c r="FX42" s="329">
        <v>0</v>
      </c>
      <c r="FY42" s="329">
        <v>0</v>
      </c>
      <c r="FZ42" s="329">
        <v>0</v>
      </c>
      <c r="GA42" s="329">
        <v>0</v>
      </c>
      <c r="GB42" s="329">
        <v>0</v>
      </c>
      <c r="GC42" s="330">
        <v>6175.21</v>
      </c>
      <c r="GD42" s="330">
        <v>6534.01</v>
      </c>
      <c r="GE42" s="330">
        <v>6561.25</v>
      </c>
      <c r="GF42" s="330">
        <v>6016.81</v>
      </c>
      <c r="GG42" s="330">
        <v>6016.81</v>
      </c>
      <c r="GH42" s="330">
        <v>5519.17</v>
      </c>
      <c r="GI42" s="330">
        <v>5519.17</v>
      </c>
      <c r="GJ42" s="330">
        <v>5618.37</v>
      </c>
      <c r="GK42" s="330">
        <v>5999.79</v>
      </c>
      <c r="GL42" s="330">
        <v>5633.1</v>
      </c>
      <c r="GM42" s="330">
        <v>5595.71</v>
      </c>
      <c r="GN42" s="330">
        <v>5889.67</v>
      </c>
      <c r="GO42" s="330">
        <v>3101.51</v>
      </c>
      <c r="GP42" s="330">
        <v>3618.41</v>
      </c>
      <c r="GQ42" s="330">
        <v>3657.66</v>
      </c>
      <c r="GR42" s="330">
        <v>3066.08</v>
      </c>
      <c r="GS42" s="330">
        <v>3066.08</v>
      </c>
      <c r="GT42" s="330">
        <v>2857.96</v>
      </c>
      <c r="GU42" s="330">
        <v>2857.96</v>
      </c>
      <c r="GV42" s="330">
        <v>2997.54</v>
      </c>
      <c r="GW42" s="330">
        <v>3534.22</v>
      </c>
      <c r="GX42" s="330">
        <v>3018.26</v>
      </c>
      <c r="GY42" s="330">
        <v>2965.65</v>
      </c>
      <c r="GZ42" s="330">
        <v>3379.28</v>
      </c>
      <c r="HA42" s="330">
        <v>159.12</v>
      </c>
      <c r="HB42" s="330">
        <v>151.78</v>
      </c>
      <c r="HC42" s="330">
        <v>151.78</v>
      </c>
      <c r="HD42" s="330">
        <v>145.66</v>
      </c>
      <c r="HE42" s="330">
        <v>88.13</v>
      </c>
      <c r="HF42" s="330">
        <v>216.22</v>
      </c>
      <c r="HG42" s="330">
        <v>265.45999999999998</v>
      </c>
      <c r="HH42" s="330">
        <v>328.61</v>
      </c>
      <c r="HI42" s="330">
        <v>316.83999999999997</v>
      </c>
      <c r="HJ42" s="330">
        <v>368.22</v>
      </c>
      <c r="HK42" s="330">
        <v>347.88</v>
      </c>
      <c r="HL42" s="330">
        <v>338.25</v>
      </c>
      <c r="HM42" s="329">
        <v>0</v>
      </c>
      <c r="HN42" s="329">
        <v>0</v>
      </c>
      <c r="HO42" s="329">
        <v>0</v>
      </c>
      <c r="HP42" s="329">
        <v>0</v>
      </c>
      <c r="HQ42" s="329">
        <v>0</v>
      </c>
      <c r="HR42" s="329">
        <v>0</v>
      </c>
      <c r="HS42" s="329">
        <v>0</v>
      </c>
      <c r="HT42" s="329">
        <v>0</v>
      </c>
      <c r="HU42" s="329">
        <v>0</v>
      </c>
      <c r="HV42" s="329">
        <v>0</v>
      </c>
      <c r="HW42" s="329">
        <v>0</v>
      </c>
      <c r="HX42" s="329">
        <v>0</v>
      </c>
      <c r="HY42" s="331"/>
      <c r="HZ42" s="331"/>
      <c r="IA42" s="331"/>
      <c r="IB42" s="331"/>
      <c r="IC42" s="331"/>
      <c r="ID42" s="331"/>
      <c r="IE42" s="331"/>
      <c r="IF42" s="331"/>
      <c r="IG42" s="331"/>
      <c r="IH42" s="331"/>
      <c r="II42" s="331"/>
      <c r="IJ42" s="331"/>
      <c r="IK42" s="329">
        <v>0</v>
      </c>
      <c r="IL42" s="329">
        <v>0</v>
      </c>
      <c r="IM42" s="329">
        <v>0</v>
      </c>
      <c r="IN42" s="329">
        <v>0</v>
      </c>
      <c r="IO42" s="329">
        <v>0</v>
      </c>
      <c r="IP42" s="329">
        <v>0</v>
      </c>
      <c r="IQ42" s="329">
        <v>0</v>
      </c>
      <c r="IR42" s="329">
        <v>0</v>
      </c>
      <c r="IS42" s="329">
        <v>0</v>
      </c>
      <c r="IT42" s="329">
        <v>0</v>
      </c>
      <c r="IU42" s="329">
        <v>0</v>
      </c>
      <c r="IV42" s="329">
        <v>0</v>
      </c>
      <c r="IW42" s="329">
        <v>0</v>
      </c>
      <c r="IX42" s="329">
        <v>0</v>
      </c>
      <c r="IY42" s="329">
        <v>0</v>
      </c>
      <c r="IZ42" s="329">
        <v>0</v>
      </c>
      <c r="JA42" s="329">
        <v>0</v>
      </c>
      <c r="JB42" s="329">
        <v>0</v>
      </c>
      <c r="JC42" s="329">
        <v>0</v>
      </c>
      <c r="JD42" s="329">
        <v>0</v>
      </c>
      <c r="JE42" s="329">
        <v>0</v>
      </c>
      <c r="JF42" s="329">
        <v>0</v>
      </c>
      <c r="JG42" s="329">
        <v>0</v>
      </c>
      <c r="JH42" s="329">
        <v>0</v>
      </c>
      <c r="JI42" s="331"/>
      <c r="JJ42" s="330">
        <v>-57.51</v>
      </c>
      <c r="JK42" s="330">
        <v>-67.099999999999994</v>
      </c>
      <c r="JL42" s="330">
        <v>-67.819999999999993</v>
      </c>
      <c r="JM42" s="330">
        <v>-56.85</v>
      </c>
      <c r="JN42" s="330">
        <v>-56.85</v>
      </c>
      <c r="JO42" s="330">
        <v>-54.26</v>
      </c>
      <c r="JP42" s="330">
        <v>-54.26</v>
      </c>
      <c r="JQ42" s="330">
        <v>-56.91</v>
      </c>
      <c r="JR42" s="330">
        <v>-67.099999999999994</v>
      </c>
      <c r="JS42" s="330">
        <v>-57.3</v>
      </c>
      <c r="JT42" s="330">
        <v>-56.3</v>
      </c>
      <c r="JU42" s="330">
        <v>-56.14</v>
      </c>
      <c r="JV42" s="331"/>
      <c r="JW42" s="331"/>
      <c r="JX42" s="331"/>
      <c r="JY42" s="331"/>
      <c r="JZ42" s="331"/>
      <c r="KA42" s="331"/>
      <c r="KB42" s="331"/>
      <c r="KC42" s="331"/>
      <c r="KD42" s="331"/>
      <c r="KE42" s="331"/>
      <c r="KF42" s="331"/>
      <c r="KG42" s="331"/>
      <c r="KH42" s="331"/>
      <c r="KI42" s="331"/>
      <c r="KJ42" s="331"/>
      <c r="KK42" s="331"/>
      <c r="KL42" s="331"/>
      <c r="KM42" s="331"/>
      <c r="KN42" s="331"/>
      <c r="KO42" s="331"/>
      <c r="KP42" s="331"/>
      <c r="KQ42" s="331"/>
      <c r="KR42" s="331"/>
      <c r="KS42" s="331"/>
      <c r="KT42" s="329">
        <v>0</v>
      </c>
      <c r="KU42" s="329">
        <v>0</v>
      </c>
      <c r="KV42" s="329">
        <v>0</v>
      </c>
      <c r="KW42" s="329">
        <v>0</v>
      </c>
      <c r="KX42" s="329">
        <v>0</v>
      </c>
      <c r="KY42" s="329">
        <v>0</v>
      </c>
      <c r="KZ42" s="329">
        <v>0</v>
      </c>
      <c r="LA42" s="329">
        <v>0</v>
      </c>
      <c r="LB42" s="329">
        <v>0</v>
      </c>
      <c r="LC42" s="329">
        <v>0</v>
      </c>
      <c r="LD42" s="329">
        <v>0</v>
      </c>
      <c r="LE42" s="329">
        <v>0</v>
      </c>
      <c r="LF42" s="329">
        <v>0</v>
      </c>
      <c r="LG42" s="329">
        <v>0</v>
      </c>
      <c r="LH42" s="329">
        <v>0</v>
      </c>
      <c r="LI42" s="329">
        <v>0</v>
      </c>
      <c r="LJ42" s="329">
        <v>0</v>
      </c>
      <c r="LK42" s="329">
        <v>0</v>
      </c>
      <c r="LL42" s="329">
        <v>0</v>
      </c>
      <c r="LM42" s="329">
        <v>0</v>
      </c>
      <c r="LN42" s="329">
        <v>0</v>
      </c>
      <c r="LO42" s="329">
        <v>0</v>
      </c>
      <c r="LP42" s="329">
        <v>0</v>
      </c>
      <c r="LQ42" s="329">
        <v>0</v>
      </c>
      <c r="LR42" s="331"/>
      <c r="LS42" s="331"/>
      <c r="LT42" s="331"/>
      <c r="LU42" s="331"/>
      <c r="LV42" s="331"/>
      <c r="LW42" s="331"/>
      <c r="LX42" s="331"/>
      <c r="LY42" s="331"/>
      <c r="LZ42" s="331"/>
      <c r="MA42" s="331"/>
      <c r="MB42" s="331"/>
      <c r="MC42" s="331"/>
      <c r="MD42" s="331"/>
      <c r="ME42" s="331"/>
      <c r="MF42" s="331"/>
      <c r="MG42" s="331"/>
      <c r="MH42" s="331"/>
      <c r="MI42" s="331"/>
      <c r="MJ42" s="331"/>
      <c r="MK42" s="331"/>
      <c r="ML42" s="331"/>
      <c r="MM42" s="331"/>
      <c r="MN42" s="331"/>
      <c r="MO42" s="331"/>
      <c r="MP42" s="331"/>
      <c r="MQ42" s="331"/>
      <c r="MR42" s="331"/>
      <c r="MS42" s="331"/>
      <c r="MT42" s="331"/>
      <c r="MU42" s="331"/>
      <c r="MV42" s="331"/>
      <c r="MW42" s="331"/>
      <c r="MX42" s="331"/>
      <c r="MY42" s="331"/>
      <c r="MZ42" s="331"/>
      <c r="NA42" s="331"/>
      <c r="NB42" s="331"/>
      <c r="NC42" s="331"/>
      <c r="ND42" s="331"/>
      <c r="NE42" s="331"/>
      <c r="NF42" s="331"/>
      <c r="NG42" s="331"/>
      <c r="NH42" s="331"/>
      <c r="NI42" s="331"/>
      <c r="NJ42" s="331"/>
      <c r="NK42" s="331"/>
      <c r="NL42" s="331"/>
      <c r="NM42" s="331"/>
      <c r="NN42" s="331"/>
      <c r="NO42" s="331"/>
      <c r="NP42" s="331"/>
      <c r="NQ42" s="331"/>
      <c r="NR42" s="331"/>
      <c r="NS42" s="331"/>
      <c r="NT42" s="331"/>
      <c r="NU42" s="331"/>
      <c r="NV42" s="331"/>
      <c r="NW42" s="331"/>
      <c r="NX42" s="331"/>
      <c r="NY42" s="331"/>
      <c r="NZ42" s="331"/>
      <c r="OA42" s="331"/>
      <c r="OB42" s="331"/>
      <c r="OC42" s="331"/>
      <c r="OD42" s="331"/>
      <c r="OE42" s="331"/>
      <c r="OF42" s="331"/>
      <c r="OG42" s="331"/>
      <c r="OH42" s="331"/>
      <c r="OI42" s="331"/>
      <c r="OJ42" s="331"/>
      <c r="OK42" s="331"/>
      <c r="OL42" s="332">
        <f t="shared" si="1"/>
        <v>277411.65000000014</v>
      </c>
    </row>
    <row r="43" spans="1:402" ht="13.5" thickBot="1">
      <c r="A43" s="320" t="s">
        <v>404</v>
      </c>
      <c r="B43" s="328" t="s">
        <v>441</v>
      </c>
      <c r="C43" s="328" t="s">
        <v>206</v>
      </c>
      <c r="D43" s="328" t="s">
        <v>448</v>
      </c>
      <c r="E43" s="329">
        <v>0</v>
      </c>
      <c r="F43" s="329">
        <v>0</v>
      </c>
      <c r="G43" s="329">
        <v>0</v>
      </c>
      <c r="H43" s="329">
        <v>0</v>
      </c>
      <c r="I43" s="329">
        <v>0</v>
      </c>
      <c r="J43" s="329">
        <v>0</v>
      </c>
      <c r="K43" s="329">
        <v>0</v>
      </c>
      <c r="L43" s="329">
        <v>0</v>
      </c>
      <c r="M43" s="329">
        <v>0</v>
      </c>
      <c r="N43" s="329">
        <v>0</v>
      </c>
      <c r="O43" s="329">
        <v>0</v>
      </c>
      <c r="P43" s="329">
        <v>0</v>
      </c>
      <c r="Q43" s="329">
        <v>0</v>
      </c>
      <c r="R43" s="329">
        <v>0</v>
      </c>
      <c r="S43" s="329">
        <v>0</v>
      </c>
      <c r="T43" s="329">
        <v>0</v>
      </c>
      <c r="U43" s="329">
        <v>0</v>
      </c>
      <c r="V43" s="329">
        <v>0</v>
      </c>
      <c r="W43" s="329">
        <v>0</v>
      </c>
      <c r="X43" s="329">
        <v>0</v>
      </c>
      <c r="Y43" s="329">
        <v>0</v>
      </c>
      <c r="Z43" s="329">
        <v>0</v>
      </c>
      <c r="AA43" s="329">
        <v>0</v>
      </c>
      <c r="AB43" s="329">
        <v>0</v>
      </c>
      <c r="AC43" s="329">
        <v>0</v>
      </c>
      <c r="AD43" s="329">
        <v>0</v>
      </c>
      <c r="AE43" s="329">
        <v>0</v>
      </c>
      <c r="AF43" s="329">
        <v>0</v>
      </c>
      <c r="AG43" s="329">
        <v>0</v>
      </c>
      <c r="AH43" s="329">
        <v>0</v>
      </c>
      <c r="AI43" s="329">
        <v>0</v>
      </c>
      <c r="AJ43" s="329">
        <v>0</v>
      </c>
      <c r="AK43" s="329">
        <v>0</v>
      </c>
      <c r="AL43" s="329">
        <v>0</v>
      </c>
      <c r="AM43" s="329">
        <v>0</v>
      </c>
      <c r="AN43" s="329">
        <v>0</v>
      </c>
      <c r="AO43" s="330">
        <v>213.89</v>
      </c>
      <c r="AP43" s="330">
        <v>213.89</v>
      </c>
      <c r="AQ43" s="330">
        <v>221.36</v>
      </c>
      <c r="AR43" s="330">
        <v>213.89</v>
      </c>
      <c r="AS43" s="330">
        <v>213.89</v>
      </c>
      <c r="AT43" s="330">
        <v>213.89</v>
      </c>
      <c r="AU43" s="330">
        <v>221.36</v>
      </c>
      <c r="AV43" s="330">
        <v>246.25</v>
      </c>
      <c r="AW43" s="330">
        <v>233.8</v>
      </c>
      <c r="AX43" s="330">
        <v>223.85</v>
      </c>
      <c r="AY43" s="330">
        <v>233.8</v>
      </c>
      <c r="AZ43" s="330">
        <v>233.8</v>
      </c>
      <c r="BA43" s="331"/>
      <c r="BB43" s="331"/>
      <c r="BC43" s="331"/>
      <c r="BD43" s="331"/>
      <c r="BE43" s="331"/>
      <c r="BF43" s="331"/>
      <c r="BG43" s="331"/>
      <c r="BH43" s="331"/>
      <c r="BI43" s="331"/>
      <c r="BJ43" s="331"/>
      <c r="BK43" s="331"/>
      <c r="BL43" s="331"/>
      <c r="BM43" s="329">
        <v>0</v>
      </c>
      <c r="BN43" s="329">
        <v>0</v>
      </c>
      <c r="BO43" s="329">
        <v>0</v>
      </c>
      <c r="BP43" s="329">
        <v>0</v>
      </c>
      <c r="BQ43" s="329">
        <v>0</v>
      </c>
      <c r="BR43" s="329">
        <v>0</v>
      </c>
      <c r="BS43" s="329">
        <v>0</v>
      </c>
      <c r="BT43" s="329">
        <v>0</v>
      </c>
      <c r="BU43" s="329">
        <v>0</v>
      </c>
      <c r="BV43" s="329">
        <v>0</v>
      </c>
      <c r="BW43" s="329">
        <v>0</v>
      </c>
      <c r="BX43" s="329">
        <v>0</v>
      </c>
      <c r="BY43" s="329">
        <v>0</v>
      </c>
      <c r="BZ43" s="329">
        <v>0</v>
      </c>
      <c r="CA43" s="329">
        <v>0</v>
      </c>
      <c r="CB43" s="329">
        <v>0</v>
      </c>
      <c r="CC43" s="329">
        <v>0</v>
      </c>
      <c r="CD43" s="329">
        <v>0</v>
      </c>
      <c r="CE43" s="329">
        <v>0</v>
      </c>
      <c r="CF43" s="329">
        <v>0</v>
      </c>
      <c r="CG43" s="329">
        <v>0</v>
      </c>
      <c r="CH43" s="329">
        <v>0</v>
      </c>
      <c r="CI43" s="329">
        <v>0</v>
      </c>
      <c r="CJ43" s="329">
        <v>0</v>
      </c>
      <c r="CK43" s="331"/>
      <c r="CL43" s="331"/>
      <c r="CM43" s="331"/>
      <c r="CN43" s="331"/>
      <c r="CO43" s="331"/>
      <c r="CP43" s="331"/>
      <c r="CQ43" s="331"/>
      <c r="CR43" s="331"/>
      <c r="CS43" s="331"/>
      <c r="CT43" s="331"/>
      <c r="CU43" s="331"/>
      <c r="CV43" s="331"/>
      <c r="CW43" s="329">
        <v>0</v>
      </c>
      <c r="CX43" s="329">
        <v>0</v>
      </c>
      <c r="CY43" s="329">
        <v>0</v>
      </c>
      <c r="CZ43" s="329">
        <v>0</v>
      </c>
      <c r="DA43" s="329">
        <v>0</v>
      </c>
      <c r="DB43" s="329">
        <v>0</v>
      </c>
      <c r="DC43" s="329">
        <v>0</v>
      </c>
      <c r="DD43" s="329">
        <v>0</v>
      </c>
      <c r="DE43" s="329">
        <v>0</v>
      </c>
      <c r="DF43" s="329">
        <v>0</v>
      </c>
      <c r="DG43" s="329">
        <v>0</v>
      </c>
      <c r="DH43" s="329">
        <v>0</v>
      </c>
      <c r="DI43" s="330">
        <v>5.7</v>
      </c>
      <c r="DJ43" s="330">
        <v>5.7</v>
      </c>
      <c r="DK43" s="330">
        <v>6.24</v>
      </c>
      <c r="DL43" s="330">
        <v>5.7</v>
      </c>
      <c r="DM43" s="330">
        <v>5.7</v>
      </c>
      <c r="DN43" s="330">
        <v>5.7</v>
      </c>
      <c r="DO43" s="330">
        <v>6.24</v>
      </c>
      <c r="DP43" s="330">
        <v>8.02</v>
      </c>
      <c r="DQ43" s="330">
        <v>7.13</v>
      </c>
      <c r="DR43" s="330">
        <v>6.42</v>
      </c>
      <c r="DS43" s="330">
        <v>7.13</v>
      </c>
      <c r="DT43" s="329">
        <v>8</v>
      </c>
      <c r="DU43" s="330">
        <v>1.1200000000000001</v>
      </c>
      <c r="DV43" s="330">
        <v>1.1200000000000001</v>
      </c>
      <c r="DW43" s="330">
        <v>1.22</v>
      </c>
      <c r="DX43" s="330">
        <v>1.1200000000000001</v>
      </c>
      <c r="DY43" s="330">
        <v>1.1200000000000001</v>
      </c>
      <c r="DZ43" s="330">
        <v>1.1200000000000001</v>
      </c>
      <c r="EA43" s="330">
        <v>1.22</v>
      </c>
      <c r="EB43" s="330">
        <v>1.57</v>
      </c>
      <c r="EC43" s="330">
        <v>1.39</v>
      </c>
      <c r="ED43" s="330">
        <v>1.26</v>
      </c>
      <c r="EE43" s="330">
        <v>1.39</v>
      </c>
      <c r="EF43" s="330">
        <v>1.39</v>
      </c>
      <c r="EG43" s="329">
        <v>0</v>
      </c>
      <c r="EH43" s="329">
        <v>0</v>
      </c>
      <c r="EI43" s="329">
        <v>0</v>
      </c>
      <c r="EJ43" s="329">
        <v>0</v>
      </c>
      <c r="EK43" s="329">
        <v>0</v>
      </c>
      <c r="EL43" s="329">
        <v>0</v>
      </c>
      <c r="EM43" s="329">
        <v>0</v>
      </c>
      <c r="EN43" s="329">
        <v>0</v>
      </c>
      <c r="EO43" s="329">
        <v>0</v>
      </c>
      <c r="EP43" s="329">
        <v>0</v>
      </c>
      <c r="EQ43" s="329">
        <v>0</v>
      </c>
      <c r="ER43" s="329">
        <v>0</v>
      </c>
      <c r="ES43" s="329">
        <v>0</v>
      </c>
      <c r="ET43" s="329">
        <v>0</v>
      </c>
      <c r="EU43" s="329">
        <v>0</v>
      </c>
      <c r="EV43" s="329">
        <v>0</v>
      </c>
      <c r="EW43" s="329">
        <v>0</v>
      </c>
      <c r="EX43" s="329">
        <v>0</v>
      </c>
      <c r="EY43" s="329">
        <v>0</v>
      </c>
      <c r="EZ43" s="329">
        <v>0</v>
      </c>
      <c r="FA43" s="329">
        <v>0</v>
      </c>
      <c r="FB43" s="329">
        <v>0</v>
      </c>
      <c r="FC43" s="329">
        <v>0</v>
      </c>
      <c r="FD43" s="329">
        <v>0</v>
      </c>
      <c r="FE43" s="331"/>
      <c r="FF43" s="331"/>
      <c r="FG43" s="331"/>
      <c r="FH43" s="331"/>
      <c r="FI43" s="331"/>
      <c r="FJ43" s="331"/>
      <c r="FK43" s="331"/>
      <c r="FL43" s="331"/>
      <c r="FM43" s="331"/>
      <c r="FN43" s="331"/>
      <c r="FO43" s="331"/>
      <c r="FP43" s="331"/>
      <c r="FQ43" s="329">
        <v>0</v>
      </c>
      <c r="FR43" s="329">
        <v>0</v>
      </c>
      <c r="FS43" s="329">
        <v>0</v>
      </c>
      <c r="FT43" s="329">
        <v>0</v>
      </c>
      <c r="FU43" s="329">
        <v>0</v>
      </c>
      <c r="FV43" s="329">
        <v>0</v>
      </c>
      <c r="FW43" s="329">
        <v>0</v>
      </c>
      <c r="FX43" s="329">
        <v>0</v>
      </c>
      <c r="FY43" s="329">
        <v>0</v>
      </c>
      <c r="FZ43" s="329">
        <v>0</v>
      </c>
      <c r="GA43" s="329">
        <v>0</v>
      </c>
      <c r="GB43" s="329">
        <v>0</v>
      </c>
      <c r="GC43" s="330">
        <v>14.12</v>
      </c>
      <c r="GD43" s="330">
        <v>14.12</v>
      </c>
      <c r="GE43" s="330">
        <v>15.44</v>
      </c>
      <c r="GF43" s="330">
        <v>14.12</v>
      </c>
      <c r="GG43" s="330">
        <v>14.12</v>
      </c>
      <c r="GH43" s="330">
        <v>14.12</v>
      </c>
      <c r="GI43" s="330">
        <v>15.44</v>
      </c>
      <c r="GJ43" s="330">
        <v>19.850000000000001</v>
      </c>
      <c r="GK43" s="330">
        <v>17.649999999999999</v>
      </c>
      <c r="GL43" s="330">
        <v>15.88</v>
      </c>
      <c r="GM43" s="330">
        <v>17.649999999999999</v>
      </c>
      <c r="GN43" s="330">
        <v>24.52</v>
      </c>
      <c r="GO43" s="330">
        <v>20.34</v>
      </c>
      <c r="GP43" s="330">
        <v>20.34</v>
      </c>
      <c r="GQ43" s="330">
        <v>22.24</v>
      </c>
      <c r="GR43" s="330">
        <v>20.34</v>
      </c>
      <c r="GS43" s="330">
        <v>20.34</v>
      </c>
      <c r="GT43" s="330">
        <v>19.86</v>
      </c>
      <c r="GU43" s="330">
        <v>21.72</v>
      </c>
      <c r="GV43" s="330">
        <v>27.93</v>
      </c>
      <c r="GW43" s="330">
        <v>24.83</v>
      </c>
      <c r="GX43" s="330">
        <v>22.35</v>
      </c>
      <c r="GY43" s="330">
        <v>24.83</v>
      </c>
      <c r="GZ43" s="330">
        <v>24.83</v>
      </c>
      <c r="HA43" s="330">
        <v>1.79</v>
      </c>
      <c r="HB43" s="330">
        <v>1.02</v>
      </c>
      <c r="HC43" s="330">
        <v>2.2999999999999998</v>
      </c>
      <c r="HD43" s="330">
        <v>2.5499999999999998</v>
      </c>
      <c r="HE43" s="330">
        <v>2.04</v>
      </c>
      <c r="HF43" s="330">
        <v>3.12</v>
      </c>
      <c r="HG43" s="330">
        <v>3.57</v>
      </c>
      <c r="HH43" s="330">
        <v>3.12</v>
      </c>
      <c r="HI43" s="330">
        <v>3.12</v>
      </c>
      <c r="HJ43" s="330">
        <v>3.12</v>
      </c>
      <c r="HK43" s="330">
        <v>3.12</v>
      </c>
      <c r="HL43" s="330">
        <v>3.12</v>
      </c>
      <c r="HM43" s="329">
        <v>0</v>
      </c>
      <c r="HN43" s="329">
        <v>0</v>
      </c>
      <c r="HO43" s="329">
        <v>0</v>
      </c>
      <c r="HP43" s="329">
        <v>0</v>
      </c>
      <c r="HQ43" s="329">
        <v>0</v>
      </c>
      <c r="HR43" s="329">
        <v>0</v>
      </c>
      <c r="HS43" s="329">
        <v>0</v>
      </c>
      <c r="HT43" s="329">
        <v>0</v>
      </c>
      <c r="HU43" s="329">
        <v>0</v>
      </c>
      <c r="HV43" s="329">
        <v>0</v>
      </c>
      <c r="HW43" s="329">
        <v>0</v>
      </c>
      <c r="HX43" s="329">
        <v>0</v>
      </c>
      <c r="HY43" s="331"/>
      <c r="HZ43" s="331"/>
      <c r="IA43" s="331"/>
      <c r="IB43" s="331"/>
      <c r="IC43" s="331"/>
      <c r="ID43" s="331"/>
      <c r="IE43" s="331"/>
      <c r="IF43" s="331"/>
      <c r="IG43" s="331"/>
      <c r="IH43" s="331"/>
      <c r="II43" s="331"/>
      <c r="IJ43" s="331"/>
      <c r="IK43" s="329">
        <v>0</v>
      </c>
      <c r="IL43" s="329">
        <v>0</v>
      </c>
      <c r="IM43" s="329">
        <v>0</v>
      </c>
      <c r="IN43" s="329">
        <v>0</v>
      </c>
      <c r="IO43" s="329">
        <v>0</v>
      </c>
      <c r="IP43" s="329">
        <v>0</v>
      </c>
      <c r="IQ43" s="329">
        <v>0</v>
      </c>
      <c r="IR43" s="329">
        <v>0</v>
      </c>
      <c r="IS43" s="329">
        <v>0</v>
      </c>
      <c r="IT43" s="329">
        <v>0</v>
      </c>
      <c r="IU43" s="329">
        <v>0</v>
      </c>
      <c r="IV43" s="329">
        <v>0</v>
      </c>
      <c r="IW43" s="329">
        <v>0</v>
      </c>
      <c r="IX43" s="329">
        <v>0</v>
      </c>
      <c r="IY43" s="329">
        <v>0</v>
      </c>
      <c r="IZ43" s="329">
        <v>0</v>
      </c>
      <c r="JA43" s="329">
        <v>0</v>
      </c>
      <c r="JB43" s="329">
        <v>0</v>
      </c>
      <c r="JC43" s="329">
        <v>0</v>
      </c>
      <c r="JD43" s="329">
        <v>0</v>
      </c>
      <c r="JE43" s="329">
        <v>0</v>
      </c>
      <c r="JF43" s="329">
        <v>0</v>
      </c>
      <c r="JG43" s="329">
        <v>0</v>
      </c>
      <c r="JH43" s="329">
        <v>0</v>
      </c>
      <c r="JI43" s="330">
        <v>3.8</v>
      </c>
      <c r="JJ43" s="330">
        <v>-0.38</v>
      </c>
      <c r="JK43" s="330">
        <v>-0.38</v>
      </c>
      <c r="JL43" s="330">
        <v>-0.41</v>
      </c>
      <c r="JM43" s="330">
        <v>-0.38</v>
      </c>
      <c r="JN43" s="330">
        <v>-0.38</v>
      </c>
      <c r="JO43" s="330">
        <v>-0.38</v>
      </c>
      <c r="JP43" s="330">
        <v>-0.41</v>
      </c>
      <c r="JQ43" s="330">
        <v>-0.53</v>
      </c>
      <c r="JR43" s="330">
        <v>-0.47</v>
      </c>
      <c r="JS43" s="330">
        <v>-0.42</v>
      </c>
      <c r="JT43" s="330">
        <v>-0.47</v>
      </c>
      <c r="JU43" s="330">
        <v>-0.41</v>
      </c>
      <c r="JV43" s="331"/>
      <c r="JW43" s="331"/>
      <c r="JX43" s="331"/>
      <c r="JY43" s="331"/>
      <c r="JZ43" s="331"/>
      <c r="KA43" s="331"/>
      <c r="KB43" s="331"/>
      <c r="KC43" s="331"/>
      <c r="KD43" s="331"/>
      <c r="KE43" s="331"/>
      <c r="KF43" s="331"/>
      <c r="KG43" s="331"/>
      <c r="KH43" s="331"/>
      <c r="KI43" s="331"/>
      <c r="KJ43" s="331"/>
      <c r="KK43" s="331"/>
      <c r="KL43" s="331"/>
      <c r="KM43" s="331"/>
      <c r="KN43" s="331"/>
      <c r="KO43" s="331"/>
      <c r="KP43" s="331"/>
      <c r="KQ43" s="331"/>
      <c r="KR43" s="331"/>
      <c r="KS43" s="331"/>
      <c r="KT43" s="329">
        <v>0</v>
      </c>
      <c r="KU43" s="329">
        <v>0</v>
      </c>
      <c r="KV43" s="329">
        <v>0</v>
      </c>
      <c r="KW43" s="329">
        <v>0</v>
      </c>
      <c r="KX43" s="329">
        <v>0</v>
      </c>
      <c r="KY43" s="329">
        <v>0</v>
      </c>
      <c r="KZ43" s="329">
        <v>0</v>
      </c>
      <c r="LA43" s="329">
        <v>0</v>
      </c>
      <c r="LB43" s="329">
        <v>0</v>
      </c>
      <c r="LC43" s="329">
        <v>0</v>
      </c>
      <c r="LD43" s="329">
        <v>0</v>
      </c>
      <c r="LE43" s="329">
        <v>0</v>
      </c>
      <c r="LF43" s="329">
        <v>0</v>
      </c>
      <c r="LG43" s="329">
        <v>0</v>
      </c>
      <c r="LH43" s="329">
        <v>0</v>
      </c>
      <c r="LI43" s="329">
        <v>0</v>
      </c>
      <c r="LJ43" s="329">
        <v>0</v>
      </c>
      <c r="LK43" s="329">
        <v>0</v>
      </c>
      <c r="LL43" s="329">
        <v>0</v>
      </c>
      <c r="LM43" s="329">
        <v>0</v>
      </c>
      <c r="LN43" s="329">
        <v>0</v>
      </c>
      <c r="LO43" s="329">
        <v>0</v>
      </c>
      <c r="LP43" s="329">
        <v>0</v>
      </c>
      <c r="LQ43" s="329">
        <v>0</v>
      </c>
      <c r="LR43" s="331"/>
      <c r="LS43" s="331"/>
      <c r="LT43" s="331"/>
      <c r="LU43" s="331"/>
      <c r="LV43" s="331"/>
      <c r="LW43" s="331"/>
      <c r="LX43" s="331"/>
      <c r="LY43" s="331"/>
      <c r="LZ43" s="331"/>
      <c r="MA43" s="331"/>
      <c r="MB43" s="331"/>
      <c r="MC43" s="331"/>
      <c r="MD43" s="331"/>
      <c r="ME43" s="331"/>
      <c r="MF43" s="331"/>
      <c r="MG43" s="331"/>
      <c r="MH43" s="331"/>
      <c r="MI43" s="331"/>
      <c r="MJ43" s="331"/>
      <c r="MK43" s="331"/>
      <c r="ML43" s="331"/>
      <c r="MM43" s="331"/>
      <c r="MN43" s="331"/>
      <c r="MO43" s="331"/>
      <c r="MP43" s="331"/>
      <c r="MQ43" s="331"/>
      <c r="MR43" s="331"/>
      <c r="MS43" s="331"/>
      <c r="MT43" s="331"/>
      <c r="MU43" s="331"/>
      <c r="MV43" s="331"/>
      <c r="MW43" s="331"/>
      <c r="MX43" s="331"/>
      <c r="MY43" s="331"/>
      <c r="MZ43" s="331"/>
      <c r="NA43" s="331"/>
      <c r="NB43" s="331"/>
      <c r="NC43" s="331"/>
      <c r="ND43" s="331"/>
      <c r="NE43" s="331"/>
      <c r="NF43" s="331"/>
      <c r="NG43" s="331"/>
      <c r="NH43" s="331"/>
      <c r="NI43" s="331"/>
      <c r="NJ43" s="331"/>
      <c r="NK43" s="331"/>
      <c r="NL43" s="331"/>
      <c r="NM43" s="331"/>
      <c r="NN43" s="331"/>
      <c r="NO43" s="331"/>
      <c r="NP43" s="331"/>
      <c r="NQ43" s="331"/>
      <c r="NR43" s="331"/>
      <c r="NS43" s="331"/>
      <c r="NT43" s="331"/>
      <c r="NU43" s="331"/>
      <c r="NV43" s="331"/>
      <c r="NW43" s="331"/>
      <c r="NX43" s="331"/>
      <c r="NY43" s="331"/>
      <c r="NZ43" s="331"/>
      <c r="OA43" s="331"/>
      <c r="OB43" s="331"/>
      <c r="OC43" s="331"/>
      <c r="OD43" s="331"/>
      <c r="OE43" s="331"/>
      <c r="OF43" s="331"/>
      <c r="OG43" s="331"/>
      <c r="OH43" s="331"/>
      <c r="OI43" s="331"/>
      <c r="OJ43" s="331"/>
      <c r="OK43" s="331"/>
      <c r="OL43" s="332">
        <f t="shared" si="1"/>
        <v>3274.1399999999981</v>
      </c>
    </row>
    <row r="44" spans="1:402" ht="13.5" thickBot="1">
      <c r="A44" s="320" t="s">
        <v>404</v>
      </c>
      <c r="B44" s="328" t="s">
        <v>441</v>
      </c>
      <c r="C44" s="328" t="s">
        <v>206</v>
      </c>
      <c r="D44" s="328" t="s">
        <v>449</v>
      </c>
      <c r="E44" s="329">
        <v>0</v>
      </c>
      <c r="F44" s="329">
        <v>0</v>
      </c>
      <c r="G44" s="329">
        <v>0</v>
      </c>
      <c r="H44" s="329">
        <v>0</v>
      </c>
      <c r="I44" s="329">
        <v>0</v>
      </c>
      <c r="J44" s="329">
        <v>0</v>
      </c>
      <c r="K44" s="329">
        <v>0</v>
      </c>
      <c r="L44" s="329">
        <v>0</v>
      </c>
      <c r="M44" s="329">
        <v>0</v>
      </c>
      <c r="N44" s="329">
        <v>0</v>
      </c>
      <c r="O44" s="329">
        <v>0</v>
      </c>
      <c r="P44" s="329">
        <v>0</v>
      </c>
      <c r="Q44" s="329">
        <v>0</v>
      </c>
      <c r="R44" s="329">
        <v>0</v>
      </c>
      <c r="S44" s="329">
        <v>0</v>
      </c>
      <c r="T44" s="329">
        <v>0</v>
      </c>
      <c r="U44" s="329">
        <v>0</v>
      </c>
      <c r="V44" s="329">
        <v>0</v>
      </c>
      <c r="W44" s="329">
        <v>0</v>
      </c>
      <c r="X44" s="329">
        <v>0</v>
      </c>
      <c r="Y44" s="329">
        <v>0</v>
      </c>
      <c r="Z44" s="329">
        <v>0</v>
      </c>
      <c r="AA44" s="329">
        <v>0</v>
      </c>
      <c r="AB44" s="329">
        <v>0</v>
      </c>
      <c r="AC44" s="329">
        <v>0</v>
      </c>
      <c r="AD44" s="329">
        <v>0</v>
      </c>
      <c r="AE44" s="329">
        <v>0</v>
      </c>
      <c r="AF44" s="329">
        <v>0</v>
      </c>
      <c r="AG44" s="329">
        <v>0</v>
      </c>
      <c r="AH44" s="329">
        <v>0</v>
      </c>
      <c r="AI44" s="329">
        <v>0</v>
      </c>
      <c r="AJ44" s="329">
        <v>0</v>
      </c>
      <c r="AK44" s="329">
        <v>0</v>
      </c>
      <c r="AL44" s="329">
        <v>0</v>
      </c>
      <c r="AM44" s="329">
        <v>0</v>
      </c>
      <c r="AN44" s="329">
        <v>0</v>
      </c>
      <c r="AO44" s="330">
        <v>11421.13</v>
      </c>
      <c r="AP44" s="330">
        <v>11259.62</v>
      </c>
      <c r="AQ44" s="330">
        <v>10136.5</v>
      </c>
      <c r="AR44" s="330">
        <v>9467.11</v>
      </c>
      <c r="AS44" s="330">
        <v>10339.709999999999</v>
      </c>
      <c r="AT44" s="330">
        <v>10411.290000000001</v>
      </c>
      <c r="AU44" s="330">
        <v>10542.62</v>
      </c>
      <c r="AV44" s="330">
        <v>10868.79</v>
      </c>
      <c r="AW44" s="330">
        <v>9953.64</v>
      </c>
      <c r="AX44" s="330">
        <v>11122.38</v>
      </c>
      <c r="AY44" s="330">
        <v>10691.99</v>
      </c>
      <c r="AZ44" s="330">
        <v>10913.25</v>
      </c>
      <c r="BA44" s="331"/>
      <c r="BB44" s="331"/>
      <c r="BC44" s="331"/>
      <c r="BD44" s="331"/>
      <c r="BE44" s="331"/>
      <c r="BF44" s="331"/>
      <c r="BG44" s="331"/>
      <c r="BH44" s="331"/>
      <c r="BI44" s="331"/>
      <c r="BJ44" s="331"/>
      <c r="BK44" s="331"/>
      <c r="BL44" s="331"/>
      <c r="BM44" s="329">
        <v>0</v>
      </c>
      <c r="BN44" s="329">
        <v>0</v>
      </c>
      <c r="BO44" s="329">
        <v>0</v>
      </c>
      <c r="BP44" s="329">
        <v>0</v>
      </c>
      <c r="BQ44" s="329">
        <v>0</v>
      </c>
      <c r="BR44" s="329">
        <v>0</v>
      </c>
      <c r="BS44" s="329">
        <v>0</v>
      </c>
      <c r="BT44" s="329">
        <v>0</v>
      </c>
      <c r="BU44" s="329">
        <v>0</v>
      </c>
      <c r="BV44" s="329">
        <v>0</v>
      </c>
      <c r="BW44" s="329">
        <v>0</v>
      </c>
      <c r="BX44" s="329">
        <v>0</v>
      </c>
      <c r="BY44" s="329">
        <v>0</v>
      </c>
      <c r="BZ44" s="329">
        <v>0</v>
      </c>
      <c r="CA44" s="329">
        <v>0</v>
      </c>
      <c r="CB44" s="329">
        <v>0</v>
      </c>
      <c r="CC44" s="329">
        <v>0</v>
      </c>
      <c r="CD44" s="329">
        <v>0</v>
      </c>
      <c r="CE44" s="329">
        <v>0</v>
      </c>
      <c r="CF44" s="329">
        <v>0</v>
      </c>
      <c r="CG44" s="329">
        <v>0</v>
      </c>
      <c r="CH44" s="329">
        <v>0</v>
      </c>
      <c r="CI44" s="329">
        <v>0</v>
      </c>
      <c r="CJ44" s="329">
        <v>0</v>
      </c>
      <c r="CK44" s="331"/>
      <c r="CL44" s="331"/>
      <c r="CM44" s="331"/>
      <c r="CN44" s="331"/>
      <c r="CO44" s="331"/>
      <c r="CP44" s="331"/>
      <c r="CQ44" s="331"/>
      <c r="CR44" s="331"/>
      <c r="CS44" s="331"/>
      <c r="CT44" s="331"/>
      <c r="CU44" s="331"/>
      <c r="CV44" s="331"/>
      <c r="CW44" s="329">
        <v>0</v>
      </c>
      <c r="CX44" s="329">
        <v>0</v>
      </c>
      <c r="CY44" s="329">
        <v>0</v>
      </c>
      <c r="CZ44" s="329">
        <v>0</v>
      </c>
      <c r="DA44" s="329">
        <v>0</v>
      </c>
      <c r="DB44" s="329">
        <v>0</v>
      </c>
      <c r="DC44" s="329">
        <v>0</v>
      </c>
      <c r="DD44" s="329">
        <v>0</v>
      </c>
      <c r="DE44" s="329">
        <v>0</v>
      </c>
      <c r="DF44" s="329">
        <v>0</v>
      </c>
      <c r="DG44" s="329">
        <v>0</v>
      </c>
      <c r="DH44" s="329">
        <v>0</v>
      </c>
      <c r="DI44" s="330">
        <v>808.2</v>
      </c>
      <c r="DJ44" s="330">
        <v>796.63</v>
      </c>
      <c r="DK44" s="330">
        <v>716.21</v>
      </c>
      <c r="DL44" s="330">
        <v>668.28</v>
      </c>
      <c r="DM44" s="330">
        <v>730.76</v>
      </c>
      <c r="DN44" s="330">
        <v>735.89</v>
      </c>
      <c r="DO44" s="330">
        <v>745.29</v>
      </c>
      <c r="DP44" s="330">
        <v>768.34</v>
      </c>
      <c r="DQ44" s="330">
        <v>703.43</v>
      </c>
      <c r="DR44" s="330">
        <v>786.8</v>
      </c>
      <c r="DS44" s="330">
        <v>755.99</v>
      </c>
      <c r="DT44" s="330">
        <v>865.51</v>
      </c>
      <c r="DU44" s="330">
        <v>158.07</v>
      </c>
      <c r="DV44" s="330">
        <v>155.81</v>
      </c>
      <c r="DW44" s="330">
        <v>140.08000000000001</v>
      </c>
      <c r="DX44" s="330">
        <v>130.69999999999999</v>
      </c>
      <c r="DY44" s="330">
        <v>142.91999999999999</v>
      </c>
      <c r="DZ44" s="330">
        <v>143.93</v>
      </c>
      <c r="EA44" s="330">
        <v>145.76</v>
      </c>
      <c r="EB44" s="330">
        <v>150.27000000000001</v>
      </c>
      <c r="EC44" s="330">
        <v>137.58000000000001</v>
      </c>
      <c r="ED44" s="330">
        <v>153.88</v>
      </c>
      <c r="EE44" s="330">
        <v>147.86000000000001</v>
      </c>
      <c r="EF44" s="330">
        <v>150.94999999999999</v>
      </c>
      <c r="EG44" s="329">
        <v>0</v>
      </c>
      <c r="EH44" s="329">
        <v>0</v>
      </c>
      <c r="EI44" s="329">
        <v>0</v>
      </c>
      <c r="EJ44" s="329">
        <v>0</v>
      </c>
      <c r="EK44" s="329">
        <v>0</v>
      </c>
      <c r="EL44" s="329">
        <v>0</v>
      </c>
      <c r="EM44" s="329">
        <v>0</v>
      </c>
      <c r="EN44" s="329">
        <v>0</v>
      </c>
      <c r="EO44" s="329">
        <v>0</v>
      </c>
      <c r="EP44" s="329">
        <v>0</v>
      </c>
      <c r="EQ44" s="329">
        <v>0</v>
      </c>
      <c r="ER44" s="329">
        <v>0</v>
      </c>
      <c r="ES44" s="329">
        <v>0</v>
      </c>
      <c r="ET44" s="329">
        <v>0</v>
      </c>
      <c r="EU44" s="329">
        <v>0</v>
      </c>
      <c r="EV44" s="329">
        <v>0</v>
      </c>
      <c r="EW44" s="329">
        <v>0</v>
      </c>
      <c r="EX44" s="329">
        <v>0</v>
      </c>
      <c r="EY44" s="329">
        <v>0</v>
      </c>
      <c r="EZ44" s="329">
        <v>0</v>
      </c>
      <c r="FA44" s="329">
        <v>0</v>
      </c>
      <c r="FB44" s="329">
        <v>0</v>
      </c>
      <c r="FC44" s="329">
        <v>0</v>
      </c>
      <c r="FD44" s="329">
        <v>0</v>
      </c>
      <c r="FE44" s="331"/>
      <c r="FF44" s="331"/>
      <c r="FG44" s="331"/>
      <c r="FH44" s="331"/>
      <c r="FI44" s="331"/>
      <c r="FJ44" s="331"/>
      <c r="FK44" s="331"/>
      <c r="FL44" s="331"/>
      <c r="FM44" s="331"/>
      <c r="FN44" s="331"/>
      <c r="FO44" s="331"/>
      <c r="FP44" s="331"/>
      <c r="FQ44" s="329">
        <v>0</v>
      </c>
      <c r="FR44" s="329">
        <v>0</v>
      </c>
      <c r="FS44" s="329">
        <v>0</v>
      </c>
      <c r="FT44" s="329">
        <v>0</v>
      </c>
      <c r="FU44" s="329">
        <v>0</v>
      </c>
      <c r="FV44" s="329">
        <v>0</v>
      </c>
      <c r="FW44" s="329">
        <v>0</v>
      </c>
      <c r="FX44" s="329">
        <v>0</v>
      </c>
      <c r="FY44" s="329">
        <v>0</v>
      </c>
      <c r="FZ44" s="329">
        <v>0</v>
      </c>
      <c r="GA44" s="329">
        <v>0</v>
      </c>
      <c r="GB44" s="329">
        <v>0</v>
      </c>
      <c r="GC44" s="330">
        <v>21368.76</v>
      </c>
      <c r="GD44" s="330">
        <v>21340.14</v>
      </c>
      <c r="GE44" s="330">
        <v>21141.14</v>
      </c>
      <c r="GF44" s="330">
        <v>21797.66</v>
      </c>
      <c r="GG44" s="330">
        <v>21952.27</v>
      </c>
      <c r="GH44" s="330">
        <v>19890.330000000002</v>
      </c>
      <c r="GI44" s="330">
        <v>19913.599999999999</v>
      </c>
      <c r="GJ44" s="330">
        <v>20554.259999999998</v>
      </c>
      <c r="GK44" s="330">
        <v>19226.36</v>
      </c>
      <c r="GL44" s="330">
        <v>20016.330000000002</v>
      </c>
      <c r="GM44" s="330">
        <v>19940.060000000001</v>
      </c>
      <c r="GN44" s="330">
        <v>19845.330000000002</v>
      </c>
      <c r="GO44" s="330">
        <v>2881.15</v>
      </c>
      <c r="GP44" s="330">
        <v>2839.92</v>
      </c>
      <c r="GQ44" s="330">
        <v>2553.23</v>
      </c>
      <c r="GR44" s="330">
        <v>2382.35</v>
      </c>
      <c r="GS44" s="330">
        <v>2605.1</v>
      </c>
      <c r="GT44" s="330">
        <v>2562.27</v>
      </c>
      <c r="GU44" s="330">
        <v>2595.0100000000002</v>
      </c>
      <c r="GV44" s="330">
        <v>2675.25</v>
      </c>
      <c r="GW44" s="330">
        <v>2449.25</v>
      </c>
      <c r="GX44" s="330">
        <v>2739.56</v>
      </c>
      <c r="GY44" s="330">
        <v>2632.26</v>
      </c>
      <c r="GZ44" s="330">
        <v>2687.42</v>
      </c>
      <c r="HA44" s="330">
        <v>490.21</v>
      </c>
      <c r="HB44" s="330">
        <v>511.63</v>
      </c>
      <c r="HC44" s="330">
        <v>432.68</v>
      </c>
      <c r="HD44" s="330">
        <v>325.58</v>
      </c>
      <c r="HE44" s="330">
        <v>413.71</v>
      </c>
      <c r="HF44" s="330">
        <v>850.97</v>
      </c>
      <c r="HG44" s="330">
        <v>819.93</v>
      </c>
      <c r="HH44" s="330">
        <v>810.29</v>
      </c>
      <c r="HI44" s="330">
        <v>723.59</v>
      </c>
      <c r="HJ44" s="330">
        <v>786.74</v>
      </c>
      <c r="HK44" s="330">
        <v>788.88</v>
      </c>
      <c r="HL44" s="330">
        <v>793.17</v>
      </c>
      <c r="HM44" s="329">
        <v>0</v>
      </c>
      <c r="HN44" s="329">
        <v>0</v>
      </c>
      <c r="HO44" s="329">
        <v>0</v>
      </c>
      <c r="HP44" s="329">
        <v>0</v>
      </c>
      <c r="HQ44" s="329">
        <v>0</v>
      </c>
      <c r="HR44" s="329">
        <v>0</v>
      </c>
      <c r="HS44" s="329">
        <v>0</v>
      </c>
      <c r="HT44" s="329">
        <v>0</v>
      </c>
      <c r="HU44" s="329">
        <v>0</v>
      </c>
      <c r="HV44" s="329">
        <v>0</v>
      </c>
      <c r="HW44" s="329">
        <v>0</v>
      </c>
      <c r="HX44" s="329">
        <v>0</v>
      </c>
      <c r="HY44" s="331"/>
      <c r="HZ44" s="331"/>
      <c r="IA44" s="331"/>
      <c r="IB44" s="331"/>
      <c r="IC44" s="331"/>
      <c r="ID44" s="331"/>
      <c r="IE44" s="331"/>
      <c r="IF44" s="331"/>
      <c r="IG44" s="331"/>
      <c r="IH44" s="331"/>
      <c r="II44" s="331"/>
      <c r="IJ44" s="331"/>
      <c r="IK44" s="329">
        <v>0</v>
      </c>
      <c r="IL44" s="329">
        <v>0</v>
      </c>
      <c r="IM44" s="329">
        <v>0</v>
      </c>
      <c r="IN44" s="329">
        <v>0</v>
      </c>
      <c r="IO44" s="329">
        <v>0</v>
      </c>
      <c r="IP44" s="329">
        <v>0</v>
      </c>
      <c r="IQ44" s="329">
        <v>0</v>
      </c>
      <c r="IR44" s="329">
        <v>0</v>
      </c>
      <c r="IS44" s="329">
        <v>0</v>
      </c>
      <c r="IT44" s="329">
        <v>0</v>
      </c>
      <c r="IU44" s="329">
        <v>0</v>
      </c>
      <c r="IV44" s="329">
        <v>0</v>
      </c>
      <c r="IW44" s="329">
        <v>0</v>
      </c>
      <c r="IX44" s="329">
        <v>0</v>
      </c>
      <c r="IY44" s="329">
        <v>0</v>
      </c>
      <c r="IZ44" s="329">
        <v>0</v>
      </c>
      <c r="JA44" s="329">
        <v>0</v>
      </c>
      <c r="JB44" s="329">
        <v>0</v>
      </c>
      <c r="JC44" s="329">
        <v>0</v>
      </c>
      <c r="JD44" s="329">
        <v>0</v>
      </c>
      <c r="JE44" s="329">
        <v>0</v>
      </c>
      <c r="JF44" s="329">
        <v>0</v>
      </c>
      <c r="JG44" s="329">
        <v>0</v>
      </c>
      <c r="JH44" s="329">
        <v>0</v>
      </c>
      <c r="JI44" s="330">
        <v>411.83</v>
      </c>
      <c r="JJ44" s="330">
        <v>-53.42</v>
      </c>
      <c r="JK44" s="330">
        <v>-52.66</v>
      </c>
      <c r="JL44" s="330">
        <v>-47.34</v>
      </c>
      <c r="JM44" s="330">
        <v>-44.18</v>
      </c>
      <c r="JN44" s="330">
        <v>-48.31</v>
      </c>
      <c r="JO44" s="330">
        <v>-48.64</v>
      </c>
      <c r="JP44" s="330">
        <v>-49.27</v>
      </c>
      <c r="JQ44" s="330">
        <v>-50.79</v>
      </c>
      <c r="JR44" s="330">
        <v>-46.5</v>
      </c>
      <c r="JS44" s="330">
        <v>-52.01</v>
      </c>
      <c r="JT44" s="330">
        <v>-49.97</v>
      </c>
      <c r="JU44" s="330">
        <v>-44.64</v>
      </c>
      <c r="JV44" s="331"/>
      <c r="JW44" s="331"/>
      <c r="JX44" s="331"/>
      <c r="JY44" s="331"/>
      <c r="JZ44" s="331"/>
      <c r="KA44" s="331"/>
      <c r="KB44" s="331"/>
      <c r="KC44" s="331"/>
      <c r="KD44" s="331"/>
      <c r="KE44" s="331"/>
      <c r="KF44" s="331"/>
      <c r="KG44" s="331"/>
      <c r="KH44" s="331"/>
      <c r="KI44" s="331"/>
      <c r="KJ44" s="331"/>
      <c r="KK44" s="331"/>
      <c r="KL44" s="331"/>
      <c r="KM44" s="331"/>
      <c r="KN44" s="331"/>
      <c r="KO44" s="331"/>
      <c r="KP44" s="331"/>
      <c r="KQ44" s="331"/>
      <c r="KR44" s="331"/>
      <c r="KS44" s="331"/>
      <c r="KT44" s="329">
        <v>0</v>
      </c>
      <c r="KU44" s="329">
        <v>0</v>
      </c>
      <c r="KV44" s="329">
        <v>0</v>
      </c>
      <c r="KW44" s="329">
        <v>0</v>
      </c>
      <c r="KX44" s="329">
        <v>0</v>
      </c>
      <c r="KY44" s="329">
        <v>0</v>
      </c>
      <c r="KZ44" s="329">
        <v>0</v>
      </c>
      <c r="LA44" s="329">
        <v>0</v>
      </c>
      <c r="LB44" s="329">
        <v>0</v>
      </c>
      <c r="LC44" s="329">
        <v>0</v>
      </c>
      <c r="LD44" s="329">
        <v>0</v>
      </c>
      <c r="LE44" s="329">
        <v>0</v>
      </c>
      <c r="LF44" s="329">
        <v>0</v>
      </c>
      <c r="LG44" s="329">
        <v>0</v>
      </c>
      <c r="LH44" s="329">
        <v>0</v>
      </c>
      <c r="LI44" s="329">
        <v>0</v>
      </c>
      <c r="LJ44" s="329">
        <v>0</v>
      </c>
      <c r="LK44" s="329">
        <v>0</v>
      </c>
      <c r="LL44" s="329">
        <v>0</v>
      </c>
      <c r="LM44" s="329">
        <v>0</v>
      </c>
      <c r="LN44" s="329">
        <v>0</v>
      </c>
      <c r="LO44" s="329">
        <v>0</v>
      </c>
      <c r="LP44" s="329">
        <v>0</v>
      </c>
      <c r="LQ44" s="329">
        <v>0</v>
      </c>
      <c r="LR44" s="331"/>
      <c r="LS44" s="331"/>
      <c r="LT44" s="331"/>
      <c r="LU44" s="331"/>
      <c r="LV44" s="331"/>
      <c r="LW44" s="331"/>
      <c r="LX44" s="331"/>
      <c r="LY44" s="331"/>
      <c r="LZ44" s="331"/>
      <c r="MA44" s="331"/>
      <c r="MB44" s="331"/>
      <c r="MC44" s="331"/>
      <c r="MD44" s="331"/>
      <c r="ME44" s="331"/>
      <c r="MF44" s="331"/>
      <c r="MG44" s="331"/>
      <c r="MH44" s="331"/>
      <c r="MI44" s="331"/>
      <c r="MJ44" s="331"/>
      <c r="MK44" s="331"/>
      <c r="ML44" s="331"/>
      <c r="MM44" s="331"/>
      <c r="MN44" s="331"/>
      <c r="MO44" s="331"/>
      <c r="MP44" s="331"/>
      <c r="MQ44" s="331"/>
      <c r="MR44" s="331"/>
      <c r="MS44" s="331"/>
      <c r="MT44" s="331"/>
      <c r="MU44" s="331"/>
      <c r="MV44" s="331"/>
      <c r="MW44" s="331"/>
      <c r="MX44" s="331"/>
      <c r="MY44" s="331"/>
      <c r="MZ44" s="331"/>
      <c r="NA44" s="331"/>
      <c r="NB44" s="331"/>
      <c r="NC44" s="331"/>
      <c r="ND44" s="331"/>
      <c r="NE44" s="331"/>
      <c r="NF44" s="331"/>
      <c r="NG44" s="331"/>
      <c r="NH44" s="331"/>
      <c r="NI44" s="331"/>
      <c r="NJ44" s="331"/>
      <c r="NK44" s="331"/>
      <c r="NL44" s="331"/>
      <c r="NM44" s="331"/>
      <c r="NN44" s="331"/>
      <c r="NO44" s="331"/>
      <c r="NP44" s="331"/>
      <c r="NQ44" s="331"/>
      <c r="NR44" s="331"/>
      <c r="NS44" s="331"/>
      <c r="NT44" s="331"/>
      <c r="NU44" s="331"/>
      <c r="NV44" s="331"/>
      <c r="NW44" s="331"/>
      <c r="NX44" s="331"/>
      <c r="NY44" s="331"/>
      <c r="NZ44" s="331"/>
      <c r="OA44" s="331"/>
      <c r="OB44" s="331"/>
      <c r="OC44" s="331"/>
      <c r="OD44" s="331"/>
      <c r="OE44" s="331"/>
      <c r="OF44" s="331"/>
      <c r="OG44" s="331"/>
      <c r="OH44" s="331"/>
      <c r="OI44" s="331"/>
      <c r="OJ44" s="331"/>
      <c r="OK44" s="331"/>
      <c r="OL44" s="332">
        <f t="shared" si="1"/>
        <v>424127.66000000003</v>
      </c>
    </row>
    <row r="45" spans="1:402" ht="13.5" thickBot="1">
      <c r="A45" s="320" t="s">
        <v>404</v>
      </c>
      <c r="B45" s="328" t="s">
        <v>441</v>
      </c>
      <c r="C45" s="328" t="s">
        <v>206</v>
      </c>
      <c r="D45" s="328" t="s">
        <v>450</v>
      </c>
      <c r="E45" s="329">
        <v>0</v>
      </c>
      <c r="F45" s="329">
        <v>0</v>
      </c>
      <c r="G45" s="329">
        <v>0</v>
      </c>
      <c r="H45" s="329">
        <v>0</v>
      </c>
      <c r="I45" s="329">
        <v>0</v>
      </c>
      <c r="J45" s="329">
        <v>0</v>
      </c>
      <c r="K45" s="329">
        <v>0</v>
      </c>
      <c r="L45" s="329">
        <v>0</v>
      </c>
      <c r="M45" s="329">
        <v>0</v>
      </c>
      <c r="N45" s="329">
        <v>0</v>
      </c>
      <c r="O45" s="329">
        <v>0</v>
      </c>
      <c r="P45" s="329">
        <v>0</v>
      </c>
      <c r="Q45" s="329">
        <v>0</v>
      </c>
      <c r="R45" s="329">
        <v>0</v>
      </c>
      <c r="S45" s="329">
        <v>0</v>
      </c>
      <c r="T45" s="329">
        <v>0</v>
      </c>
      <c r="U45" s="329">
        <v>0</v>
      </c>
      <c r="V45" s="329">
        <v>0</v>
      </c>
      <c r="W45" s="329">
        <v>0</v>
      </c>
      <c r="X45" s="329">
        <v>0</v>
      </c>
      <c r="Y45" s="329">
        <v>0</v>
      </c>
      <c r="Z45" s="329">
        <v>0</v>
      </c>
      <c r="AA45" s="329">
        <v>0</v>
      </c>
      <c r="AB45" s="329">
        <v>0</v>
      </c>
      <c r="AC45" s="329">
        <v>0</v>
      </c>
      <c r="AD45" s="329">
        <v>0</v>
      </c>
      <c r="AE45" s="329">
        <v>0</v>
      </c>
      <c r="AF45" s="329">
        <v>0</v>
      </c>
      <c r="AG45" s="329">
        <v>0</v>
      </c>
      <c r="AH45" s="329">
        <v>0</v>
      </c>
      <c r="AI45" s="329">
        <v>0</v>
      </c>
      <c r="AJ45" s="329">
        <v>0</v>
      </c>
      <c r="AK45" s="329">
        <v>0</v>
      </c>
      <c r="AL45" s="329">
        <v>0</v>
      </c>
      <c r="AM45" s="329">
        <v>0</v>
      </c>
      <c r="AN45" s="329">
        <v>0</v>
      </c>
      <c r="AO45" s="330">
        <v>1344.58</v>
      </c>
      <c r="AP45" s="330">
        <v>2685.44</v>
      </c>
      <c r="AQ45" s="330">
        <v>3199.54</v>
      </c>
      <c r="AR45" s="330">
        <v>3259.29</v>
      </c>
      <c r="AS45" s="330">
        <v>2799.03</v>
      </c>
      <c r="AT45" s="330">
        <v>2960.54</v>
      </c>
      <c r="AU45" s="330">
        <v>3085.95</v>
      </c>
      <c r="AV45" s="330">
        <v>2906.7</v>
      </c>
      <c r="AW45" s="330">
        <v>3205.45</v>
      </c>
      <c r="AX45" s="330">
        <v>3175.58</v>
      </c>
      <c r="AY45" s="330">
        <v>2894.56</v>
      </c>
      <c r="AZ45" s="330">
        <v>2900.79</v>
      </c>
      <c r="BA45" s="331"/>
      <c r="BB45" s="331"/>
      <c r="BC45" s="331"/>
      <c r="BD45" s="331"/>
      <c r="BE45" s="331"/>
      <c r="BF45" s="331"/>
      <c r="BG45" s="331"/>
      <c r="BH45" s="331"/>
      <c r="BI45" s="331"/>
      <c r="BJ45" s="331"/>
      <c r="BK45" s="331"/>
      <c r="BL45" s="331"/>
      <c r="BM45" s="329">
        <v>0</v>
      </c>
      <c r="BN45" s="329">
        <v>0</v>
      </c>
      <c r="BO45" s="329">
        <v>0</v>
      </c>
      <c r="BP45" s="329">
        <v>0</v>
      </c>
      <c r="BQ45" s="329">
        <v>0</v>
      </c>
      <c r="BR45" s="329">
        <v>0</v>
      </c>
      <c r="BS45" s="329">
        <v>0</v>
      </c>
      <c r="BT45" s="329">
        <v>0</v>
      </c>
      <c r="BU45" s="329">
        <v>0</v>
      </c>
      <c r="BV45" s="329">
        <v>0</v>
      </c>
      <c r="BW45" s="329">
        <v>0</v>
      </c>
      <c r="BX45" s="329">
        <v>0</v>
      </c>
      <c r="BY45" s="329">
        <v>0</v>
      </c>
      <c r="BZ45" s="329">
        <v>0</v>
      </c>
      <c r="CA45" s="329">
        <v>0</v>
      </c>
      <c r="CB45" s="329">
        <v>0</v>
      </c>
      <c r="CC45" s="329">
        <v>0</v>
      </c>
      <c r="CD45" s="329">
        <v>0</v>
      </c>
      <c r="CE45" s="329">
        <v>0</v>
      </c>
      <c r="CF45" s="329">
        <v>0</v>
      </c>
      <c r="CG45" s="329">
        <v>0</v>
      </c>
      <c r="CH45" s="329">
        <v>0</v>
      </c>
      <c r="CI45" s="329">
        <v>0</v>
      </c>
      <c r="CJ45" s="329">
        <v>0</v>
      </c>
      <c r="CK45" s="331"/>
      <c r="CL45" s="331"/>
      <c r="CM45" s="331"/>
      <c r="CN45" s="331"/>
      <c r="CO45" s="331"/>
      <c r="CP45" s="331"/>
      <c r="CQ45" s="331"/>
      <c r="CR45" s="331"/>
      <c r="CS45" s="331"/>
      <c r="CT45" s="331"/>
      <c r="CU45" s="331"/>
      <c r="CV45" s="331"/>
      <c r="CW45" s="329">
        <v>0</v>
      </c>
      <c r="CX45" s="329">
        <v>0</v>
      </c>
      <c r="CY45" s="329">
        <v>0</v>
      </c>
      <c r="CZ45" s="329">
        <v>0</v>
      </c>
      <c r="DA45" s="329">
        <v>0</v>
      </c>
      <c r="DB45" s="329">
        <v>0</v>
      </c>
      <c r="DC45" s="329">
        <v>0</v>
      </c>
      <c r="DD45" s="329">
        <v>0</v>
      </c>
      <c r="DE45" s="329">
        <v>0</v>
      </c>
      <c r="DF45" s="329">
        <v>0</v>
      </c>
      <c r="DG45" s="329">
        <v>0</v>
      </c>
      <c r="DH45" s="329">
        <v>0</v>
      </c>
      <c r="DI45" s="330">
        <v>89.55</v>
      </c>
      <c r="DJ45" s="330">
        <v>182.68</v>
      </c>
      <c r="DK45" s="330">
        <v>219.49</v>
      </c>
      <c r="DL45" s="330">
        <v>223.77</v>
      </c>
      <c r="DM45" s="330">
        <v>190.81</v>
      </c>
      <c r="DN45" s="330">
        <v>202.38</v>
      </c>
      <c r="DO45" s="330">
        <v>211.36</v>
      </c>
      <c r="DP45" s="330">
        <v>198.52</v>
      </c>
      <c r="DQ45" s="330">
        <v>219.91</v>
      </c>
      <c r="DR45" s="330">
        <v>217.78</v>
      </c>
      <c r="DS45" s="330">
        <v>197.65</v>
      </c>
      <c r="DT45" s="330">
        <v>222.14</v>
      </c>
      <c r="DU45" s="330">
        <v>17.510000000000002</v>
      </c>
      <c r="DV45" s="330">
        <v>35.729999999999997</v>
      </c>
      <c r="DW45" s="330">
        <v>42.93</v>
      </c>
      <c r="DX45" s="330">
        <v>43.77</v>
      </c>
      <c r="DY45" s="330">
        <v>37.32</v>
      </c>
      <c r="DZ45" s="330">
        <v>39.58</v>
      </c>
      <c r="EA45" s="330">
        <v>41.34</v>
      </c>
      <c r="EB45" s="330">
        <v>38.83</v>
      </c>
      <c r="EC45" s="330">
        <v>43.01</v>
      </c>
      <c r="ED45" s="330">
        <v>42.59</v>
      </c>
      <c r="EE45" s="330">
        <v>38.659999999999997</v>
      </c>
      <c r="EF45" s="330">
        <v>38.74</v>
      </c>
      <c r="EG45" s="329">
        <v>0</v>
      </c>
      <c r="EH45" s="329">
        <v>0</v>
      </c>
      <c r="EI45" s="329">
        <v>0</v>
      </c>
      <c r="EJ45" s="329">
        <v>0</v>
      </c>
      <c r="EK45" s="329">
        <v>0</v>
      </c>
      <c r="EL45" s="329">
        <v>0</v>
      </c>
      <c r="EM45" s="329">
        <v>0</v>
      </c>
      <c r="EN45" s="329">
        <v>0</v>
      </c>
      <c r="EO45" s="329">
        <v>0</v>
      </c>
      <c r="EP45" s="329">
        <v>0</v>
      </c>
      <c r="EQ45" s="329">
        <v>0</v>
      </c>
      <c r="ER45" s="329">
        <v>0</v>
      </c>
      <c r="ES45" s="329">
        <v>0</v>
      </c>
      <c r="ET45" s="329">
        <v>0</v>
      </c>
      <c r="EU45" s="329">
        <v>0</v>
      </c>
      <c r="EV45" s="329">
        <v>0</v>
      </c>
      <c r="EW45" s="329">
        <v>0</v>
      </c>
      <c r="EX45" s="329">
        <v>0</v>
      </c>
      <c r="EY45" s="329">
        <v>0</v>
      </c>
      <c r="EZ45" s="329">
        <v>0</v>
      </c>
      <c r="FA45" s="329">
        <v>0</v>
      </c>
      <c r="FB45" s="329">
        <v>0</v>
      </c>
      <c r="FC45" s="329">
        <v>0</v>
      </c>
      <c r="FD45" s="329">
        <v>0</v>
      </c>
      <c r="FE45" s="331"/>
      <c r="FF45" s="331"/>
      <c r="FG45" s="331"/>
      <c r="FH45" s="331"/>
      <c r="FI45" s="331"/>
      <c r="FJ45" s="331"/>
      <c r="FK45" s="331"/>
      <c r="FL45" s="331"/>
      <c r="FM45" s="331"/>
      <c r="FN45" s="331"/>
      <c r="FO45" s="331"/>
      <c r="FP45" s="331"/>
      <c r="FQ45" s="329">
        <v>0</v>
      </c>
      <c r="FR45" s="329">
        <v>0</v>
      </c>
      <c r="FS45" s="329">
        <v>0</v>
      </c>
      <c r="FT45" s="329">
        <v>0</v>
      </c>
      <c r="FU45" s="329">
        <v>0</v>
      </c>
      <c r="FV45" s="329">
        <v>0</v>
      </c>
      <c r="FW45" s="329">
        <v>0</v>
      </c>
      <c r="FX45" s="329">
        <v>0</v>
      </c>
      <c r="FY45" s="329">
        <v>0</v>
      </c>
      <c r="FZ45" s="329">
        <v>0</v>
      </c>
      <c r="GA45" s="329">
        <v>0</v>
      </c>
      <c r="GB45" s="329">
        <v>0</v>
      </c>
      <c r="GC45" s="330">
        <v>550.85</v>
      </c>
      <c r="GD45" s="330">
        <v>922.4</v>
      </c>
      <c r="GE45" s="330">
        <v>1013.5</v>
      </c>
      <c r="GF45" s="330">
        <v>3352.85</v>
      </c>
      <c r="GG45" s="330">
        <v>3271.3</v>
      </c>
      <c r="GH45" s="330">
        <v>3011.64</v>
      </c>
      <c r="GI45" s="330">
        <v>3033.86</v>
      </c>
      <c r="GJ45" s="330">
        <v>3002.1</v>
      </c>
      <c r="GK45" s="330">
        <v>3055.04</v>
      </c>
      <c r="GL45" s="330">
        <v>3049.74</v>
      </c>
      <c r="GM45" s="330">
        <v>2999.95</v>
      </c>
      <c r="GN45" s="330">
        <v>3070.04</v>
      </c>
      <c r="GO45" s="330">
        <v>319.24</v>
      </c>
      <c r="GP45" s="330">
        <v>651.24</v>
      </c>
      <c r="GQ45" s="330">
        <v>782.47</v>
      </c>
      <c r="GR45" s="330">
        <v>797.72</v>
      </c>
      <c r="GS45" s="330">
        <v>680.23</v>
      </c>
      <c r="GT45" s="330">
        <v>704.66</v>
      </c>
      <c r="GU45" s="330">
        <v>735.92</v>
      </c>
      <c r="GV45" s="330">
        <v>691.23</v>
      </c>
      <c r="GW45" s="330">
        <v>765.72</v>
      </c>
      <c r="GX45" s="330">
        <v>758.27</v>
      </c>
      <c r="GY45" s="330">
        <v>688.21</v>
      </c>
      <c r="GZ45" s="330">
        <v>689.76</v>
      </c>
      <c r="HA45" s="330">
        <v>29.17</v>
      </c>
      <c r="HB45" s="330">
        <v>34.880000000000003</v>
      </c>
      <c r="HC45" s="330">
        <v>88.13</v>
      </c>
      <c r="HD45" s="330">
        <v>75.89</v>
      </c>
      <c r="HE45" s="330">
        <v>71.599999999999994</v>
      </c>
      <c r="HF45" s="330">
        <v>90.98</v>
      </c>
      <c r="HG45" s="330">
        <v>110.25</v>
      </c>
      <c r="HH45" s="330">
        <v>115.6</v>
      </c>
      <c r="HI45" s="330">
        <v>156.28</v>
      </c>
      <c r="HJ45" s="330">
        <v>135.94</v>
      </c>
      <c r="HK45" s="330">
        <v>128.44999999999999</v>
      </c>
      <c r="HL45" s="330">
        <v>99.55</v>
      </c>
      <c r="HM45" s="329">
        <v>0</v>
      </c>
      <c r="HN45" s="329">
        <v>0</v>
      </c>
      <c r="HO45" s="329">
        <v>0</v>
      </c>
      <c r="HP45" s="329">
        <v>0</v>
      </c>
      <c r="HQ45" s="329">
        <v>0</v>
      </c>
      <c r="HR45" s="329">
        <v>0</v>
      </c>
      <c r="HS45" s="329">
        <v>0</v>
      </c>
      <c r="HT45" s="329">
        <v>0</v>
      </c>
      <c r="HU45" s="329">
        <v>0</v>
      </c>
      <c r="HV45" s="329">
        <v>0</v>
      </c>
      <c r="HW45" s="329">
        <v>0</v>
      </c>
      <c r="HX45" s="329">
        <v>0</v>
      </c>
      <c r="HY45" s="331"/>
      <c r="HZ45" s="331"/>
      <c r="IA45" s="331"/>
      <c r="IB45" s="331"/>
      <c r="IC45" s="331"/>
      <c r="ID45" s="331"/>
      <c r="IE45" s="331"/>
      <c r="IF45" s="331"/>
      <c r="IG45" s="331"/>
      <c r="IH45" s="331"/>
      <c r="II45" s="331"/>
      <c r="IJ45" s="331"/>
      <c r="IK45" s="329">
        <v>0</v>
      </c>
      <c r="IL45" s="329">
        <v>0</v>
      </c>
      <c r="IM45" s="329">
        <v>0</v>
      </c>
      <c r="IN45" s="329">
        <v>0</v>
      </c>
      <c r="IO45" s="329">
        <v>0</v>
      </c>
      <c r="IP45" s="329">
        <v>0</v>
      </c>
      <c r="IQ45" s="329">
        <v>0</v>
      </c>
      <c r="IR45" s="329">
        <v>0</v>
      </c>
      <c r="IS45" s="329">
        <v>0</v>
      </c>
      <c r="IT45" s="329">
        <v>0</v>
      </c>
      <c r="IU45" s="329">
        <v>0</v>
      </c>
      <c r="IV45" s="329">
        <v>0</v>
      </c>
      <c r="IW45" s="329">
        <v>0</v>
      </c>
      <c r="IX45" s="329">
        <v>0</v>
      </c>
      <c r="IY45" s="329">
        <v>0</v>
      </c>
      <c r="IZ45" s="329">
        <v>0</v>
      </c>
      <c r="JA45" s="329">
        <v>0</v>
      </c>
      <c r="JB45" s="329">
        <v>0</v>
      </c>
      <c r="JC45" s="329">
        <v>0</v>
      </c>
      <c r="JD45" s="329">
        <v>0</v>
      </c>
      <c r="JE45" s="329">
        <v>0</v>
      </c>
      <c r="JF45" s="329">
        <v>0</v>
      </c>
      <c r="JG45" s="329">
        <v>0</v>
      </c>
      <c r="JH45" s="329">
        <v>0</v>
      </c>
      <c r="JI45" s="330">
        <v>105.7</v>
      </c>
      <c r="JJ45" s="330">
        <v>-5.92</v>
      </c>
      <c r="JK45" s="330">
        <v>-12.08</v>
      </c>
      <c r="JL45" s="330">
        <v>-14.51</v>
      </c>
      <c r="JM45" s="330">
        <v>-14.79</v>
      </c>
      <c r="JN45" s="330">
        <v>-12.61</v>
      </c>
      <c r="JO45" s="330">
        <v>-13.38</v>
      </c>
      <c r="JP45" s="330">
        <v>-13.97</v>
      </c>
      <c r="JQ45" s="330">
        <v>-13.12</v>
      </c>
      <c r="JR45" s="330">
        <v>-14.54</v>
      </c>
      <c r="JS45" s="330">
        <v>-14.4</v>
      </c>
      <c r="JT45" s="330">
        <v>-13.07</v>
      </c>
      <c r="JU45" s="330">
        <v>-11.46</v>
      </c>
      <c r="JV45" s="331"/>
      <c r="JW45" s="331"/>
      <c r="JX45" s="331"/>
      <c r="JY45" s="331"/>
      <c r="JZ45" s="331"/>
      <c r="KA45" s="331"/>
      <c r="KB45" s="331"/>
      <c r="KC45" s="331"/>
      <c r="KD45" s="331"/>
      <c r="KE45" s="331"/>
      <c r="KF45" s="331"/>
      <c r="KG45" s="331"/>
      <c r="KH45" s="331"/>
      <c r="KI45" s="331"/>
      <c r="KJ45" s="331"/>
      <c r="KK45" s="331"/>
      <c r="KL45" s="331"/>
      <c r="KM45" s="331"/>
      <c r="KN45" s="331"/>
      <c r="KO45" s="331"/>
      <c r="KP45" s="331"/>
      <c r="KQ45" s="331"/>
      <c r="KR45" s="331"/>
      <c r="KS45" s="331"/>
      <c r="KT45" s="329">
        <v>0</v>
      </c>
      <c r="KU45" s="329">
        <v>0</v>
      </c>
      <c r="KV45" s="329">
        <v>0</v>
      </c>
      <c r="KW45" s="329">
        <v>0</v>
      </c>
      <c r="KX45" s="329">
        <v>0</v>
      </c>
      <c r="KY45" s="329">
        <v>0</v>
      </c>
      <c r="KZ45" s="329">
        <v>0</v>
      </c>
      <c r="LA45" s="329">
        <v>0</v>
      </c>
      <c r="LB45" s="329">
        <v>0</v>
      </c>
      <c r="LC45" s="329">
        <v>0</v>
      </c>
      <c r="LD45" s="329">
        <v>0</v>
      </c>
      <c r="LE45" s="329">
        <v>0</v>
      </c>
      <c r="LF45" s="329">
        <v>0</v>
      </c>
      <c r="LG45" s="329">
        <v>0</v>
      </c>
      <c r="LH45" s="329">
        <v>0</v>
      </c>
      <c r="LI45" s="329">
        <v>0</v>
      </c>
      <c r="LJ45" s="329">
        <v>0</v>
      </c>
      <c r="LK45" s="329">
        <v>0</v>
      </c>
      <c r="LL45" s="329">
        <v>0</v>
      </c>
      <c r="LM45" s="329">
        <v>0</v>
      </c>
      <c r="LN45" s="329">
        <v>0</v>
      </c>
      <c r="LO45" s="329">
        <v>0</v>
      </c>
      <c r="LP45" s="329">
        <v>0</v>
      </c>
      <c r="LQ45" s="329">
        <v>0</v>
      </c>
      <c r="LR45" s="331"/>
      <c r="LS45" s="331"/>
      <c r="LT45" s="331"/>
      <c r="LU45" s="331"/>
      <c r="LV45" s="331"/>
      <c r="LW45" s="331"/>
      <c r="LX45" s="331"/>
      <c r="LY45" s="331"/>
      <c r="LZ45" s="331"/>
      <c r="MA45" s="331"/>
      <c r="MB45" s="331"/>
      <c r="MC45" s="331"/>
      <c r="MD45" s="331"/>
      <c r="ME45" s="331"/>
      <c r="MF45" s="331"/>
      <c r="MG45" s="331"/>
      <c r="MH45" s="331"/>
      <c r="MI45" s="331"/>
      <c r="MJ45" s="331"/>
      <c r="MK45" s="331"/>
      <c r="ML45" s="331"/>
      <c r="MM45" s="331"/>
      <c r="MN45" s="331"/>
      <c r="MO45" s="331"/>
      <c r="MP45" s="331"/>
      <c r="MQ45" s="331"/>
      <c r="MR45" s="331"/>
      <c r="MS45" s="331"/>
      <c r="MT45" s="331"/>
      <c r="MU45" s="331"/>
      <c r="MV45" s="331"/>
      <c r="MW45" s="331"/>
      <c r="MX45" s="331"/>
      <c r="MY45" s="331"/>
      <c r="MZ45" s="331"/>
      <c r="NA45" s="331"/>
      <c r="NB45" s="331"/>
      <c r="NC45" s="331"/>
      <c r="ND45" s="331"/>
      <c r="NE45" s="331"/>
      <c r="NF45" s="331"/>
      <c r="NG45" s="331"/>
      <c r="NH45" s="331"/>
      <c r="NI45" s="331"/>
      <c r="NJ45" s="331"/>
      <c r="NK45" s="331"/>
      <c r="NL45" s="331"/>
      <c r="NM45" s="331"/>
      <c r="NN45" s="331"/>
      <c r="NO45" s="331"/>
      <c r="NP45" s="331"/>
      <c r="NQ45" s="331"/>
      <c r="NR45" s="331"/>
      <c r="NS45" s="331"/>
      <c r="NT45" s="331"/>
      <c r="NU45" s="331"/>
      <c r="NV45" s="331"/>
      <c r="NW45" s="331"/>
      <c r="NX45" s="331"/>
      <c r="NY45" s="331"/>
      <c r="NZ45" s="331"/>
      <c r="OA45" s="331"/>
      <c r="OB45" s="331"/>
      <c r="OC45" s="331"/>
      <c r="OD45" s="331"/>
      <c r="OE45" s="331"/>
      <c r="OF45" s="331"/>
      <c r="OG45" s="331"/>
      <c r="OH45" s="331"/>
      <c r="OI45" s="331"/>
      <c r="OJ45" s="331"/>
      <c r="OK45" s="331"/>
      <c r="OL45" s="332">
        <f t="shared" si="1"/>
        <v>76940.010000000024</v>
      </c>
    </row>
    <row r="46" spans="1:402" ht="13.5" thickBot="1">
      <c r="A46" s="320" t="s">
        <v>404</v>
      </c>
      <c r="B46" s="328" t="s">
        <v>441</v>
      </c>
      <c r="C46" s="328" t="s">
        <v>206</v>
      </c>
      <c r="D46" s="328" t="s">
        <v>451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Z46" s="329">
        <v>0</v>
      </c>
      <c r="AA46" s="329">
        <v>0</v>
      </c>
      <c r="AB46" s="329">
        <v>0</v>
      </c>
      <c r="AC46" s="329">
        <v>0</v>
      </c>
      <c r="AD46" s="329">
        <v>0</v>
      </c>
      <c r="AE46" s="329">
        <v>0</v>
      </c>
      <c r="AF46" s="329">
        <v>0</v>
      </c>
      <c r="AG46" s="329">
        <v>0</v>
      </c>
      <c r="AH46" s="329">
        <v>0</v>
      </c>
      <c r="AI46" s="329">
        <v>0</v>
      </c>
      <c r="AJ46" s="329">
        <v>0</v>
      </c>
      <c r="AK46" s="329">
        <v>0</v>
      </c>
      <c r="AL46" s="329">
        <v>0</v>
      </c>
      <c r="AM46" s="329">
        <v>0</v>
      </c>
      <c r="AN46" s="329">
        <v>0</v>
      </c>
      <c r="AO46" s="330">
        <v>9401.44</v>
      </c>
      <c r="AP46" s="330">
        <v>8881.74</v>
      </c>
      <c r="AQ46" s="330">
        <v>8146.69</v>
      </c>
      <c r="AR46" s="330">
        <v>8136.11</v>
      </c>
      <c r="AS46" s="330">
        <v>8136.11</v>
      </c>
      <c r="AT46" s="330">
        <v>8218.57</v>
      </c>
      <c r="AU46" s="330">
        <v>8136.11</v>
      </c>
      <c r="AV46" s="330">
        <v>8684.44</v>
      </c>
      <c r="AW46" s="330">
        <v>8971.3700000000008</v>
      </c>
      <c r="AX46" s="330">
        <v>9544.91</v>
      </c>
      <c r="AY46" s="330">
        <v>10226.120000000001</v>
      </c>
      <c r="AZ46" s="330">
        <v>9634.5300000000007</v>
      </c>
      <c r="BA46" s="331"/>
      <c r="BB46" s="331"/>
      <c r="BC46" s="331"/>
      <c r="BD46" s="331"/>
      <c r="BE46" s="331"/>
      <c r="BF46" s="331"/>
      <c r="BG46" s="331"/>
      <c r="BH46" s="331"/>
      <c r="BI46" s="331"/>
      <c r="BJ46" s="331"/>
      <c r="BK46" s="331"/>
      <c r="BL46" s="331"/>
      <c r="BM46" s="329">
        <v>0</v>
      </c>
      <c r="BN46" s="329">
        <v>0</v>
      </c>
      <c r="BO46" s="329">
        <v>0</v>
      </c>
      <c r="BP46" s="329">
        <v>0</v>
      </c>
      <c r="BQ46" s="329">
        <v>0</v>
      </c>
      <c r="BR46" s="329">
        <v>0</v>
      </c>
      <c r="BS46" s="329">
        <v>0</v>
      </c>
      <c r="BT46" s="329">
        <v>0</v>
      </c>
      <c r="BU46" s="329">
        <v>0</v>
      </c>
      <c r="BV46" s="329">
        <v>0</v>
      </c>
      <c r="BW46" s="329">
        <v>0</v>
      </c>
      <c r="BX46" s="329">
        <v>0</v>
      </c>
      <c r="BY46" s="329">
        <v>0</v>
      </c>
      <c r="BZ46" s="329">
        <v>0</v>
      </c>
      <c r="CA46" s="329">
        <v>0</v>
      </c>
      <c r="CB46" s="329">
        <v>0</v>
      </c>
      <c r="CC46" s="329">
        <v>0</v>
      </c>
      <c r="CD46" s="329">
        <v>0</v>
      </c>
      <c r="CE46" s="329">
        <v>0</v>
      </c>
      <c r="CF46" s="329">
        <v>0</v>
      </c>
      <c r="CG46" s="329">
        <v>0</v>
      </c>
      <c r="CH46" s="329">
        <v>0</v>
      </c>
      <c r="CI46" s="329">
        <v>0</v>
      </c>
      <c r="CJ46" s="329">
        <v>0</v>
      </c>
      <c r="CK46" s="331"/>
      <c r="CL46" s="331"/>
      <c r="CM46" s="331"/>
      <c r="CN46" s="331"/>
      <c r="CO46" s="331"/>
      <c r="CP46" s="331"/>
      <c r="CQ46" s="331"/>
      <c r="CR46" s="331"/>
      <c r="CS46" s="331"/>
      <c r="CT46" s="331"/>
      <c r="CU46" s="331"/>
      <c r="CV46" s="331"/>
      <c r="CW46" s="329">
        <v>0</v>
      </c>
      <c r="CX46" s="329">
        <v>0</v>
      </c>
      <c r="CY46" s="329">
        <v>0</v>
      </c>
      <c r="CZ46" s="329">
        <v>0</v>
      </c>
      <c r="DA46" s="329">
        <v>0</v>
      </c>
      <c r="DB46" s="329">
        <v>0</v>
      </c>
      <c r="DC46" s="329">
        <v>0</v>
      </c>
      <c r="DD46" s="329">
        <v>0</v>
      </c>
      <c r="DE46" s="329">
        <v>0</v>
      </c>
      <c r="DF46" s="329">
        <v>0</v>
      </c>
      <c r="DG46" s="329">
        <v>0</v>
      </c>
      <c r="DH46" s="329">
        <v>0</v>
      </c>
      <c r="DI46" s="330">
        <v>663.58</v>
      </c>
      <c r="DJ46" s="330">
        <v>626.36</v>
      </c>
      <c r="DK46" s="330">
        <v>573.73</v>
      </c>
      <c r="DL46" s="330">
        <v>572.97</v>
      </c>
      <c r="DM46" s="330">
        <v>572.97</v>
      </c>
      <c r="DN46" s="330">
        <v>578.88</v>
      </c>
      <c r="DO46" s="330">
        <v>572.97</v>
      </c>
      <c r="DP46" s="330">
        <v>612.24</v>
      </c>
      <c r="DQ46" s="330">
        <v>632.78</v>
      </c>
      <c r="DR46" s="330">
        <v>673.85</v>
      </c>
      <c r="DS46" s="330">
        <v>722.63</v>
      </c>
      <c r="DT46" s="330">
        <v>762.83</v>
      </c>
      <c r="DU46" s="330">
        <v>129.78</v>
      </c>
      <c r="DV46" s="330">
        <v>122.5</v>
      </c>
      <c r="DW46" s="330">
        <v>112.21</v>
      </c>
      <c r="DX46" s="330">
        <v>112.06</v>
      </c>
      <c r="DY46" s="330">
        <v>112.06</v>
      </c>
      <c r="DZ46" s="330">
        <v>113.22</v>
      </c>
      <c r="EA46" s="330">
        <v>112.06</v>
      </c>
      <c r="EB46" s="330">
        <v>119.74</v>
      </c>
      <c r="EC46" s="330">
        <v>123.76</v>
      </c>
      <c r="ED46" s="330">
        <v>131.79</v>
      </c>
      <c r="EE46" s="330">
        <v>141.33000000000001</v>
      </c>
      <c r="EF46" s="330">
        <v>133.05000000000001</v>
      </c>
      <c r="EG46" s="329">
        <v>0</v>
      </c>
      <c r="EH46" s="329">
        <v>0</v>
      </c>
      <c r="EI46" s="329">
        <v>0</v>
      </c>
      <c r="EJ46" s="329">
        <v>0</v>
      </c>
      <c r="EK46" s="329">
        <v>0</v>
      </c>
      <c r="EL46" s="329">
        <v>0</v>
      </c>
      <c r="EM46" s="329">
        <v>0</v>
      </c>
      <c r="EN46" s="329">
        <v>0</v>
      </c>
      <c r="EO46" s="329">
        <v>0</v>
      </c>
      <c r="EP46" s="329">
        <v>0</v>
      </c>
      <c r="EQ46" s="329">
        <v>0</v>
      </c>
      <c r="ER46" s="329">
        <v>0</v>
      </c>
      <c r="ES46" s="329">
        <v>0</v>
      </c>
      <c r="ET46" s="329">
        <v>0</v>
      </c>
      <c r="EU46" s="329">
        <v>0</v>
      </c>
      <c r="EV46" s="329">
        <v>0</v>
      </c>
      <c r="EW46" s="329">
        <v>0</v>
      </c>
      <c r="EX46" s="329">
        <v>0</v>
      </c>
      <c r="EY46" s="329">
        <v>0</v>
      </c>
      <c r="EZ46" s="329">
        <v>0</v>
      </c>
      <c r="FA46" s="329">
        <v>0</v>
      </c>
      <c r="FB46" s="329">
        <v>0</v>
      </c>
      <c r="FC46" s="329">
        <v>0</v>
      </c>
      <c r="FD46" s="329">
        <v>0</v>
      </c>
      <c r="FE46" s="331"/>
      <c r="FF46" s="331"/>
      <c r="FG46" s="331"/>
      <c r="FH46" s="331"/>
      <c r="FI46" s="331"/>
      <c r="FJ46" s="331"/>
      <c r="FK46" s="331"/>
      <c r="FL46" s="331"/>
      <c r="FM46" s="331"/>
      <c r="FN46" s="331"/>
      <c r="FO46" s="331"/>
      <c r="FP46" s="331"/>
      <c r="FQ46" s="329">
        <v>0</v>
      </c>
      <c r="FR46" s="329">
        <v>0</v>
      </c>
      <c r="FS46" s="329">
        <v>0</v>
      </c>
      <c r="FT46" s="329">
        <v>0</v>
      </c>
      <c r="FU46" s="329">
        <v>0</v>
      </c>
      <c r="FV46" s="329">
        <v>0</v>
      </c>
      <c r="FW46" s="329">
        <v>0</v>
      </c>
      <c r="FX46" s="329">
        <v>0</v>
      </c>
      <c r="FY46" s="329">
        <v>0</v>
      </c>
      <c r="FZ46" s="329">
        <v>0</v>
      </c>
      <c r="GA46" s="329">
        <v>0</v>
      </c>
      <c r="GB46" s="329">
        <v>0</v>
      </c>
      <c r="GC46" s="330">
        <v>19791.09</v>
      </c>
      <c r="GD46" s="329">
        <v>19699</v>
      </c>
      <c r="GE46" s="330">
        <v>19568.759999999998</v>
      </c>
      <c r="GF46" s="330">
        <v>16559.61</v>
      </c>
      <c r="GG46" s="330">
        <v>16559.61</v>
      </c>
      <c r="GH46" s="330">
        <v>15014.78</v>
      </c>
      <c r="GI46" s="330">
        <v>15000.16</v>
      </c>
      <c r="GJ46" s="330">
        <v>15097.32</v>
      </c>
      <c r="GK46" s="330">
        <v>15148.16</v>
      </c>
      <c r="GL46" s="330">
        <v>15249.79</v>
      </c>
      <c r="GM46" s="330">
        <v>15370.5</v>
      </c>
      <c r="GN46" s="330">
        <v>15261.51</v>
      </c>
      <c r="GO46" s="330">
        <v>2365.59</v>
      </c>
      <c r="GP46" s="330">
        <v>2232.9299999999998</v>
      </c>
      <c r="GQ46" s="330">
        <v>2045.3</v>
      </c>
      <c r="GR46" s="330">
        <v>2042.6</v>
      </c>
      <c r="GS46" s="330">
        <v>2042.6</v>
      </c>
      <c r="GT46" s="330">
        <v>2015.59</v>
      </c>
      <c r="GU46" s="330">
        <v>1995.03</v>
      </c>
      <c r="GV46" s="330">
        <v>2131.7399999999998</v>
      </c>
      <c r="GW46" s="330">
        <v>2203.27</v>
      </c>
      <c r="GX46" s="330">
        <v>2346.27</v>
      </c>
      <c r="GY46" s="330">
        <v>2516.11</v>
      </c>
      <c r="GZ46" s="330">
        <v>2368.61</v>
      </c>
      <c r="HA46" s="329">
        <v>347</v>
      </c>
      <c r="HB46" s="330">
        <v>284.58</v>
      </c>
      <c r="HC46" s="330">
        <v>262.55</v>
      </c>
      <c r="HD46" s="330">
        <v>201.96</v>
      </c>
      <c r="HE46" s="330">
        <v>189.11</v>
      </c>
      <c r="HF46" s="330">
        <v>472.05</v>
      </c>
      <c r="HG46" s="330">
        <v>475.26</v>
      </c>
      <c r="HH46" s="330">
        <v>539.48</v>
      </c>
      <c r="HI46" s="330">
        <v>606.91999999999996</v>
      </c>
      <c r="HJ46" s="330">
        <v>687.2</v>
      </c>
      <c r="HK46" s="330">
        <v>757.84</v>
      </c>
      <c r="HL46" s="330">
        <v>680.77</v>
      </c>
      <c r="HM46" s="329">
        <v>0</v>
      </c>
      <c r="HN46" s="329">
        <v>0</v>
      </c>
      <c r="HO46" s="329">
        <v>0</v>
      </c>
      <c r="HP46" s="329">
        <v>0</v>
      </c>
      <c r="HQ46" s="329">
        <v>0</v>
      </c>
      <c r="HR46" s="329">
        <v>0</v>
      </c>
      <c r="HS46" s="329">
        <v>0</v>
      </c>
      <c r="HT46" s="329">
        <v>0</v>
      </c>
      <c r="HU46" s="329">
        <v>0</v>
      </c>
      <c r="HV46" s="329">
        <v>0</v>
      </c>
      <c r="HW46" s="329">
        <v>0</v>
      </c>
      <c r="HX46" s="329">
        <v>0</v>
      </c>
      <c r="HY46" s="331"/>
      <c r="HZ46" s="331"/>
      <c r="IA46" s="331"/>
      <c r="IB46" s="331"/>
      <c r="IC46" s="331"/>
      <c r="ID46" s="331"/>
      <c r="IE46" s="331"/>
      <c r="IF46" s="331"/>
      <c r="IG46" s="331"/>
      <c r="IH46" s="331"/>
      <c r="II46" s="331"/>
      <c r="IJ46" s="331"/>
      <c r="IK46" s="329">
        <v>0</v>
      </c>
      <c r="IL46" s="329">
        <v>0</v>
      </c>
      <c r="IM46" s="329">
        <v>0</v>
      </c>
      <c r="IN46" s="329">
        <v>0</v>
      </c>
      <c r="IO46" s="329">
        <v>0</v>
      </c>
      <c r="IP46" s="329">
        <v>0</v>
      </c>
      <c r="IQ46" s="329">
        <v>0</v>
      </c>
      <c r="IR46" s="329">
        <v>0</v>
      </c>
      <c r="IS46" s="329">
        <v>0</v>
      </c>
      <c r="IT46" s="329">
        <v>0</v>
      </c>
      <c r="IU46" s="329">
        <v>0</v>
      </c>
      <c r="IV46" s="329">
        <v>0</v>
      </c>
      <c r="IW46" s="329">
        <v>0</v>
      </c>
      <c r="IX46" s="329">
        <v>0</v>
      </c>
      <c r="IY46" s="329">
        <v>0</v>
      </c>
      <c r="IZ46" s="329">
        <v>0</v>
      </c>
      <c r="JA46" s="329">
        <v>0</v>
      </c>
      <c r="JB46" s="329">
        <v>0</v>
      </c>
      <c r="JC46" s="329">
        <v>0</v>
      </c>
      <c r="JD46" s="329">
        <v>0</v>
      </c>
      <c r="JE46" s="329">
        <v>0</v>
      </c>
      <c r="JF46" s="329">
        <v>0</v>
      </c>
      <c r="JG46" s="329">
        <v>0</v>
      </c>
      <c r="JH46" s="329">
        <v>0</v>
      </c>
      <c r="JI46" s="330">
        <v>362.98</v>
      </c>
      <c r="JJ46" s="330">
        <v>-43.86</v>
      </c>
      <c r="JK46" s="330">
        <v>-41.4</v>
      </c>
      <c r="JL46" s="330">
        <v>-37.93</v>
      </c>
      <c r="JM46" s="330">
        <v>-37.880000000000003</v>
      </c>
      <c r="JN46" s="330">
        <v>-37.880000000000003</v>
      </c>
      <c r="JO46" s="330">
        <v>-38.270000000000003</v>
      </c>
      <c r="JP46" s="330">
        <v>-37.880000000000003</v>
      </c>
      <c r="JQ46" s="330">
        <v>-40.47</v>
      </c>
      <c r="JR46" s="330">
        <v>-41.83</v>
      </c>
      <c r="JS46" s="330">
        <v>-44.54</v>
      </c>
      <c r="JT46" s="330">
        <v>-47.77</v>
      </c>
      <c r="JU46" s="330">
        <v>-39.35</v>
      </c>
      <c r="JV46" s="331"/>
      <c r="JW46" s="331"/>
      <c r="JX46" s="331"/>
      <c r="JY46" s="331"/>
      <c r="JZ46" s="331"/>
      <c r="KA46" s="331"/>
      <c r="KB46" s="331"/>
      <c r="KC46" s="331"/>
      <c r="KD46" s="331"/>
      <c r="KE46" s="331"/>
      <c r="KF46" s="331"/>
      <c r="KG46" s="331"/>
      <c r="KH46" s="331"/>
      <c r="KI46" s="331"/>
      <c r="KJ46" s="331"/>
      <c r="KK46" s="331"/>
      <c r="KL46" s="331"/>
      <c r="KM46" s="331"/>
      <c r="KN46" s="331"/>
      <c r="KO46" s="331"/>
      <c r="KP46" s="331"/>
      <c r="KQ46" s="331"/>
      <c r="KR46" s="331"/>
      <c r="KS46" s="331"/>
      <c r="KT46" s="329">
        <v>0</v>
      </c>
      <c r="KU46" s="329">
        <v>0</v>
      </c>
      <c r="KV46" s="329">
        <v>0</v>
      </c>
      <c r="KW46" s="329">
        <v>0</v>
      </c>
      <c r="KX46" s="329">
        <v>0</v>
      </c>
      <c r="KY46" s="329">
        <v>0</v>
      </c>
      <c r="KZ46" s="329">
        <v>0</v>
      </c>
      <c r="LA46" s="329">
        <v>0</v>
      </c>
      <c r="LB46" s="329">
        <v>0</v>
      </c>
      <c r="LC46" s="329">
        <v>0</v>
      </c>
      <c r="LD46" s="329">
        <v>0</v>
      </c>
      <c r="LE46" s="329">
        <v>0</v>
      </c>
      <c r="LF46" s="329">
        <v>0</v>
      </c>
      <c r="LG46" s="329">
        <v>0</v>
      </c>
      <c r="LH46" s="329">
        <v>0</v>
      </c>
      <c r="LI46" s="329">
        <v>0</v>
      </c>
      <c r="LJ46" s="329">
        <v>0</v>
      </c>
      <c r="LK46" s="329">
        <v>0</v>
      </c>
      <c r="LL46" s="329">
        <v>0</v>
      </c>
      <c r="LM46" s="329">
        <v>0</v>
      </c>
      <c r="LN46" s="329">
        <v>0</v>
      </c>
      <c r="LO46" s="329">
        <v>0</v>
      </c>
      <c r="LP46" s="329">
        <v>0</v>
      </c>
      <c r="LQ46" s="329">
        <v>0</v>
      </c>
      <c r="LR46" s="331"/>
      <c r="LS46" s="331"/>
      <c r="LT46" s="331"/>
      <c r="LU46" s="331"/>
      <c r="LV46" s="331"/>
      <c r="LW46" s="331"/>
      <c r="LX46" s="331"/>
      <c r="LY46" s="331"/>
      <c r="LZ46" s="331"/>
      <c r="MA46" s="331"/>
      <c r="MB46" s="331"/>
      <c r="MC46" s="331"/>
      <c r="MD46" s="331"/>
      <c r="ME46" s="331"/>
      <c r="MF46" s="331"/>
      <c r="MG46" s="331"/>
      <c r="MH46" s="331"/>
      <c r="MI46" s="331"/>
      <c r="MJ46" s="331"/>
      <c r="MK46" s="331"/>
      <c r="ML46" s="331"/>
      <c r="MM46" s="331"/>
      <c r="MN46" s="331"/>
      <c r="MO46" s="331"/>
      <c r="MP46" s="331"/>
      <c r="MQ46" s="331"/>
      <c r="MR46" s="331"/>
      <c r="MS46" s="331"/>
      <c r="MT46" s="331"/>
      <c r="MU46" s="331"/>
      <c r="MV46" s="331"/>
      <c r="MW46" s="331"/>
      <c r="MX46" s="331"/>
      <c r="MY46" s="331"/>
      <c r="MZ46" s="331"/>
      <c r="NA46" s="331"/>
      <c r="NB46" s="331"/>
      <c r="NC46" s="331"/>
      <c r="ND46" s="331"/>
      <c r="NE46" s="331"/>
      <c r="NF46" s="331"/>
      <c r="NG46" s="331"/>
      <c r="NH46" s="331"/>
      <c r="NI46" s="331"/>
      <c r="NJ46" s="331"/>
      <c r="NK46" s="331"/>
      <c r="NL46" s="331"/>
      <c r="NM46" s="331"/>
      <c r="NN46" s="331"/>
      <c r="NO46" s="331"/>
      <c r="NP46" s="331"/>
      <c r="NQ46" s="331"/>
      <c r="NR46" s="331"/>
      <c r="NS46" s="331"/>
      <c r="NT46" s="331"/>
      <c r="NU46" s="331"/>
      <c r="NV46" s="331"/>
      <c r="NW46" s="331"/>
      <c r="NX46" s="331"/>
      <c r="NY46" s="331"/>
      <c r="NZ46" s="331"/>
      <c r="OA46" s="331"/>
      <c r="OB46" s="331"/>
      <c r="OC46" s="331"/>
      <c r="OD46" s="331"/>
      <c r="OE46" s="331"/>
      <c r="OF46" s="331"/>
      <c r="OG46" s="331"/>
      <c r="OH46" s="331"/>
      <c r="OI46" s="331"/>
      <c r="OJ46" s="331"/>
      <c r="OK46" s="331"/>
      <c r="OL46" s="332">
        <f t="shared" si="1"/>
        <v>345152.06</v>
      </c>
    </row>
    <row r="47" spans="1:402" ht="13.5" thickBot="1">
      <c r="A47" s="320" t="s">
        <v>404</v>
      </c>
      <c r="B47" s="328" t="s">
        <v>441</v>
      </c>
      <c r="C47" s="328" t="s">
        <v>206</v>
      </c>
      <c r="D47" s="328" t="s">
        <v>452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Z47" s="329">
        <v>0</v>
      </c>
      <c r="AA47" s="329">
        <v>0</v>
      </c>
      <c r="AB47" s="329">
        <v>0</v>
      </c>
      <c r="AC47" s="329">
        <v>0</v>
      </c>
      <c r="AD47" s="329">
        <v>0</v>
      </c>
      <c r="AE47" s="329">
        <v>0</v>
      </c>
      <c r="AF47" s="329">
        <v>0</v>
      </c>
      <c r="AG47" s="329">
        <v>0</v>
      </c>
      <c r="AH47" s="329">
        <v>0</v>
      </c>
      <c r="AI47" s="329">
        <v>0</v>
      </c>
      <c r="AJ47" s="329">
        <v>0</v>
      </c>
      <c r="AK47" s="329">
        <v>0</v>
      </c>
      <c r="AL47" s="329">
        <v>0</v>
      </c>
      <c r="AM47" s="329">
        <v>0</v>
      </c>
      <c r="AN47" s="329">
        <v>0</v>
      </c>
      <c r="AO47" s="330">
        <v>3725.16</v>
      </c>
      <c r="AP47" s="330">
        <v>3545.91</v>
      </c>
      <c r="AQ47" s="330">
        <v>3713.33</v>
      </c>
      <c r="AR47" s="330">
        <v>4137.5</v>
      </c>
      <c r="AS47" s="330">
        <v>4161.46</v>
      </c>
      <c r="AT47" s="330">
        <v>4418.2</v>
      </c>
      <c r="AU47" s="330">
        <v>4203.16</v>
      </c>
      <c r="AV47" s="330">
        <v>3970.07</v>
      </c>
      <c r="AW47" s="330">
        <v>3653.58</v>
      </c>
      <c r="AX47" s="330">
        <v>3561.47</v>
      </c>
      <c r="AY47" s="330">
        <v>3765.61</v>
      </c>
      <c r="AZ47" s="330">
        <v>3701.19</v>
      </c>
      <c r="BA47" s="331"/>
      <c r="BB47" s="331"/>
      <c r="BC47" s="331"/>
      <c r="BD47" s="331"/>
      <c r="BE47" s="331"/>
      <c r="BF47" s="331"/>
      <c r="BG47" s="331"/>
      <c r="BH47" s="331"/>
      <c r="BI47" s="331"/>
      <c r="BJ47" s="331"/>
      <c r="BK47" s="331"/>
      <c r="BL47" s="331"/>
      <c r="BM47" s="329">
        <v>0</v>
      </c>
      <c r="BN47" s="329">
        <v>0</v>
      </c>
      <c r="BO47" s="329">
        <v>0</v>
      </c>
      <c r="BP47" s="329">
        <v>0</v>
      </c>
      <c r="BQ47" s="329">
        <v>0</v>
      </c>
      <c r="BR47" s="329">
        <v>0</v>
      </c>
      <c r="BS47" s="329">
        <v>0</v>
      </c>
      <c r="BT47" s="329">
        <v>0</v>
      </c>
      <c r="BU47" s="329">
        <v>0</v>
      </c>
      <c r="BV47" s="329">
        <v>0</v>
      </c>
      <c r="BW47" s="329">
        <v>0</v>
      </c>
      <c r="BX47" s="329">
        <v>0</v>
      </c>
      <c r="BY47" s="329">
        <v>0</v>
      </c>
      <c r="BZ47" s="329">
        <v>0</v>
      </c>
      <c r="CA47" s="329">
        <v>0</v>
      </c>
      <c r="CB47" s="329">
        <v>0</v>
      </c>
      <c r="CC47" s="329">
        <v>0</v>
      </c>
      <c r="CD47" s="329">
        <v>0</v>
      </c>
      <c r="CE47" s="329">
        <v>0</v>
      </c>
      <c r="CF47" s="329">
        <v>0</v>
      </c>
      <c r="CG47" s="329">
        <v>0</v>
      </c>
      <c r="CH47" s="329">
        <v>0</v>
      </c>
      <c r="CI47" s="329">
        <v>0</v>
      </c>
      <c r="CJ47" s="329">
        <v>0</v>
      </c>
      <c r="CK47" s="331"/>
      <c r="CL47" s="331"/>
      <c r="CM47" s="331"/>
      <c r="CN47" s="331"/>
      <c r="CO47" s="331"/>
      <c r="CP47" s="331"/>
      <c r="CQ47" s="331"/>
      <c r="CR47" s="331"/>
      <c r="CS47" s="331"/>
      <c r="CT47" s="331"/>
      <c r="CU47" s="331"/>
      <c r="CV47" s="331"/>
      <c r="CW47" s="329">
        <v>0</v>
      </c>
      <c r="CX47" s="329">
        <v>0</v>
      </c>
      <c r="CY47" s="329">
        <v>0</v>
      </c>
      <c r="CZ47" s="329">
        <v>0</v>
      </c>
      <c r="DA47" s="329">
        <v>0</v>
      </c>
      <c r="DB47" s="329">
        <v>0</v>
      </c>
      <c r="DC47" s="329">
        <v>0</v>
      </c>
      <c r="DD47" s="329">
        <v>0</v>
      </c>
      <c r="DE47" s="329">
        <v>0</v>
      </c>
      <c r="DF47" s="329">
        <v>0</v>
      </c>
      <c r="DG47" s="329">
        <v>0</v>
      </c>
      <c r="DH47" s="329">
        <v>0</v>
      </c>
      <c r="DI47" s="330">
        <v>257.13</v>
      </c>
      <c r="DJ47" s="330">
        <v>244.29</v>
      </c>
      <c r="DK47" s="330">
        <v>256.27999999999997</v>
      </c>
      <c r="DL47" s="330">
        <v>286.64999999999998</v>
      </c>
      <c r="DM47" s="330">
        <v>288.37</v>
      </c>
      <c r="DN47" s="330">
        <v>306.75</v>
      </c>
      <c r="DO47" s="330">
        <v>291.36</v>
      </c>
      <c r="DP47" s="330">
        <v>274.67</v>
      </c>
      <c r="DQ47" s="329">
        <v>252</v>
      </c>
      <c r="DR47" s="330">
        <v>245.41</v>
      </c>
      <c r="DS47" s="330">
        <v>260.02</v>
      </c>
      <c r="DT47" s="330">
        <v>286.41000000000003</v>
      </c>
      <c r="DU47" s="330">
        <v>50.29</v>
      </c>
      <c r="DV47" s="330">
        <v>47.78</v>
      </c>
      <c r="DW47" s="330">
        <v>50.12</v>
      </c>
      <c r="DX47" s="330">
        <v>56.06</v>
      </c>
      <c r="DY47" s="330">
        <v>56.4</v>
      </c>
      <c r="DZ47" s="330">
        <v>59.99</v>
      </c>
      <c r="EA47" s="330">
        <v>56.98</v>
      </c>
      <c r="EB47" s="330">
        <v>53.72</v>
      </c>
      <c r="EC47" s="330">
        <v>49.29</v>
      </c>
      <c r="ED47" s="329">
        <v>48</v>
      </c>
      <c r="EE47" s="330">
        <v>50.86</v>
      </c>
      <c r="EF47" s="330">
        <v>49.95</v>
      </c>
      <c r="EG47" s="329">
        <v>0</v>
      </c>
      <c r="EH47" s="329">
        <v>0</v>
      </c>
      <c r="EI47" s="329">
        <v>0</v>
      </c>
      <c r="EJ47" s="329">
        <v>0</v>
      </c>
      <c r="EK47" s="329">
        <v>0</v>
      </c>
      <c r="EL47" s="329">
        <v>0</v>
      </c>
      <c r="EM47" s="329">
        <v>0</v>
      </c>
      <c r="EN47" s="329">
        <v>0</v>
      </c>
      <c r="EO47" s="329">
        <v>0</v>
      </c>
      <c r="EP47" s="329">
        <v>0</v>
      </c>
      <c r="EQ47" s="329">
        <v>0</v>
      </c>
      <c r="ER47" s="329">
        <v>0</v>
      </c>
      <c r="ES47" s="329">
        <v>0</v>
      </c>
      <c r="ET47" s="329">
        <v>0</v>
      </c>
      <c r="EU47" s="329">
        <v>0</v>
      </c>
      <c r="EV47" s="329">
        <v>0</v>
      </c>
      <c r="EW47" s="329">
        <v>0</v>
      </c>
      <c r="EX47" s="329">
        <v>0</v>
      </c>
      <c r="EY47" s="329">
        <v>0</v>
      </c>
      <c r="EZ47" s="329">
        <v>0</v>
      </c>
      <c r="FA47" s="329">
        <v>0</v>
      </c>
      <c r="FB47" s="329">
        <v>0</v>
      </c>
      <c r="FC47" s="329">
        <v>0</v>
      </c>
      <c r="FD47" s="329">
        <v>0</v>
      </c>
      <c r="FE47" s="331"/>
      <c r="FF47" s="331"/>
      <c r="FG47" s="331"/>
      <c r="FH47" s="331"/>
      <c r="FI47" s="331"/>
      <c r="FJ47" s="331"/>
      <c r="FK47" s="331"/>
      <c r="FL47" s="331"/>
      <c r="FM47" s="331"/>
      <c r="FN47" s="331"/>
      <c r="FO47" s="331"/>
      <c r="FP47" s="331"/>
      <c r="FQ47" s="329">
        <v>0</v>
      </c>
      <c r="FR47" s="329">
        <v>0</v>
      </c>
      <c r="FS47" s="329">
        <v>0</v>
      </c>
      <c r="FT47" s="329">
        <v>0</v>
      </c>
      <c r="FU47" s="329">
        <v>0</v>
      </c>
      <c r="FV47" s="329">
        <v>0</v>
      </c>
      <c r="FW47" s="329">
        <v>0</v>
      </c>
      <c r="FX47" s="329">
        <v>0</v>
      </c>
      <c r="FY47" s="329">
        <v>0</v>
      </c>
      <c r="FZ47" s="329">
        <v>0</v>
      </c>
      <c r="GA47" s="329">
        <v>0</v>
      </c>
      <c r="GB47" s="329">
        <v>0</v>
      </c>
      <c r="GC47" s="330">
        <v>4622.7700000000004</v>
      </c>
      <c r="GD47" s="330">
        <v>4591.01</v>
      </c>
      <c r="GE47" s="330">
        <v>4620.68</v>
      </c>
      <c r="GF47" s="330">
        <v>5114.1499999999996</v>
      </c>
      <c r="GG47" s="330">
        <v>5118.3900000000003</v>
      </c>
      <c r="GH47" s="330">
        <v>4710.2299999999996</v>
      </c>
      <c r="GI47" s="330">
        <v>4672.13</v>
      </c>
      <c r="GJ47" s="330">
        <v>4630.83</v>
      </c>
      <c r="GK47" s="330">
        <v>4574.75</v>
      </c>
      <c r="GL47" s="330">
        <v>4558.43</v>
      </c>
      <c r="GM47" s="330">
        <v>4594.6000000000004</v>
      </c>
      <c r="GN47" s="330">
        <v>4637.4399999999996</v>
      </c>
      <c r="GO47" s="330">
        <v>916.64</v>
      </c>
      <c r="GP47" s="330">
        <v>870.88</v>
      </c>
      <c r="GQ47" s="330">
        <v>913.62</v>
      </c>
      <c r="GR47" s="330">
        <v>1021.89</v>
      </c>
      <c r="GS47" s="330">
        <v>1028.01</v>
      </c>
      <c r="GT47" s="330">
        <v>1068.08</v>
      </c>
      <c r="GU47" s="330">
        <v>1014.47</v>
      </c>
      <c r="GV47" s="330">
        <v>956.35</v>
      </c>
      <c r="GW47" s="330">
        <v>877.44</v>
      </c>
      <c r="GX47" s="330">
        <v>854.48</v>
      </c>
      <c r="GY47" s="330">
        <v>905.38</v>
      </c>
      <c r="GZ47" s="330">
        <v>889.32</v>
      </c>
      <c r="HA47" s="330">
        <v>75.28</v>
      </c>
      <c r="HB47" s="330">
        <v>80.78</v>
      </c>
      <c r="HC47" s="330">
        <v>84.46</v>
      </c>
      <c r="HD47" s="330">
        <v>78.95</v>
      </c>
      <c r="HE47" s="330">
        <v>95.47</v>
      </c>
      <c r="HF47" s="330">
        <v>163.77000000000001</v>
      </c>
      <c r="HG47" s="330">
        <v>164.84</v>
      </c>
      <c r="HH47" s="330">
        <v>157.35</v>
      </c>
      <c r="HI47" s="330">
        <v>124.17</v>
      </c>
      <c r="HJ47" s="330">
        <v>39.6</v>
      </c>
      <c r="HK47" s="330">
        <v>80.28</v>
      </c>
      <c r="HL47" s="330">
        <v>173.4</v>
      </c>
      <c r="HM47" s="329">
        <v>0</v>
      </c>
      <c r="HN47" s="329">
        <v>0</v>
      </c>
      <c r="HO47" s="329">
        <v>0</v>
      </c>
      <c r="HP47" s="329">
        <v>0</v>
      </c>
      <c r="HQ47" s="329">
        <v>0</v>
      </c>
      <c r="HR47" s="329">
        <v>0</v>
      </c>
      <c r="HS47" s="329">
        <v>0</v>
      </c>
      <c r="HT47" s="329">
        <v>0</v>
      </c>
      <c r="HU47" s="329">
        <v>0</v>
      </c>
      <c r="HV47" s="329">
        <v>0</v>
      </c>
      <c r="HW47" s="329">
        <v>0</v>
      </c>
      <c r="HX47" s="329">
        <v>0</v>
      </c>
      <c r="HY47" s="331"/>
      <c r="HZ47" s="331"/>
      <c r="IA47" s="331"/>
      <c r="IB47" s="331"/>
      <c r="IC47" s="331"/>
      <c r="ID47" s="331"/>
      <c r="IE47" s="331"/>
      <c r="IF47" s="331"/>
      <c r="IG47" s="331"/>
      <c r="IH47" s="331"/>
      <c r="II47" s="331"/>
      <c r="IJ47" s="331"/>
      <c r="IK47" s="329">
        <v>0</v>
      </c>
      <c r="IL47" s="329">
        <v>0</v>
      </c>
      <c r="IM47" s="329">
        <v>0</v>
      </c>
      <c r="IN47" s="329">
        <v>0</v>
      </c>
      <c r="IO47" s="329">
        <v>0</v>
      </c>
      <c r="IP47" s="329">
        <v>0</v>
      </c>
      <c r="IQ47" s="329">
        <v>0</v>
      </c>
      <c r="IR47" s="329">
        <v>0</v>
      </c>
      <c r="IS47" s="329">
        <v>0</v>
      </c>
      <c r="IT47" s="329">
        <v>0</v>
      </c>
      <c r="IU47" s="329">
        <v>0</v>
      </c>
      <c r="IV47" s="329">
        <v>0</v>
      </c>
      <c r="IW47" s="329">
        <v>0</v>
      </c>
      <c r="IX47" s="329">
        <v>0</v>
      </c>
      <c r="IY47" s="329">
        <v>0</v>
      </c>
      <c r="IZ47" s="329">
        <v>0</v>
      </c>
      <c r="JA47" s="329">
        <v>0</v>
      </c>
      <c r="JB47" s="329">
        <v>0</v>
      </c>
      <c r="JC47" s="329">
        <v>0</v>
      </c>
      <c r="JD47" s="329">
        <v>0</v>
      </c>
      <c r="JE47" s="329">
        <v>0</v>
      </c>
      <c r="JF47" s="329">
        <v>0</v>
      </c>
      <c r="JG47" s="329">
        <v>0</v>
      </c>
      <c r="JH47" s="329">
        <v>0</v>
      </c>
      <c r="JI47" s="330">
        <v>136.28</v>
      </c>
      <c r="JJ47" s="329">
        <v>-17</v>
      </c>
      <c r="JK47" s="330">
        <v>-16.149999999999999</v>
      </c>
      <c r="JL47" s="330">
        <v>-16.940000000000001</v>
      </c>
      <c r="JM47" s="330">
        <v>-18.95</v>
      </c>
      <c r="JN47" s="330">
        <v>-19.059999999999999</v>
      </c>
      <c r="JO47" s="330">
        <v>-20.28</v>
      </c>
      <c r="JP47" s="330">
        <v>-19.260000000000002</v>
      </c>
      <c r="JQ47" s="330">
        <v>-18.16</v>
      </c>
      <c r="JR47" s="330">
        <v>-16.66</v>
      </c>
      <c r="JS47" s="330">
        <v>-16.22</v>
      </c>
      <c r="JT47" s="330">
        <v>-17.190000000000001</v>
      </c>
      <c r="JU47" s="330">
        <v>-14.77</v>
      </c>
      <c r="JV47" s="331"/>
      <c r="JW47" s="331"/>
      <c r="JX47" s="331"/>
      <c r="JY47" s="331"/>
      <c r="JZ47" s="331"/>
      <c r="KA47" s="331"/>
      <c r="KB47" s="331"/>
      <c r="KC47" s="331"/>
      <c r="KD47" s="331"/>
      <c r="KE47" s="331"/>
      <c r="KF47" s="331"/>
      <c r="KG47" s="331"/>
      <c r="KH47" s="331"/>
      <c r="KI47" s="331"/>
      <c r="KJ47" s="331"/>
      <c r="KK47" s="331"/>
      <c r="KL47" s="331"/>
      <c r="KM47" s="331"/>
      <c r="KN47" s="331"/>
      <c r="KO47" s="331"/>
      <c r="KP47" s="331"/>
      <c r="KQ47" s="331"/>
      <c r="KR47" s="331"/>
      <c r="KS47" s="331"/>
      <c r="KT47" s="329">
        <v>0</v>
      </c>
      <c r="KU47" s="329">
        <v>0</v>
      </c>
      <c r="KV47" s="329">
        <v>0</v>
      </c>
      <c r="KW47" s="329">
        <v>0</v>
      </c>
      <c r="KX47" s="329">
        <v>0</v>
      </c>
      <c r="KY47" s="329">
        <v>0</v>
      </c>
      <c r="KZ47" s="329">
        <v>0</v>
      </c>
      <c r="LA47" s="329">
        <v>0</v>
      </c>
      <c r="LB47" s="329">
        <v>0</v>
      </c>
      <c r="LC47" s="329">
        <v>0</v>
      </c>
      <c r="LD47" s="329">
        <v>0</v>
      </c>
      <c r="LE47" s="329">
        <v>0</v>
      </c>
      <c r="LF47" s="329">
        <v>0</v>
      </c>
      <c r="LG47" s="329">
        <v>0</v>
      </c>
      <c r="LH47" s="329">
        <v>0</v>
      </c>
      <c r="LI47" s="329">
        <v>0</v>
      </c>
      <c r="LJ47" s="329">
        <v>0</v>
      </c>
      <c r="LK47" s="329">
        <v>0</v>
      </c>
      <c r="LL47" s="329">
        <v>0</v>
      </c>
      <c r="LM47" s="329">
        <v>0</v>
      </c>
      <c r="LN47" s="329">
        <v>0</v>
      </c>
      <c r="LO47" s="329">
        <v>0</v>
      </c>
      <c r="LP47" s="329">
        <v>0</v>
      </c>
      <c r="LQ47" s="329">
        <v>0</v>
      </c>
      <c r="LR47" s="331"/>
      <c r="LS47" s="331"/>
      <c r="LT47" s="331"/>
      <c r="LU47" s="331"/>
      <c r="LV47" s="331"/>
      <c r="LW47" s="331"/>
      <c r="LX47" s="331"/>
      <c r="LY47" s="331"/>
      <c r="LZ47" s="331"/>
      <c r="MA47" s="331"/>
      <c r="MB47" s="331"/>
      <c r="MC47" s="331"/>
      <c r="MD47" s="331"/>
      <c r="ME47" s="331"/>
      <c r="MF47" s="331"/>
      <c r="MG47" s="331"/>
      <c r="MH47" s="331"/>
      <c r="MI47" s="331"/>
      <c r="MJ47" s="331"/>
      <c r="MK47" s="331"/>
      <c r="ML47" s="331"/>
      <c r="MM47" s="331"/>
      <c r="MN47" s="331"/>
      <c r="MO47" s="331"/>
      <c r="MP47" s="331"/>
      <c r="MQ47" s="331"/>
      <c r="MR47" s="331"/>
      <c r="MS47" s="331"/>
      <c r="MT47" s="331"/>
      <c r="MU47" s="331"/>
      <c r="MV47" s="331"/>
      <c r="MW47" s="331"/>
      <c r="MX47" s="331"/>
      <c r="MY47" s="331"/>
      <c r="MZ47" s="331"/>
      <c r="NA47" s="331"/>
      <c r="NB47" s="331"/>
      <c r="NC47" s="331"/>
      <c r="ND47" s="331"/>
      <c r="NE47" s="331"/>
      <c r="NF47" s="331"/>
      <c r="NG47" s="331"/>
      <c r="NH47" s="331"/>
      <c r="NI47" s="331"/>
      <c r="NJ47" s="331"/>
      <c r="NK47" s="331"/>
      <c r="NL47" s="331"/>
      <c r="NM47" s="331"/>
      <c r="NN47" s="331"/>
      <c r="NO47" s="331"/>
      <c r="NP47" s="331"/>
      <c r="NQ47" s="331"/>
      <c r="NR47" s="331"/>
      <c r="NS47" s="331"/>
      <c r="NT47" s="331"/>
      <c r="NU47" s="331"/>
      <c r="NV47" s="331"/>
      <c r="NW47" s="331"/>
      <c r="NX47" s="331"/>
      <c r="NY47" s="331"/>
      <c r="NZ47" s="331"/>
      <c r="OA47" s="331"/>
      <c r="OB47" s="331"/>
      <c r="OC47" s="331"/>
      <c r="OD47" s="331"/>
      <c r="OE47" s="331"/>
      <c r="OF47" s="331"/>
      <c r="OG47" s="331"/>
      <c r="OH47" s="331"/>
      <c r="OI47" s="331"/>
      <c r="OJ47" s="331"/>
      <c r="OK47" s="331"/>
      <c r="OL47" s="332">
        <f t="shared" si="1"/>
        <v>119441.38000000003</v>
      </c>
    </row>
    <row r="48" spans="1:402" ht="13.5" thickBot="1">
      <c r="A48" s="320" t="s">
        <v>404</v>
      </c>
      <c r="B48" s="328" t="s">
        <v>441</v>
      </c>
      <c r="C48" s="328" t="s">
        <v>206</v>
      </c>
      <c r="D48" s="328" t="s">
        <v>453</v>
      </c>
      <c r="E48" s="329">
        <v>0</v>
      </c>
      <c r="F48" s="329">
        <v>0</v>
      </c>
      <c r="G48" s="329">
        <v>0</v>
      </c>
      <c r="H48" s="329">
        <v>0</v>
      </c>
      <c r="I48" s="329">
        <v>0</v>
      </c>
      <c r="J48" s="329">
        <v>0</v>
      </c>
      <c r="K48" s="329">
        <v>0</v>
      </c>
      <c r="L48" s="329">
        <v>0</v>
      </c>
      <c r="M48" s="329">
        <v>0</v>
      </c>
      <c r="N48" s="329">
        <v>0</v>
      </c>
      <c r="O48" s="329">
        <v>0</v>
      </c>
      <c r="P48" s="329">
        <v>0</v>
      </c>
      <c r="Q48" s="329">
        <v>0</v>
      </c>
      <c r="R48" s="329">
        <v>0</v>
      </c>
      <c r="S48" s="329">
        <v>0</v>
      </c>
      <c r="T48" s="329">
        <v>0</v>
      </c>
      <c r="U48" s="329">
        <v>0</v>
      </c>
      <c r="V48" s="329">
        <v>0</v>
      </c>
      <c r="W48" s="329">
        <v>0</v>
      </c>
      <c r="X48" s="329">
        <v>0</v>
      </c>
      <c r="Y48" s="329">
        <v>0</v>
      </c>
      <c r="Z48" s="329">
        <v>0</v>
      </c>
      <c r="AA48" s="329">
        <v>0</v>
      </c>
      <c r="AB48" s="329">
        <v>0</v>
      </c>
      <c r="AC48" s="329">
        <v>0</v>
      </c>
      <c r="AD48" s="329">
        <v>0</v>
      </c>
      <c r="AE48" s="329">
        <v>0</v>
      </c>
      <c r="AF48" s="329">
        <v>0</v>
      </c>
      <c r="AG48" s="329">
        <v>0</v>
      </c>
      <c r="AH48" s="329">
        <v>0</v>
      </c>
      <c r="AI48" s="329">
        <v>0</v>
      </c>
      <c r="AJ48" s="329">
        <v>0</v>
      </c>
      <c r="AK48" s="329">
        <v>0</v>
      </c>
      <c r="AL48" s="329">
        <v>0</v>
      </c>
      <c r="AM48" s="329">
        <v>0</v>
      </c>
      <c r="AN48" s="329">
        <v>0</v>
      </c>
      <c r="AO48" s="330">
        <v>2703.8</v>
      </c>
      <c r="AP48" s="330">
        <v>3401.82</v>
      </c>
      <c r="AQ48" s="330">
        <v>4270.07</v>
      </c>
      <c r="AR48" s="330">
        <v>3442.9</v>
      </c>
      <c r="AS48" s="330">
        <v>3442.9</v>
      </c>
      <c r="AT48" s="330">
        <v>3442.9</v>
      </c>
      <c r="AU48" s="330">
        <v>3442.9</v>
      </c>
      <c r="AV48" s="330">
        <v>3442.9</v>
      </c>
      <c r="AW48" s="330">
        <v>3442.9</v>
      </c>
      <c r="AX48" s="330">
        <v>3442.9</v>
      </c>
      <c r="AY48" s="330">
        <v>3442.9</v>
      </c>
      <c r="AZ48" s="330">
        <v>3442.9</v>
      </c>
      <c r="BA48" s="331"/>
      <c r="BB48" s="331"/>
      <c r="BC48" s="331"/>
      <c r="BD48" s="331"/>
      <c r="BE48" s="331"/>
      <c r="BF48" s="331"/>
      <c r="BG48" s="331"/>
      <c r="BH48" s="331"/>
      <c r="BI48" s="331"/>
      <c r="BJ48" s="331"/>
      <c r="BK48" s="331"/>
      <c r="BL48" s="331"/>
      <c r="BM48" s="329">
        <v>0</v>
      </c>
      <c r="BN48" s="329">
        <v>0</v>
      </c>
      <c r="BO48" s="329">
        <v>0</v>
      </c>
      <c r="BP48" s="329">
        <v>0</v>
      </c>
      <c r="BQ48" s="329">
        <v>0</v>
      </c>
      <c r="BR48" s="329">
        <v>0</v>
      </c>
      <c r="BS48" s="329">
        <v>0</v>
      </c>
      <c r="BT48" s="329">
        <v>0</v>
      </c>
      <c r="BU48" s="329">
        <v>0</v>
      </c>
      <c r="BV48" s="329">
        <v>0</v>
      </c>
      <c r="BW48" s="329">
        <v>0</v>
      </c>
      <c r="BX48" s="329">
        <v>0</v>
      </c>
      <c r="BY48" s="329">
        <v>0</v>
      </c>
      <c r="BZ48" s="329">
        <v>0</v>
      </c>
      <c r="CA48" s="329">
        <v>0</v>
      </c>
      <c r="CB48" s="329">
        <v>0</v>
      </c>
      <c r="CC48" s="329">
        <v>0</v>
      </c>
      <c r="CD48" s="329">
        <v>0</v>
      </c>
      <c r="CE48" s="329">
        <v>0</v>
      </c>
      <c r="CF48" s="329">
        <v>0</v>
      </c>
      <c r="CG48" s="329">
        <v>0</v>
      </c>
      <c r="CH48" s="329">
        <v>0</v>
      </c>
      <c r="CI48" s="329">
        <v>0</v>
      </c>
      <c r="CJ48" s="329">
        <v>0</v>
      </c>
      <c r="CK48" s="331"/>
      <c r="CL48" s="331"/>
      <c r="CM48" s="331"/>
      <c r="CN48" s="331"/>
      <c r="CO48" s="331"/>
      <c r="CP48" s="331"/>
      <c r="CQ48" s="331"/>
      <c r="CR48" s="331"/>
      <c r="CS48" s="331"/>
      <c r="CT48" s="331"/>
      <c r="CU48" s="331"/>
      <c r="CV48" s="331"/>
      <c r="CW48" s="329">
        <v>0</v>
      </c>
      <c r="CX48" s="329">
        <v>0</v>
      </c>
      <c r="CY48" s="329">
        <v>0</v>
      </c>
      <c r="CZ48" s="329">
        <v>0</v>
      </c>
      <c r="DA48" s="329">
        <v>0</v>
      </c>
      <c r="DB48" s="329">
        <v>0</v>
      </c>
      <c r="DC48" s="329">
        <v>0</v>
      </c>
      <c r="DD48" s="329">
        <v>0</v>
      </c>
      <c r="DE48" s="329">
        <v>0</v>
      </c>
      <c r="DF48" s="329">
        <v>0</v>
      </c>
      <c r="DG48" s="329">
        <v>0</v>
      </c>
      <c r="DH48" s="329">
        <v>0</v>
      </c>
      <c r="DI48" s="330">
        <v>183.99</v>
      </c>
      <c r="DJ48" s="330">
        <v>233.98</v>
      </c>
      <c r="DK48" s="330">
        <v>296.14999999999998</v>
      </c>
      <c r="DL48" s="330">
        <v>236.92</v>
      </c>
      <c r="DM48" s="330">
        <v>236.92</v>
      </c>
      <c r="DN48" s="330">
        <v>236.92</v>
      </c>
      <c r="DO48" s="330">
        <v>236.92</v>
      </c>
      <c r="DP48" s="330">
        <v>236.92</v>
      </c>
      <c r="DQ48" s="330">
        <v>236.92</v>
      </c>
      <c r="DR48" s="330">
        <v>236.92</v>
      </c>
      <c r="DS48" s="330">
        <v>236.92</v>
      </c>
      <c r="DT48" s="330">
        <v>265.67</v>
      </c>
      <c r="DU48" s="330">
        <v>35.99</v>
      </c>
      <c r="DV48" s="330">
        <v>45.76</v>
      </c>
      <c r="DW48" s="330">
        <v>57.92</v>
      </c>
      <c r="DX48" s="330">
        <v>46.34</v>
      </c>
      <c r="DY48" s="330">
        <v>46.34</v>
      </c>
      <c r="DZ48" s="330">
        <v>46.34</v>
      </c>
      <c r="EA48" s="330">
        <v>46.34</v>
      </c>
      <c r="EB48" s="330">
        <v>46.34</v>
      </c>
      <c r="EC48" s="330">
        <v>46.34</v>
      </c>
      <c r="ED48" s="330">
        <v>46.34</v>
      </c>
      <c r="EE48" s="330">
        <v>46.34</v>
      </c>
      <c r="EF48" s="330">
        <v>46.34</v>
      </c>
      <c r="EG48" s="329">
        <v>0</v>
      </c>
      <c r="EH48" s="329">
        <v>0</v>
      </c>
      <c r="EI48" s="329">
        <v>0</v>
      </c>
      <c r="EJ48" s="329">
        <v>0</v>
      </c>
      <c r="EK48" s="329">
        <v>0</v>
      </c>
      <c r="EL48" s="329">
        <v>0</v>
      </c>
      <c r="EM48" s="329">
        <v>0</v>
      </c>
      <c r="EN48" s="329">
        <v>0</v>
      </c>
      <c r="EO48" s="329">
        <v>0</v>
      </c>
      <c r="EP48" s="329">
        <v>0</v>
      </c>
      <c r="EQ48" s="329">
        <v>0</v>
      </c>
      <c r="ER48" s="329">
        <v>0</v>
      </c>
      <c r="ES48" s="329">
        <v>0</v>
      </c>
      <c r="ET48" s="329">
        <v>0</v>
      </c>
      <c r="EU48" s="329">
        <v>0</v>
      </c>
      <c r="EV48" s="329">
        <v>0</v>
      </c>
      <c r="EW48" s="329">
        <v>0</v>
      </c>
      <c r="EX48" s="329">
        <v>0</v>
      </c>
      <c r="EY48" s="329">
        <v>0</v>
      </c>
      <c r="EZ48" s="329">
        <v>0</v>
      </c>
      <c r="FA48" s="329">
        <v>0</v>
      </c>
      <c r="FB48" s="329">
        <v>0</v>
      </c>
      <c r="FC48" s="329">
        <v>0</v>
      </c>
      <c r="FD48" s="329">
        <v>0</v>
      </c>
      <c r="FE48" s="331"/>
      <c r="FF48" s="331"/>
      <c r="FG48" s="331"/>
      <c r="FH48" s="331"/>
      <c r="FI48" s="331"/>
      <c r="FJ48" s="331"/>
      <c r="FK48" s="331"/>
      <c r="FL48" s="331"/>
      <c r="FM48" s="331"/>
      <c r="FN48" s="331"/>
      <c r="FO48" s="331"/>
      <c r="FP48" s="331"/>
      <c r="FQ48" s="329">
        <v>0</v>
      </c>
      <c r="FR48" s="329">
        <v>0</v>
      </c>
      <c r="FS48" s="329">
        <v>0</v>
      </c>
      <c r="FT48" s="329">
        <v>0</v>
      </c>
      <c r="FU48" s="329">
        <v>0</v>
      </c>
      <c r="FV48" s="329">
        <v>0</v>
      </c>
      <c r="FW48" s="329">
        <v>0</v>
      </c>
      <c r="FX48" s="329">
        <v>0</v>
      </c>
      <c r="FY48" s="329">
        <v>0</v>
      </c>
      <c r="FZ48" s="329">
        <v>0</v>
      </c>
      <c r="GA48" s="329">
        <v>0</v>
      </c>
      <c r="GB48" s="329">
        <v>0</v>
      </c>
      <c r="GC48" s="330">
        <v>1535.9</v>
      </c>
      <c r="GD48" s="330">
        <v>1659.58</v>
      </c>
      <c r="GE48" s="330">
        <v>1813.43</v>
      </c>
      <c r="GF48" s="330">
        <v>2042.6</v>
      </c>
      <c r="GG48" s="330">
        <v>2042.6</v>
      </c>
      <c r="GH48" s="330">
        <v>1892.61</v>
      </c>
      <c r="GI48" s="330">
        <v>1892.61</v>
      </c>
      <c r="GJ48" s="330">
        <v>1892.61</v>
      </c>
      <c r="GK48" s="330">
        <v>1892.61</v>
      </c>
      <c r="GL48" s="330">
        <v>1892.61</v>
      </c>
      <c r="GM48" s="330">
        <v>1892.61</v>
      </c>
      <c r="GN48" s="330">
        <v>1892.61</v>
      </c>
      <c r="GO48" s="330">
        <v>655.92</v>
      </c>
      <c r="GP48" s="330">
        <v>834.1</v>
      </c>
      <c r="GQ48" s="330">
        <v>1055.74</v>
      </c>
      <c r="GR48" s="330">
        <v>844.59</v>
      </c>
      <c r="GS48" s="330">
        <v>844.59</v>
      </c>
      <c r="GT48" s="330">
        <v>824.92</v>
      </c>
      <c r="GU48" s="330">
        <v>824.92</v>
      </c>
      <c r="GV48" s="330">
        <v>824.92</v>
      </c>
      <c r="GW48" s="330">
        <v>824.92</v>
      </c>
      <c r="GX48" s="330">
        <v>824.92</v>
      </c>
      <c r="GY48" s="330">
        <v>824.92</v>
      </c>
      <c r="GZ48" s="330">
        <v>824.92</v>
      </c>
      <c r="HA48" s="330">
        <v>42.84</v>
      </c>
      <c r="HB48" s="330">
        <v>47.74</v>
      </c>
      <c r="HC48" s="330">
        <v>47.12</v>
      </c>
      <c r="HD48" s="330">
        <v>52.63</v>
      </c>
      <c r="HE48" s="330">
        <v>34.270000000000003</v>
      </c>
      <c r="HF48" s="330">
        <v>59.94</v>
      </c>
      <c r="HG48" s="330">
        <v>73.86</v>
      </c>
      <c r="HH48" s="330">
        <v>80.28</v>
      </c>
      <c r="HI48" s="330">
        <v>82.42</v>
      </c>
      <c r="HJ48" s="330">
        <v>74.930000000000007</v>
      </c>
      <c r="HK48" s="330">
        <v>72.790000000000006</v>
      </c>
      <c r="HL48" s="330">
        <v>70.650000000000006</v>
      </c>
      <c r="HM48" s="329">
        <v>0</v>
      </c>
      <c r="HN48" s="329">
        <v>0</v>
      </c>
      <c r="HO48" s="329">
        <v>0</v>
      </c>
      <c r="HP48" s="329">
        <v>0</v>
      </c>
      <c r="HQ48" s="329">
        <v>0</v>
      </c>
      <c r="HR48" s="329">
        <v>0</v>
      </c>
      <c r="HS48" s="329">
        <v>0</v>
      </c>
      <c r="HT48" s="329">
        <v>0</v>
      </c>
      <c r="HU48" s="329">
        <v>0</v>
      </c>
      <c r="HV48" s="329">
        <v>0</v>
      </c>
      <c r="HW48" s="329">
        <v>0</v>
      </c>
      <c r="HX48" s="329">
        <v>0</v>
      </c>
      <c r="HY48" s="331"/>
      <c r="HZ48" s="331"/>
      <c r="IA48" s="331"/>
      <c r="IB48" s="331"/>
      <c r="IC48" s="331"/>
      <c r="ID48" s="331"/>
      <c r="IE48" s="331"/>
      <c r="IF48" s="331"/>
      <c r="IG48" s="331"/>
      <c r="IH48" s="331"/>
      <c r="II48" s="331"/>
      <c r="IJ48" s="331"/>
      <c r="IK48" s="329">
        <v>0</v>
      </c>
      <c r="IL48" s="329">
        <v>0</v>
      </c>
      <c r="IM48" s="329">
        <v>0</v>
      </c>
      <c r="IN48" s="329">
        <v>0</v>
      </c>
      <c r="IO48" s="329">
        <v>0</v>
      </c>
      <c r="IP48" s="329">
        <v>0</v>
      </c>
      <c r="IQ48" s="329">
        <v>0</v>
      </c>
      <c r="IR48" s="329">
        <v>0</v>
      </c>
      <c r="IS48" s="329">
        <v>0</v>
      </c>
      <c r="IT48" s="329">
        <v>0</v>
      </c>
      <c r="IU48" s="329">
        <v>0</v>
      </c>
      <c r="IV48" s="329">
        <v>0</v>
      </c>
      <c r="IW48" s="329">
        <v>0</v>
      </c>
      <c r="IX48" s="329">
        <v>0</v>
      </c>
      <c r="IY48" s="329">
        <v>0</v>
      </c>
      <c r="IZ48" s="329">
        <v>0</v>
      </c>
      <c r="JA48" s="329">
        <v>0</v>
      </c>
      <c r="JB48" s="329">
        <v>0</v>
      </c>
      <c r="JC48" s="329">
        <v>0</v>
      </c>
      <c r="JD48" s="329">
        <v>0</v>
      </c>
      <c r="JE48" s="329">
        <v>0</v>
      </c>
      <c r="JF48" s="329">
        <v>0</v>
      </c>
      <c r="JG48" s="329">
        <v>0</v>
      </c>
      <c r="JH48" s="329">
        <v>0</v>
      </c>
      <c r="JI48" s="331"/>
      <c r="JJ48" s="330">
        <v>-12.16</v>
      </c>
      <c r="JK48" s="330">
        <v>-15.47</v>
      </c>
      <c r="JL48" s="330">
        <v>-19.579999999999998</v>
      </c>
      <c r="JM48" s="330">
        <v>-15.66</v>
      </c>
      <c r="JN48" s="330">
        <v>-15.66</v>
      </c>
      <c r="JO48" s="330">
        <v>-15.66</v>
      </c>
      <c r="JP48" s="330">
        <v>-15.66</v>
      </c>
      <c r="JQ48" s="330">
        <v>-15.66</v>
      </c>
      <c r="JR48" s="330">
        <v>-15.66</v>
      </c>
      <c r="JS48" s="330">
        <v>-15.66</v>
      </c>
      <c r="JT48" s="330">
        <v>-15.66</v>
      </c>
      <c r="JU48" s="330">
        <v>-13.7</v>
      </c>
      <c r="JV48" s="331"/>
      <c r="JW48" s="331"/>
      <c r="JX48" s="331"/>
      <c r="JY48" s="331"/>
      <c r="JZ48" s="331"/>
      <c r="KA48" s="331"/>
      <c r="KB48" s="331"/>
      <c r="KC48" s="331"/>
      <c r="KD48" s="331"/>
      <c r="KE48" s="331"/>
      <c r="KF48" s="331"/>
      <c r="KG48" s="331"/>
      <c r="KH48" s="331"/>
      <c r="KI48" s="331"/>
      <c r="KJ48" s="331"/>
      <c r="KK48" s="331"/>
      <c r="KL48" s="331"/>
      <c r="KM48" s="331"/>
      <c r="KN48" s="331"/>
      <c r="KO48" s="331"/>
      <c r="KP48" s="331"/>
      <c r="KQ48" s="331"/>
      <c r="KR48" s="331"/>
      <c r="KS48" s="331"/>
      <c r="KT48" s="329">
        <v>0</v>
      </c>
      <c r="KU48" s="329">
        <v>0</v>
      </c>
      <c r="KV48" s="329">
        <v>0</v>
      </c>
      <c r="KW48" s="329">
        <v>0</v>
      </c>
      <c r="KX48" s="329">
        <v>0</v>
      </c>
      <c r="KY48" s="329">
        <v>0</v>
      </c>
      <c r="KZ48" s="329">
        <v>0</v>
      </c>
      <c r="LA48" s="329">
        <v>0</v>
      </c>
      <c r="LB48" s="329">
        <v>0</v>
      </c>
      <c r="LC48" s="329">
        <v>0</v>
      </c>
      <c r="LD48" s="329">
        <v>0</v>
      </c>
      <c r="LE48" s="329">
        <v>0</v>
      </c>
      <c r="LF48" s="329">
        <v>0</v>
      </c>
      <c r="LG48" s="329">
        <v>0</v>
      </c>
      <c r="LH48" s="329">
        <v>0</v>
      </c>
      <c r="LI48" s="329">
        <v>0</v>
      </c>
      <c r="LJ48" s="329">
        <v>0</v>
      </c>
      <c r="LK48" s="329">
        <v>0</v>
      </c>
      <c r="LL48" s="329">
        <v>0</v>
      </c>
      <c r="LM48" s="329">
        <v>0</v>
      </c>
      <c r="LN48" s="329">
        <v>0</v>
      </c>
      <c r="LO48" s="329">
        <v>0</v>
      </c>
      <c r="LP48" s="329">
        <v>0</v>
      </c>
      <c r="LQ48" s="329">
        <v>0</v>
      </c>
      <c r="LR48" s="331"/>
      <c r="LS48" s="331"/>
      <c r="LT48" s="331"/>
      <c r="LU48" s="331"/>
      <c r="LV48" s="331"/>
      <c r="LW48" s="331"/>
      <c r="LX48" s="331"/>
      <c r="LY48" s="331"/>
      <c r="LZ48" s="331"/>
      <c r="MA48" s="331"/>
      <c r="MB48" s="331"/>
      <c r="MC48" s="331"/>
      <c r="MD48" s="331"/>
      <c r="ME48" s="331"/>
      <c r="MF48" s="331"/>
      <c r="MG48" s="331"/>
      <c r="MH48" s="331"/>
      <c r="MI48" s="331"/>
      <c r="MJ48" s="331"/>
      <c r="MK48" s="331"/>
      <c r="ML48" s="331"/>
      <c r="MM48" s="331"/>
      <c r="MN48" s="331"/>
      <c r="MO48" s="331"/>
      <c r="MP48" s="331"/>
      <c r="MQ48" s="331"/>
      <c r="MR48" s="331"/>
      <c r="MS48" s="331"/>
      <c r="MT48" s="331"/>
      <c r="MU48" s="331"/>
      <c r="MV48" s="331"/>
      <c r="MW48" s="331"/>
      <c r="MX48" s="331"/>
      <c r="MY48" s="331"/>
      <c r="MZ48" s="331"/>
      <c r="NA48" s="331"/>
      <c r="NB48" s="331"/>
      <c r="NC48" s="331"/>
      <c r="ND48" s="331"/>
      <c r="NE48" s="331"/>
      <c r="NF48" s="331"/>
      <c r="NG48" s="331"/>
      <c r="NH48" s="331"/>
      <c r="NI48" s="331"/>
      <c r="NJ48" s="331"/>
      <c r="NK48" s="331"/>
      <c r="NL48" s="331"/>
      <c r="NM48" s="331"/>
      <c r="NN48" s="331"/>
      <c r="NO48" s="331"/>
      <c r="NP48" s="331"/>
      <c r="NQ48" s="331"/>
      <c r="NR48" s="331"/>
      <c r="NS48" s="331"/>
      <c r="NT48" s="331"/>
      <c r="NU48" s="331"/>
      <c r="NV48" s="331"/>
      <c r="NW48" s="331"/>
      <c r="NX48" s="331"/>
      <c r="NY48" s="331"/>
      <c r="NZ48" s="331"/>
      <c r="OA48" s="331"/>
      <c r="OB48" s="331"/>
      <c r="OC48" s="331"/>
      <c r="OD48" s="331"/>
      <c r="OE48" s="331"/>
      <c r="OF48" s="331"/>
      <c r="OG48" s="331"/>
      <c r="OH48" s="331"/>
      <c r="OI48" s="331"/>
      <c r="OJ48" s="331"/>
      <c r="OK48" s="331"/>
      <c r="OL48" s="332">
        <f t="shared" si="1"/>
        <v>77698.709999999905</v>
      </c>
    </row>
    <row r="49" spans="1:402" ht="13.5" thickBot="1">
      <c r="A49" s="320" t="s">
        <v>404</v>
      </c>
      <c r="B49" s="328" t="s">
        <v>441</v>
      </c>
      <c r="C49" s="328" t="s">
        <v>206</v>
      </c>
      <c r="D49" s="328" t="s">
        <v>454</v>
      </c>
      <c r="E49" s="331"/>
      <c r="F49" s="329">
        <v>0</v>
      </c>
      <c r="G49" s="329">
        <v>0</v>
      </c>
      <c r="H49" s="329">
        <v>0</v>
      </c>
      <c r="I49" s="329">
        <v>0</v>
      </c>
      <c r="J49" s="329">
        <v>0</v>
      </c>
      <c r="K49" s="331"/>
      <c r="L49" s="329">
        <v>0</v>
      </c>
      <c r="M49" s="329">
        <v>0</v>
      </c>
      <c r="N49" s="329">
        <v>0</v>
      </c>
      <c r="O49" s="329">
        <v>0</v>
      </c>
      <c r="P49" s="331"/>
      <c r="Q49" s="331"/>
      <c r="R49" s="329">
        <v>0</v>
      </c>
      <c r="S49" s="329">
        <v>0</v>
      </c>
      <c r="T49" s="329">
        <v>0</v>
      </c>
      <c r="U49" s="329">
        <v>0</v>
      </c>
      <c r="V49" s="329">
        <v>0</v>
      </c>
      <c r="W49" s="331"/>
      <c r="X49" s="329">
        <v>0</v>
      </c>
      <c r="Y49" s="329">
        <v>0</v>
      </c>
      <c r="Z49" s="329">
        <v>0</v>
      </c>
      <c r="AA49" s="329">
        <v>0</v>
      </c>
      <c r="AB49" s="331"/>
      <c r="AC49" s="331"/>
      <c r="AD49" s="329">
        <v>0</v>
      </c>
      <c r="AE49" s="329">
        <v>0</v>
      </c>
      <c r="AF49" s="329">
        <v>0</v>
      </c>
      <c r="AG49" s="329">
        <v>0</v>
      </c>
      <c r="AH49" s="329">
        <v>0</v>
      </c>
      <c r="AI49" s="331"/>
      <c r="AJ49" s="329">
        <v>0</v>
      </c>
      <c r="AK49" s="329">
        <v>0</v>
      </c>
      <c r="AL49" s="329">
        <v>0</v>
      </c>
      <c r="AM49" s="329">
        <v>0</v>
      </c>
      <c r="AN49" s="331"/>
      <c r="AO49" s="331"/>
      <c r="AP49" s="330">
        <v>268.04000000000002</v>
      </c>
      <c r="AQ49" s="330">
        <v>531.1</v>
      </c>
      <c r="AR49" s="330">
        <v>791.47</v>
      </c>
      <c r="AS49" s="330">
        <v>660.15</v>
      </c>
      <c r="AT49" s="330">
        <v>660.15</v>
      </c>
      <c r="AU49" s="331"/>
      <c r="AV49" s="330">
        <v>660.15</v>
      </c>
      <c r="AW49" s="330">
        <v>660.15</v>
      </c>
      <c r="AX49" s="330">
        <v>660.15</v>
      </c>
      <c r="AY49" s="330">
        <v>660.15</v>
      </c>
      <c r="AZ49" s="331"/>
      <c r="BA49" s="331"/>
      <c r="BB49" s="331"/>
      <c r="BC49" s="331"/>
      <c r="BD49" s="331"/>
      <c r="BE49" s="331"/>
      <c r="BF49" s="331"/>
      <c r="BG49" s="331"/>
      <c r="BH49" s="331"/>
      <c r="BI49" s="331"/>
      <c r="BJ49" s="331"/>
      <c r="BK49" s="331"/>
      <c r="BL49" s="331"/>
      <c r="BM49" s="331"/>
      <c r="BN49" s="329">
        <v>0</v>
      </c>
      <c r="BO49" s="329">
        <v>0</v>
      </c>
      <c r="BP49" s="329">
        <v>0</v>
      </c>
      <c r="BQ49" s="329">
        <v>0</v>
      </c>
      <c r="BR49" s="329">
        <v>0</v>
      </c>
      <c r="BS49" s="331"/>
      <c r="BT49" s="329">
        <v>0</v>
      </c>
      <c r="BU49" s="329">
        <v>0</v>
      </c>
      <c r="BV49" s="329">
        <v>0</v>
      </c>
      <c r="BW49" s="329">
        <v>0</v>
      </c>
      <c r="BX49" s="331"/>
      <c r="BY49" s="331"/>
      <c r="BZ49" s="329">
        <v>0</v>
      </c>
      <c r="CA49" s="329">
        <v>0</v>
      </c>
      <c r="CB49" s="329">
        <v>0</v>
      </c>
      <c r="CC49" s="329">
        <v>0</v>
      </c>
      <c r="CD49" s="329">
        <v>0</v>
      </c>
      <c r="CE49" s="331"/>
      <c r="CF49" s="329">
        <v>0</v>
      </c>
      <c r="CG49" s="329">
        <v>0</v>
      </c>
      <c r="CH49" s="329">
        <v>0</v>
      </c>
      <c r="CI49" s="329">
        <v>0</v>
      </c>
      <c r="CJ49" s="331"/>
      <c r="CK49" s="331"/>
      <c r="CL49" s="331"/>
      <c r="CM49" s="331"/>
      <c r="CN49" s="331"/>
      <c r="CO49" s="331"/>
      <c r="CP49" s="331"/>
      <c r="CQ49" s="331"/>
      <c r="CR49" s="331"/>
      <c r="CS49" s="331"/>
      <c r="CT49" s="331"/>
      <c r="CU49" s="331"/>
      <c r="CV49" s="331"/>
      <c r="CW49" s="331"/>
      <c r="CX49" s="329">
        <v>0</v>
      </c>
      <c r="CY49" s="329">
        <v>0</v>
      </c>
      <c r="CZ49" s="329">
        <v>0</v>
      </c>
      <c r="DA49" s="329">
        <v>0</v>
      </c>
      <c r="DB49" s="329">
        <v>0</v>
      </c>
      <c r="DC49" s="331"/>
      <c r="DD49" s="329">
        <v>0</v>
      </c>
      <c r="DE49" s="329">
        <v>0</v>
      </c>
      <c r="DF49" s="329">
        <v>0</v>
      </c>
      <c r="DG49" s="329">
        <v>0</v>
      </c>
      <c r="DH49" s="331"/>
      <c r="DI49" s="331"/>
      <c r="DJ49" s="330">
        <v>9.58</v>
      </c>
      <c r="DK49" s="330">
        <v>18.809999999999999</v>
      </c>
      <c r="DL49" s="330">
        <v>47.06</v>
      </c>
      <c r="DM49" s="330">
        <v>37.659999999999997</v>
      </c>
      <c r="DN49" s="330">
        <v>37.659999999999997</v>
      </c>
      <c r="DO49" s="331"/>
      <c r="DP49" s="330">
        <v>37.659999999999997</v>
      </c>
      <c r="DQ49" s="330">
        <v>37.659999999999997</v>
      </c>
      <c r="DR49" s="330">
        <v>37.659999999999997</v>
      </c>
      <c r="DS49" s="330">
        <v>37.659999999999997</v>
      </c>
      <c r="DT49" s="331"/>
      <c r="DU49" s="331"/>
      <c r="DV49" s="330">
        <v>1.87</v>
      </c>
      <c r="DW49" s="330">
        <v>3.67</v>
      </c>
      <c r="DX49" s="330">
        <v>9.1999999999999993</v>
      </c>
      <c r="DY49" s="330">
        <v>7.37</v>
      </c>
      <c r="DZ49" s="330">
        <v>7.37</v>
      </c>
      <c r="EA49" s="331"/>
      <c r="EB49" s="330">
        <v>7.37</v>
      </c>
      <c r="EC49" s="330">
        <v>7.37</v>
      </c>
      <c r="ED49" s="330">
        <v>7.37</v>
      </c>
      <c r="EE49" s="330">
        <v>7.37</v>
      </c>
      <c r="EF49" s="331"/>
      <c r="EG49" s="331"/>
      <c r="EH49" s="329">
        <v>0</v>
      </c>
      <c r="EI49" s="329">
        <v>0</v>
      </c>
      <c r="EJ49" s="329">
        <v>0</v>
      </c>
      <c r="EK49" s="329">
        <v>0</v>
      </c>
      <c r="EL49" s="329">
        <v>0</v>
      </c>
      <c r="EM49" s="331"/>
      <c r="EN49" s="329">
        <v>0</v>
      </c>
      <c r="EO49" s="329">
        <v>0</v>
      </c>
      <c r="EP49" s="329">
        <v>0</v>
      </c>
      <c r="EQ49" s="329">
        <v>0</v>
      </c>
      <c r="ER49" s="331"/>
      <c r="ES49" s="331"/>
      <c r="ET49" s="329">
        <v>0</v>
      </c>
      <c r="EU49" s="329">
        <v>0</v>
      </c>
      <c r="EV49" s="329">
        <v>0</v>
      </c>
      <c r="EW49" s="329">
        <v>0</v>
      </c>
      <c r="EX49" s="329">
        <v>0</v>
      </c>
      <c r="EY49" s="331"/>
      <c r="EZ49" s="329">
        <v>0</v>
      </c>
      <c r="FA49" s="329">
        <v>0</v>
      </c>
      <c r="FB49" s="329">
        <v>0</v>
      </c>
      <c r="FC49" s="329">
        <v>0</v>
      </c>
      <c r="FD49" s="331"/>
      <c r="FE49" s="331"/>
      <c r="FF49" s="331"/>
      <c r="FG49" s="331"/>
      <c r="FH49" s="331"/>
      <c r="FI49" s="331"/>
      <c r="FJ49" s="331"/>
      <c r="FK49" s="331"/>
      <c r="FL49" s="331"/>
      <c r="FM49" s="331"/>
      <c r="FN49" s="331"/>
      <c r="FO49" s="331"/>
      <c r="FP49" s="331"/>
      <c r="FQ49" s="331"/>
      <c r="FR49" s="329">
        <v>0</v>
      </c>
      <c r="FS49" s="329">
        <v>0</v>
      </c>
      <c r="FT49" s="329">
        <v>0</v>
      </c>
      <c r="FU49" s="329">
        <v>0</v>
      </c>
      <c r="FV49" s="329">
        <v>0</v>
      </c>
      <c r="FW49" s="331"/>
      <c r="FX49" s="329">
        <v>0</v>
      </c>
      <c r="FY49" s="329">
        <v>0</v>
      </c>
      <c r="FZ49" s="329">
        <v>0</v>
      </c>
      <c r="GA49" s="329">
        <v>0</v>
      </c>
      <c r="GB49" s="331"/>
      <c r="GC49" s="331"/>
      <c r="GD49" s="330">
        <v>98.05</v>
      </c>
      <c r="GE49" s="330">
        <v>195.22</v>
      </c>
      <c r="GF49" s="330">
        <v>207.02</v>
      </c>
      <c r="GG49" s="330">
        <v>183.75</v>
      </c>
      <c r="GH49" s="330">
        <v>174.42</v>
      </c>
      <c r="GI49" s="331"/>
      <c r="GJ49" s="330">
        <v>174.42</v>
      </c>
      <c r="GK49" s="330">
        <v>174.42</v>
      </c>
      <c r="GL49" s="330">
        <v>174.42</v>
      </c>
      <c r="GM49" s="330">
        <v>174.42</v>
      </c>
      <c r="GN49" s="331"/>
      <c r="GO49" s="331"/>
      <c r="GP49" s="330">
        <v>34.159999999999997</v>
      </c>
      <c r="GQ49" s="330">
        <v>67.05</v>
      </c>
      <c r="GR49" s="330">
        <v>167.77</v>
      </c>
      <c r="GS49" s="330">
        <v>134.25</v>
      </c>
      <c r="GT49" s="330">
        <v>131.12</v>
      </c>
      <c r="GU49" s="331"/>
      <c r="GV49" s="330">
        <v>131.12</v>
      </c>
      <c r="GW49" s="330">
        <v>131.12</v>
      </c>
      <c r="GX49" s="330">
        <v>131.12</v>
      </c>
      <c r="GY49" s="330">
        <v>131.12</v>
      </c>
      <c r="GZ49" s="331"/>
      <c r="HA49" s="331"/>
      <c r="HB49" s="330">
        <v>4.28</v>
      </c>
      <c r="HC49" s="330">
        <v>9.18</v>
      </c>
      <c r="HD49" s="330">
        <v>4.28</v>
      </c>
      <c r="HE49" s="330">
        <v>4.28</v>
      </c>
      <c r="HF49" s="330">
        <v>8.56</v>
      </c>
      <c r="HG49" s="331"/>
      <c r="HH49" s="330">
        <v>6.42</v>
      </c>
      <c r="HI49" s="330">
        <v>7.49</v>
      </c>
      <c r="HJ49" s="330">
        <v>7.49</v>
      </c>
      <c r="HK49" s="330">
        <v>6.42</v>
      </c>
      <c r="HL49" s="331"/>
      <c r="HM49" s="331"/>
      <c r="HN49" s="329">
        <v>0</v>
      </c>
      <c r="HO49" s="329">
        <v>0</v>
      </c>
      <c r="HP49" s="329">
        <v>0</v>
      </c>
      <c r="HQ49" s="329">
        <v>0</v>
      </c>
      <c r="HR49" s="329">
        <v>0</v>
      </c>
      <c r="HS49" s="331"/>
      <c r="HT49" s="329">
        <v>0</v>
      </c>
      <c r="HU49" s="329">
        <v>0</v>
      </c>
      <c r="HV49" s="329">
        <v>0</v>
      </c>
      <c r="HW49" s="329">
        <v>0</v>
      </c>
      <c r="HX49" s="331"/>
      <c r="HY49" s="331"/>
      <c r="HZ49" s="331"/>
      <c r="IA49" s="331"/>
      <c r="IB49" s="331"/>
      <c r="IC49" s="331"/>
      <c r="ID49" s="331"/>
      <c r="IE49" s="331"/>
      <c r="IF49" s="331"/>
      <c r="IG49" s="331"/>
      <c r="IH49" s="331"/>
      <c r="II49" s="331"/>
      <c r="IJ49" s="331"/>
      <c r="IK49" s="331"/>
      <c r="IL49" s="329">
        <v>0</v>
      </c>
      <c r="IM49" s="329">
        <v>0</v>
      </c>
      <c r="IN49" s="329">
        <v>0</v>
      </c>
      <c r="IO49" s="329">
        <v>0</v>
      </c>
      <c r="IP49" s="329">
        <v>0</v>
      </c>
      <c r="IQ49" s="331"/>
      <c r="IR49" s="329">
        <v>0</v>
      </c>
      <c r="IS49" s="329">
        <v>0</v>
      </c>
      <c r="IT49" s="329">
        <v>0</v>
      </c>
      <c r="IU49" s="329">
        <v>0</v>
      </c>
      <c r="IV49" s="331"/>
      <c r="IW49" s="331"/>
      <c r="IX49" s="329">
        <v>0</v>
      </c>
      <c r="IY49" s="329">
        <v>0</v>
      </c>
      <c r="IZ49" s="329">
        <v>0</v>
      </c>
      <c r="JA49" s="329">
        <v>0</v>
      </c>
      <c r="JB49" s="329">
        <v>0</v>
      </c>
      <c r="JC49" s="331"/>
      <c r="JD49" s="329">
        <v>0</v>
      </c>
      <c r="JE49" s="329">
        <v>0</v>
      </c>
      <c r="JF49" s="329">
        <v>0</v>
      </c>
      <c r="JG49" s="329">
        <v>0</v>
      </c>
      <c r="JH49" s="331"/>
      <c r="JI49" s="331"/>
      <c r="JJ49" s="331"/>
      <c r="JK49" s="330">
        <v>-0.63</v>
      </c>
      <c r="JL49" s="330">
        <v>-1.24</v>
      </c>
      <c r="JM49" s="330">
        <v>-3.11</v>
      </c>
      <c r="JN49" s="330">
        <v>-2.4900000000000002</v>
      </c>
      <c r="JO49" s="330">
        <v>-2.4900000000000002</v>
      </c>
      <c r="JP49" s="331"/>
      <c r="JQ49" s="330">
        <v>-2.4900000000000002</v>
      </c>
      <c r="JR49" s="330">
        <v>-2.4900000000000002</v>
      </c>
      <c r="JS49" s="330">
        <v>-2.4900000000000002</v>
      </c>
      <c r="JT49" s="330">
        <v>-2.4900000000000002</v>
      </c>
      <c r="JU49" s="331"/>
      <c r="JV49" s="331"/>
      <c r="JW49" s="331"/>
      <c r="JX49" s="331"/>
      <c r="JY49" s="331"/>
      <c r="JZ49" s="331"/>
      <c r="KA49" s="331"/>
      <c r="KB49" s="331"/>
      <c r="KC49" s="331"/>
      <c r="KD49" s="331"/>
      <c r="KE49" s="331"/>
      <c r="KF49" s="331"/>
      <c r="KG49" s="331"/>
      <c r="KH49" s="331"/>
      <c r="KI49" s="331"/>
      <c r="KJ49" s="331"/>
      <c r="KK49" s="331"/>
      <c r="KL49" s="331"/>
      <c r="KM49" s="331"/>
      <c r="KN49" s="331"/>
      <c r="KO49" s="331"/>
      <c r="KP49" s="331"/>
      <c r="KQ49" s="331"/>
      <c r="KR49" s="331"/>
      <c r="KS49" s="331"/>
      <c r="KT49" s="331"/>
      <c r="KU49" s="329">
        <v>0</v>
      </c>
      <c r="KV49" s="329">
        <v>0</v>
      </c>
      <c r="KW49" s="329">
        <v>0</v>
      </c>
      <c r="KX49" s="329">
        <v>0</v>
      </c>
      <c r="KY49" s="329">
        <v>0</v>
      </c>
      <c r="KZ49" s="331"/>
      <c r="LA49" s="329">
        <v>0</v>
      </c>
      <c r="LB49" s="329">
        <v>0</v>
      </c>
      <c r="LC49" s="329">
        <v>0</v>
      </c>
      <c r="LD49" s="329">
        <v>0</v>
      </c>
      <c r="LE49" s="331"/>
      <c r="LF49" s="331"/>
      <c r="LG49" s="329">
        <v>0</v>
      </c>
      <c r="LH49" s="329">
        <v>0</v>
      </c>
      <c r="LI49" s="329">
        <v>0</v>
      </c>
      <c r="LJ49" s="329">
        <v>0</v>
      </c>
      <c r="LK49" s="329">
        <v>0</v>
      </c>
      <c r="LL49" s="331"/>
      <c r="LM49" s="329">
        <v>0</v>
      </c>
      <c r="LN49" s="329">
        <v>0</v>
      </c>
      <c r="LO49" s="329">
        <v>0</v>
      </c>
      <c r="LP49" s="329">
        <v>0</v>
      </c>
      <c r="LQ49" s="331"/>
      <c r="LR49" s="331"/>
      <c r="LS49" s="331"/>
      <c r="LT49" s="331"/>
      <c r="LU49" s="331"/>
      <c r="LV49" s="331"/>
      <c r="LW49" s="331"/>
      <c r="LX49" s="331"/>
      <c r="LY49" s="331"/>
      <c r="LZ49" s="331"/>
      <c r="MA49" s="331"/>
      <c r="MB49" s="331"/>
      <c r="MC49" s="331"/>
      <c r="MD49" s="331"/>
      <c r="ME49" s="331"/>
      <c r="MF49" s="331"/>
      <c r="MG49" s="331"/>
      <c r="MH49" s="331"/>
      <c r="MI49" s="331"/>
      <c r="MJ49" s="331"/>
      <c r="MK49" s="331"/>
      <c r="ML49" s="331"/>
      <c r="MM49" s="331"/>
      <c r="MN49" s="331"/>
      <c r="MO49" s="331"/>
      <c r="MP49" s="331"/>
      <c r="MQ49" s="331"/>
      <c r="MR49" s="331"/>
      <c r="MS49" s="331"/>
      <c r="MT49" s="331"/>
      <c r="MU49" s="331"/>
      <c r="MV49" s="331"/>
      <c r="MW49" s="331"/>
      <c r="MX49" s="331"/>
      <c r="MY49" s="331"/>
      <c r="MZ49" s="331"/>
      <c r="NA49" s="331"/>
      <c r="NB49" s="331"/>
      <c r="NC49" s="331"/>
      <c r="ND49" s="331"/>
      <c r="NE49" s="331"/>
      <c r="NF49" s="331"/>
      <c r="NG49" s="331"/>
      <c r="NH49" s="331"/>
      <c r="NI49" s="331"/>
      <c r="NJ49" s="331"/>
      <c r="NK49" s="331"/>
      <c r="NL49" s="331"/>
      <c r="NM49" s="331"/>
      <c r="NN49" s="331"/>
      <c r="NO49" s="331"/>
      <c r="NP49" s="331"/>
      <c r="NQ49" s="331"/>
      <c r="NR49" s="331"/>
      <c r="NS49" s="331"/>
      <c r="NT49" s="331"/>
      <c r="NU49" s="331"/>
      <c r="NV49" s="331"/>
      <c r="NW49" s="331"/>
      <c r="NX49" s="331"/>
      <c r="NY49" s="331"/>
      <c r="NZ49" s="331"/>
      <c r="OA49" s="331"/>
      <c r="OB49" s="331"/>
      <c r="OC49" s="331"/>
      <c r="OD49" s="331"/>
      <c r="OE49" s="331"/>
      <c r="OF49" s="331"/>
      <c r="OG49" s="331"/>
      <c r="OH49" s="331"/>
      <c r="OI49" s="331"/>
      <c r="OJ49" s="331"/>
      <c r="OK49" s="331"/>
      <c r="OL49" s="332">
        <f t="shared" si="1"/>
        <v>8565.3300000000054</v>
      </c>
    </row>
    <row r="50" spans="1:402" ht="13.5" thickBot="1">
      <c r="A50" s="320" t="s">
        <v>404</v>
      </c>
      <c r="B50" s="328" t="s">
        <v>441</v>
      </c>
      <c r="C50" s="328" t="s">
        <v>206</v>
      </c>
      <c r="D50" s="328" t="s">
        <v>455</v>
      </c>
      <c r="E50" s="329">
        <v>0</v>
      </c>
      <c r="F50" s="329">
        <v>0</v>
      </c>
      <c r="G50" s="329">
        <v>0</v>
      </c>
      <c r="H50" s="329">
        <v>0</v>
      </c>
      <c r="I50" s="329">
        <v>0</v>
      </c>
      <c r="J50" s="329">
        <v>0</v>
      </c>
      <c r="K50" s="329">
        <v>0</v>
      </c>
      <c r="L50" s="329">
        <v>0</v>
      </c>
      <c r="M50" s="329">
        <v>0</v>
      </c>
      <c r="N50" s="329">
        <v>0</v>
      </c>
      <c r="O50" s="329">
        <v>0</v>
      </c>
      <c r="P50" s="329">
        <v>0</v>
      </c>
      <c r="Q50" s="329">
        <v>0</v>
      </c>
      <c r="R50" s="329">
        <v>0</v>
      </c>
      <c r="S50" s="329">
        <v>0</v>
      </c>
      <c r="T50" s="329">
        <v>0</v>
      </c>
      <c r="U50" s="329">
        <v>0</v>
      </c>
      <c r="V50" s="329">
        <v>0</v>
      </c>
      <c r="W50" s="329">
        <v>0</v>
      </c>
      <c r="X50" s="329">
        <v>0</v>
      </c>
      <c r="Y50" s="329">
        <v>0</v>
      </c>
      <c r="Z50" s="329">
        <v>0</v>
      </c>
      <c r="AA50" s="329">
        <v>0</v>
      </c>
      <c r="AB50" s="329">
        <v>0</v>
      </c>
      <c r="AC50" s="329">
        <v>0</v>
      </c>
      <c r="AD50" s="329">
        <v>0</v>
      </c>
      <c r="AE50" s="329">
        <v>0</v>
      </c>
      <c r="AF50" s="329">
        <v>0</v>
      </c>
      <c r="AG50" s="329">
        <v>0</v>
      </c>
      <c r="AH50" s="329">
        <v>0</v>
      </c>
      <c r="AI50" s="329">
        <v>0</v>
      </c>
      <c r="AJ50" s="329">
        <v>0</v>
      </c>
      <c r="AK50" s="329">
        <v>0</v>
      </c>
      <c r="AL50" s="329">
        <v>0</v>
      </c>
      <c r="AM50" s="329">
        <v>0</v>
      </c>
      <c r="AN50" s="329">
        <v>0</v>
      </c>
      <c r="AO50" s="330">
        <v>2356.81</v>
      </c>
      <c r="AP50" s="330">
        <v>2404.7399999999998</v>
      </c>
      <c r="AQ50" s="330">
        <v>2458.5700000000002</v>
      </c>
      <c r="AR50" s="330">
        <v>2500.27</v>
      </c>
      <c r="AS50" s="330">
        <v>2356.81</v>
      </c>
      <c r="AT50" s="330">
        <v>2279.3200000000002</v>
      </c>
      <c r="AU50" s="330">
        <v>2273.41</v>
      </c>
      <c r="AV50" s="330">
        <v>2201.52</v>
      </c>
      <c r="AW50" s="330">
        <v>2351.1999999999998</v>
      </c>
      <c r="AX50" s="330">
        <v>2009.16</v>
      </c>
      <c r="AY50" s="330">
        <v>2201.52</v>
      </c>
      <c r="AZ50" s="330">
        <v>2309.1999999999998</v>
      </c>
      <c r="BA50" s="331"/>
      <c r="BB50" s="331"/>
      <c r="BC50" s="331"/>
      <c r="BD50" s="331"/>
      <c r="BE50" s="331"/>
      <c r="BF50" s="331"/>
      <c r="BG50" s="331"/>
      <c r="BH50" s="331"/>
      <c r="BI50" s="331"/>
      <c r="BJ50" s="331"/>
      <c r="BK50" s="331"/>
      <c r="BL50" s="331"/>
      <c r="BM50" s="329">
        <v>0</v>
      </c>
      <c r="BN50" s="329">
        <v>0</v>
      </c>
      <c r="BO50" s="329">
        <v>0</v>
      </c>
      <c r="BP50" s="329">
        <v>0</v>
      </c>
      <c r="BQ50" s="329">
        <v>0</v>
      </c>
      <c r="BR50" s="329">
        <v>0</v>
      </c>
      <c r="BS50" s="329">
        <v>0</v>
      </c>
      <c r="BT50" s="329">
        <v>0</v>
      </c>
      <c r="BU50" s="329">
        <v>0</v>
      </c>
      <c r="BV50" s="329">
        <v>0</v>
      </c>
      <c r="BW50" s="329">
        <v>0</v>
      </c>
      <c r="BX50" s="329">
        <v>0</v>
      </c>
      <c r="BY50" s="329">
        <v>0</v>
      </c>
      <c r="BZ50" s="329">
        <v>0</v>
      </c>
      <c r="CA50" s="329">
        <v>0</v>
      </c>
      <c r="CB50" s="329">
        <v>0</v>
      </c>
      <c r="CC50" s="329">
        <v>0</v>
      </c>
      <c r="CD50" s="329">
        <v>0</v>
      </c>
      <c r="CE50" s="329">
        <v>0</v>
      </c>
      <c r="CF50" s="329">
        <v>0</v>
      </c>
      <c r="CG50" s="329">
        <v>0</v>
      </c>
      <c r="CH50" s="329">
        <v>0</v>
      </c>
      <c r="CI50" s="329">
        <v>0</v>
      </c>
      <c r="CJ50" s="329">
        <v>0</v>
      </c>
      <c r="CK50" s="331"/>
      <c r="CL50" s="331"/>
      <c r="CM50" s="331"/>
      <c r="CN50" s="331"/>
      <c r="CO50" s="331"/>
      <c r="CP50" s="331"/>
      <c r="CQ50" s="331"/>
      <c r="CR50" s="331"/>
      <c r="CS50" s="331"/>
      <c r="CT50" s="331"/>
      <c r="CU50" s="331"/>
      <c r="CV50" s="331"/>
      <c r="CW50" s="329">
        <v>0</v>
      </c>
      <c r="CX50" s="329">
        <v>0</v>
      </c>
      <c r="CY50" s="329">
        <v>0</v>
      </c>
      <c r="CZ50" s="329">
        <v>0</v>
      </c>
      <c r="DA50" s="329">
        <v>0</v>
      </c>
      <c r="DB50" s="329">
        <v>0</v>
      </c>
      <c r="DC50" s="329">
        <v>0</v>
      </c>
      <c r="DD50" s="329">
        <v>0</v>
      </c>
      <c r="DE50" s="329">
        <v>0</v>
      </c>
      <c r="DF50" s="329">
        <v>0</v>
      </c>
      <c r="DG50" s="329">
        <v>0</v>
      </c>
      <c r="DH50" s="329">
        <v>0</v>
      </c>
      <c r="DI50" s="330">
        <v>159.15</v>
      </c>
      <c r="DJ50" s="330">
        <v>162.58000000000001</v>
      </c>
      <c r="DK50" s="330">
        <v>166.43</v>
      </c>
      <c r="DL50" s="330">
        <v>169.42</v>
      </c>
      <c r="DM50" s="330">
        <v>159.15</v>
      </c>
      <c r="DN50" s="330">
        <v>153.6</v>
      </c>
      <c r="DO50" s="330">
        <v>153.18</v>
      </c>
      <c r="DP50" s="330">
        <v>148.03</v>
      </c>
      <c r="DQ50" s="330">
        <v>158.13</v>
      </c>
      <c r="DR50" s="330">
        <v>134.87</v>
      </c>
      <c r="DS50" s="330">
        <v>148.03</v>
      </c>
      <c r="DT50" s="330">
        <v>174.64</v>
      </c>
      <c r="DU50" s="330">
        <v>31.13</v>
      </c>
      <c r="DV50" s="330">
        <v>31.8</v>
      </c>
      <c r="DW50" s="330">
        <v>32.549999999999997</v>
      </c>
      <c r="DX50" s="330">
        <v>33.14</v>
      </c>
      <c r="DY50" s="330">
        <v>31.13</v>
      </c>
      <c r="DZ50" s="330">
        <v>30.04</v>
      </c>
      <c r="EA50" s="330">
        <v>29.96</v>
      </c>
      <c r="EB50" s="330">
        <v>28.95</v>
      </c>
      <c r="EC50" s="330">
        <v>30.92</v>
      </c>
      <c r="ED50" s="330">
        <v>26.38</v>
      </c>
      <c r="EE50" s="330">
        <v>28.95</v>
      </c>
      <c r="EF50" s="330">
        <v>30.46</v>
      </c>
      <c r="EG50" s="329">
        <v>0</v>
      </c>
      <c r="EH50" s="329">
        <v>0</v>
      </c>
      <c r="EI50" s="329">
        <v>0</v>
      </c>
      <c r="EJ50" s="329">
        <v>0</v>
      </c>
      <c r="EK50" s="329">
        <v>0</v>
      </c>
      <c r="EL50" s="329">
        <v>0</v>
      </c>
      <c r="EM50" s="329">
        <v>0</v>
      </c>
      <c r="EN50" s="329">
        <v>0</v>
      </c>
      <c r="EO50" s="329">
        <v>0</v>
      </c>
      <c r="EP50" s="329">
        <v>0</v>
      </c>
      <c r="EQ50" s="329">
        <v>0</v>
      </c>
      <c r="ER50" s="329">
        <v>0</v>
      </c>
      <c r="ES50" s="329">
        <v>0</v>
      </c>
      <c r="ET50" s="329">
        <v>0</v>
      </c>
      <c r="EU50" s="329">
        <v>0</v>
      </c>
      <c r="EV50" s="329">
        <v>0</v>
      </c>
      <c r="EW50" s="329">
        <v>0</v>
      </c>
      <c r="EX50" s="329">
        <v>0</v>
      </c>
      <c r="EY50" s="329">
        <v>0</v>
      </c>
      <c r="EZ50" s="329">
        <v>0</v>
      </c>
      <c r="FA50" s="329">
        <v>0</v>
      </c>
      <c r="FB50" s="329">
        <v>0</v>
      </c>
      <c r="FC50" s="329">
        <v>0</v>
      </c>
      <c r="FD50" s="329">
        <v>0</v>
      </c>
      <c r="FE50" s="331"/>
      <c r="FF50" s="331"/>
      <c r="FG50" s="331"/>
      <c r="FH50" s="331"/>
      <c r="FI50" s="331"/>
      <c r="FJ50" s="331"/>
      <c r="FK50" s="331"/>
      <c r="FL50" s="331"/>
      <c r="FM50" s="331"/>
      <c r="FN50" s="331"/>
      <c r="FO50" s="331"/>
      <c r="FP50" s="331"/>
      <c r="FQ50" s="329">
        <v>0</v>
      </c>
      <c r="FR50" s="329">
        <v>0</v>
      </c>
      <c r="FS50" s="329">
        <v>0</v>
      </c>
      <c r="FT50" s="329">
        <v>0</v>
      </c>
      <c r="FU50" s="329">
        <v>0</v>
      </c>
      <c r="FV50" s="329">
        <v>0</v>
      </c>
      <c r="FW50" s="329">
        <v>0</v>
      </c>
      <c r="FX50" s="329">
        <v>0</v>
      </c>
      <c r="FY50" s="329">
        <v>0</v>
      </c>
      <c r="FZ50" s="329">
        <v>0</v>
      </c>
      <c r="GA50" s="329">
        <v>0</v>
      </c>
      <c r="GB50" s="329">
        <v>0</v>
      </c>
      <c r="GC50" s="330">
        <v>3495.02</v>
      </c>
      <c r="GD50" s="330">
        <v>3503.52</v>
      </c>
      <c r="GE50" s="330">
        <v>3513.05</v>
      </c>
      <c r="GF50" s="330">
        <v>3938.75</v>
      </c>
      <c r="GG50" s="330">
        <v>3913.33</v>
      </c>
      <c r="GH50" s="330">
        <v>3537.13</v>
      </c>
      <c r="GI50" s="330">
        <v>3536.09</v>
      </c>
      <c r="GJ50" s="330">
        <v>3523.35</v>
      </c>
      <c r="GK50" s="330">
        <v>3751.97</v>
      </c>
      <c r="GL50" s="330">
        <v>3287.17</v>
      </c>
      <c r="GM50" s="330">
        <v>3523.35</v>
      </c>
      <c r="GN50" s="330">
        <v>3539.17</v>
      </c>
      <c r="GO50" s="330">
        <v>567.35</v>
      </c>
      <c r="GP50" s="330">
        <v>579.58000000000004</v>
      </c>
      <c r="GQ50" s="330">
        <v>593.32000000000005</v>
      </c>
      <c r="GR50" s="330">
        <v>603.97</v>
      </c>
      <c r="GS50" s="330">
        <v>567.35</v>
      </c>
      <c r="GT50" s="330">
        <v>534.82000000000005</v>
      </c>
      <c r="GU50" s="330">
        <v>533.34</v>
      </c>
      <c r="GV50" s="330">
        <v>515.41999999999996</v>
      </c>
      <c r="GW50" s="330">
        <v>550.57000000000005</v>
      </c>
      <c r="GX50" s="330">
        <v>469.62</v>
      </c>
      <c r="GY50" s="330">
        <v>515.41999999999996</v>
      </c>
      <c r="GZ50" s="330">
        <v>542.26</v>
      </c>
      <c r="HA50" s="330">
        <v>42.23</v>
      </c>
      <c r="HB50" s="330">
        <v>44.68</v>
      </c>
      <c r="HC50" s="330">
        <v>51.41</v>
      </c>
      <c r="HD50" s="330">
        <v>41.62</v>
      </c>
      <c r="HE50" s="330">
        <v>42.84</v>
      </c>
      <c r="HF50" s="330">
        <v>69.58</v>
      </c>
      <c r="HG50" s="330">
        <v>74.930000000000007</v>
      </c>
      <c r="HH50" s="330">
        <v>77.069999999999993</v>
      </c>
      <c r="HI50" s="330">
        <v>84.56</v>
      </c>
      <c r="HJ50" s="330">
        <v>61.01</v>
      </c>
      <c r="HK50" s="330">
        <v>81.349999999999994</v>
      </c>
      <c r="HL50" s="330">
        <v>68.510000000000005</v>
      </c>
      <c r="HM50" s="329">
        <v>0</v>
      </c>
      <c r="HN50" s="329">
        <v>0</v>
      </c>
      <c r="HO50" s="329">
        <v>0</v>
      </c>
      <c r="HP50" s="329">
        <v>0</v>
      </c>
      <c r="HQ50" s="329">
        <v>0</v>
      </c>
      <c r="HR50" s="329">
        <v>0</v>
      </c>
      <c r="HS50" s="329">
        <v>0</v>
      </c>
      <c r="HT50" s="329">
        <v>0</v>
      </c>
      <c r="HU50" s="329">
        <v>0</v>
      </c>
      <c r="HV50" s="329">
        <v>0</v>
      </c>
      <c r="HW50" s="329">
        <v>0</v>
      </c>
      <c r="HX50" s="329">
        <v>0</v>
      </c>
      <c r="HY50" s="331"/>
      <c r="HZ50" s="331"/>
      <c r="IA50" s="331"/>
      <c r="IB50" s="331"/>
      <c r="IC50" s="331"/>
      <c r="ID50" s="331"/>
      <c r="IE50" s="331"/>
      <c r="IF50" s="331"/>
      <c r="IG50" s="331"/>
      <c r="IH50" s="331"/>
      <c r="II50" s="331"/>
      <c r="IJ50" s="331"/>
      <c r="IK50" s="329">
        <v>0</v>
      </c>
      <c r="IL50" s="329">
        <v>0</v>
      </c>
      <c r="IM50" s="329">
        <v>0</v>
      </c>
      <c r="IN50" s="329">
        <v>0</v>
      </c>
      <c r="IO50" s="329">
        <v>0</v>
      </c>
      <c r="IP50" s="329">
        <v>0</v>
      </c>
      <c r="IQ50" s="329">
        <v>0</v>
      </c>
      <c r="IR50" s="329">
        <v>0</v>
      </c>
      <c r="IS50" s="329">
        <v>0</v>
      </c>
      <c r="IT50" s="329">
        <v>0</v>
      </c>
      <c r="IU50" s="329">
        <v>0</v>
      </c>
      <c r="IV50" s="329">
        <v>0</v>
      </c>
      <c r="IW50" s="329">
        <v>0</v>
      </c>
      <c r="IX50" s="329">
        <v>0</v>
      </c>
      <c r="IY50" s="329">
        <v>0</v>
      </c>
      <c r="IZ50" s="329">
        <v>0</v>
      </c>
      <c r="JA50" s="329">
        <v>0</v>
      </c>
      <c r="JB50" s="329">
        <v>0</v>
      </c>
      <c r="JC50" s="329">
        <v>0</v>
      </c>
      <c r="JD50" s="329">
        <v>0</v>
      </c>
      <c r="JE50" s="329">
        <v>0</v>
      </c>
      <c r="JF50" s="329">
        <v>0</v>
      </c>
      <c r="JG50" s="329">
        <v>0</v>
      </c>
      <c r="JH50" s="329">
        <v>0</v>
      </c>
      <c r="JI50" s="330">
        <v>83.1</v>
      </c>
      <c r="JJ50" s="330">
        <v>-10.52</v>
      </c>
      <c r="JK50" s="330">
        <v>-10.75</v>
      </c>
      <c r="JL50" s="329">
        <v>-11</v>
      </c>
      <c r="JM50" s="330">
        <v>-11.2</v>
      </c>
      <c r="JN50" s="330">
        <v>-10.52</v>
      </c>
      <c r="JO50" s="330">
        <v>-10.15</v>
      </c>
      <c r="JP50" s="330">
        <v>-10.130000000000001</v>
      </c>
      <c r="JQ50" s="330">
        <v>-9.7899999999999991</v>
      </c>
      <c r="JR50" s="330">
        <v>-10.45</v>
      </c>
      <c r="JS50" s="330">
        <v>-8.92</v>
      </c>
      <c r="JT50" s="330">
        <v>-9.7899999999999991</v>
      </c>
      <c r="JU50" s="330">
        <v>-9.01</v>
      </c>
      <c r="JV50" s="331"/>
      <c r="JW50" s="331"/>
      <c r="JX50" s="331"/>
      <c r="JY50" s="331"/>
      <c r="JZ50" s="331"/>
      <c r="KA50" s="331"/>
      <c r="KB50" s="331"/>
      <c r="KC50" s="331"/>
      <c r="KD50" s="331"/>
      <c r="KE50" s="331"/>
      <c r="KF50" s="331"/>
      <c r="KG50" s="331"/>
      <c r="KH50" s="331"/>
      <c r="KI50" s="331"/>
      <c r="KJ50" s="331"/>
      <c r="KK50" s="331"/>
      <c r="KL50" s="331"/>
      <c r="KM50" s="331"/>
      <c r="KN50" s="331"/>
      <c r="KO50" s="331"/>
      <c r="KP50" s="331"/>
      <c r="KQ50" s="331"/>
      <c r="KR50" s="331"/>
      <c r="KS50" s="331"/>
      <c r="KT50" s="329">
        <v>0</v>
      </c>
      <c r="KU50" s="329">
        <v>0</v>
      </c>
      <c r="KV50" s="329">
        <v>0</v>
      </c>
      <c r="KW50" s="329">
        <v>0</v>
      </c>
      <c r="KX50" s="329">
        <v>0</v>
      </c>
      <c r="KY50" s="329">
        <v>0</v>
      </c>
      <c r="KZ50" s="329">
        <v>0</v>
      </c>
      <c r="LA50" s="329">
        <v>0</v>
      </c>
      <c r="LB50" s="329">
        <v>0</v>
      </c>
      <c r="LC50" s="329">
        <v>0</v>
      </c>
      <c r="LD50" s="329">
        <v>0</v>
      </c>
      <c r="LE50" s="329">
        <v>0</v>
      </c>
      <c r="LF50" s="329">
        <v>0</v>
      </c>
      <c r="LG50" s="329">
        <v>0</v>
      </c>
      <c r="LH50" s="329">
        <v>0</v>
      </c>
      <c r="LI50" s="329">
        <v>0</v>
      </c>
      <c r="LJ50" s="329">
        <v>0</v>
      </c>
      <c r="LK50" s="329">
        <v>0</v>
      </c>
      <c r="LL50" s="329">
        <v>0</v>
      </c>
      <c r="LM50" s="329">
        <v>0</v>
      </c>
      <c r="LN50" s="329">
        <v>0</v>
      </c>
      <c r="LO50" s="329">
        <v>0</v>
      </c>
      <c r="LP50" s="329">
        <v>0</v>
      </c>
      <c r="LQ50" s="329">
        <v>0</v>
      </c>
      <c r="LR50" s="331"/>
      <c r="LS50" s="331"/>
      <c r="LT50" s="331"/>
      <c r="LU50" s="331"/>
      <c r="LV50" s="331"/>
      <c r="LW50" s="331"/>
      <c r="LX50" s="331"/>
      <c r="LY50" s="331"/>
      <c r="LZ50" s="331"/>
      <c r="MA50" s="331"/>
      <c r="MB50" s="331"/>
      <c r="MC50" s="331"/>
      <c r="MD50" s="331"/>
      <c r="ME50" s="331"/>
      <c r="MF50" s="331"/>
      <c r="MG50" s="331"/>
      <c r="MH50" s="331"/>
      <c r="MI50" s="331"/>
      <c r="MJ50" s="331"/>
      <c r="MK50" s="331"/>
      <c r="ML50" s="331"/>
      <c r="MM50" s="331"/>
      <c r="MN50" s="331"/>
      <c r="MO50" s="331"/>
      <c r="MP50" s="331"/>
      <c r="MQ50" s="331"/>
      <c r="MR50" s="331"/>
      <c r="MS50" s="331"/>
      <c r="MT50" s="331"/>
      <c r="MU50" s="331"/>
      <c r="MV50" s="331"/>
      <c r="MW50" s="331"/>
      <c r="MX50" s="331"/>
      <c r="MY50" s="331"/>
      <c r="MZ50" s="331"/>
      <c r="NA50" s="331"/>
      <c r="NB50" s="331"/>
      <c r="NC50" s="331"/>
      <c r="ND50" s="331"/>
      <c r="NE50" s="331"/>
      <c r="NF50" s="331"/>
      <c r="NG50" s="331"/>
      <c r="NH50" s="331"/>
      <c r="NI50" s="331"/>
      <c r="NJ50" s="331"/>
      <c r="NK50" s="331"/>
      <c r="NL50" s="331"/>
      <c r="NM50" s="331"/>
      <c r="NN50" s="331"/>
      <c r="NO50" s="331"/>
      <c r="NP50" s="331"/>
      <c r="NQ50" s="331"/>
      <c r="NR50" s="331"/>
      <c r="NS50" s="331"/>
      <c r="NT50" s="331"/>
      <c r="NU50" s="331"/>
      <c r="NV50" s="331"/>
      <c r="NW50" s="331"/>
      <c r="NX50" s="331"/>
      <c r="NY50" s="331"/>
      <c r="NZ50" s="331"/>
      <c r="OA50" s="331"/>
      <c r="OB50" s="331"/>
      <c r="OC50" s="331"/>
      <c r="OD50" s="331"/>
      <c r="OE50" s="331"/>
      <c r="OF50" s="331"/>
      <c r="OG50" s="331"/>
      <c r="OH50" s="331"/>
      <c r="OI50" s="331"/>
      <c r="OJ50" s="331"/>
      <c r="OK50" s="331"/>
      <c r="OL50" s="332">
        <f t="shared" si="1"/>
        <v>80290.730000000025</v>
      </c>
    </row>
    <row r="51" spans="1:402" ht="13.5" thickBot="1">
      <c r="A51" s="320" t="s">
        <v>404</v>
      </c>
      <c r="B51" s="328" t="s">
        <v>441</v>
      </c>
      <c r="C51" s="328" t="s">
        <v>206</v>
      </c>
      <c r="D51" s="328" t="s">
        <v>456</v>
      </c>
      <c r="E51" s="329">
        <v>0</v>
      </c>
      <c r="F51" s="329">
        <v>0</v>
      </c>
      <c r="G51" s="329">
        <v>0</v>
      </c>
      <c r="H51" s="329">
        <v>0</v>
      </c>
      <c r="I51" s="329">
        <v>0</v>
      </c>
      <c r="J51" s="329">
        <v>0</v>
      </c>
      <c r="K51" s="329">
        <v>0</v>
      </c>
      <c r="L51" s="329">
        <v>0</v>
      </c>
      <c r="M51" s="329">
        <v>0</v>
      </c>
      <c r="N51" s="329">
        <v>0</v>
      </c>
      <c r="O51" s="329">
        <v>0</v>
      </c>
      <c r="P51" s="329">
        <v>0</v>
      </c>
      <c r="Q51" s="329">
        <v>0</v>
      </c>
      <c r="R51" s="329">
        <v>0</v>
      </c>
      <c r="S51" s="329">
        <v>0</v>
      </c>
      <c r="T51" s="329">
        <v>0</v>
      </c>
      <c r="U51" s="329">
        <v>0</v>
      </c>
      <c r="V51" s="329">
        <v>0</v>
      </c>
      <c r="W51" s="329">
        <v>0</v>
      </c>
      <c r="X51" s="329">
        <v>0</v>
      </c>
      <c r="Y51" s="329">
        <v>0</v>
      </c>
      <c r="Z51" s="329">
        <v>0</v>
      </c>
      <c r="AA51" s="329">
        <v>0</v>
      </c>
      <c r="AB51" s="329">
        <v>0</v>
      </c>
      <c r="AC51" s="329">
        <v>0</v>
      </c>
      <c r="AD51" s="329">
        <v>0</v>
      </c>
      <c r="AE51" s="329">
        <v>0</v>
      </c>
      <c r="AF51" s="329">
        <v>0</v>
      </c>
      <c r="AG51" s="329">
        <v>0</v>
      </c>
      <c r="AH51" s="329">
        <v>0</v>
      </c>
      <c r="AI51" s="329">
        <v>0</v>
      </c>
      <c r="AJ51" s="329">
        <v>0</v>
      </c>
      <c r="AK51" s="329">
        <v>0</v>
      </c>
      <c r="AL51" s="329">
        <v>0</v>
      </c>
      <c r="AM51" s="329">
        <v>0</v>
      </c>
      <c r="AN51" s="329">
        <v>0</v>
      </c>
      <c r="AO51" s="330">
        <v>17163.080000000002</v>
      </c>
      <c r="AP51" s="330">
        <v>17521.59</v>
      </c>
      <c r="AQ51" s="330">
        <v>17270.759999999998</v>
      </c>
      <c r="AR51" s="330">
        <v>17593.16</v>
      </c>
      <c r="AS51" s="330">
        <v>16894.21</v>
      </c>
      <c r="AT51" s="330">
        <v>17234.66</v>
      </c>
      <c r="AU51" s="330">
        <v>17145.03</v>
      </c>
      <c r="AV51" s="330">
        <v>17127.3</v>
      </c>
      <c r="AW51" s="330">
        <v>28515.66</v>
      </c>
      <c r="AX51" s="330">
        <v>22839.37</v>
      </c>
      <c r="AY51" s="330">
        <v>22839.37</v>
      </c>
      <c r="AZ51" s="330">
        <v>22839.37</v>
      </c>
      <c r="BA51" s="331"/>
      <c r="BB51" s="331"/>
      <c r="BC51" s="331"/>
      <c r="BD51" s="331"/>
      <c r="BE51" s="331"/>
      <c r="BF51" s="331"/>
      <c r="BG51" s="331"/>
      <c r="BH51" s="331"/>
      <c r="BI51" s="331"/>
      <c r="BJ51" s="331"/>
      <c r="BK51" s="331"/>
      <c r="BL51" s="331"/>
      <c r="BM51" s="329">
        <v>0</v>
      </c>
      <c r="BN51" s="329">
        <v>0</v>
      </c>
      <c r="BO51" s="329">
        <v>0</v>
      </c>
      <c r="BP51" s="329">
        <v>0</v>
      </c>
      <c r="BQ51" s="329">
        <v>0</v>
      </c>
      <c r="BR51" s="329">
        <v>0</v>
      </c>
      <c r="BS51" s="329">
        <v>0</v>
      </c>
      <c r="BT51" s="329">
        <v>0</v>
      </c>
      <c r="BU51" s="329">
        <v>0</v>
      </c>
      <c r="BV51" s="329">
        <v>0</v>
      </c>
      <c r="BW51" s="329">
        <v>0</v>
      </c>
      <c r="BX51" s="329">
        <v>0</v>
      </c>
      <c r="BY51" s="329">
        <v>0</v>
      </c>
      <c r="BZ51" s="329">
        <v>0</v>
      </c>
      <c r="CA51" s="329">
        <v>0</v>
      </c>
      <c r="CB51" s="329">
        <v>0</v>
      </c>
      <c r="CC51" s="329">
        <v>0</v>
      </c>
      <c r="CD51" s="329">
        <v>0</v>
      </c>
      <c r="CE51" s="329">
        <v>0</v>
      </c>
      <c r="CF51" s="329">
        <v>0</v>
      </c>
      <c r="CG51" s="329">
        <v>0</v>
      </c>
      <c r="CH51" s="329">
        <v>0</v>
      </c>
      <c r="CI51" s="329">
        <v>0</v>
      </c>
      <c r="CJ51" s="329">
        <v>0</v>
      </c>
      <c r="CK51" s="331"/>
      <c r="CL51" s="331"/>
      <c r="CM51" s="331"/>
      <c r="CN51" s="331"/>
      <c r="CO51" s="331"/>
      <c r="CP51" s="331"/>
      <c r="CQ51" s="331"/>
      <c r="CR51" s="331"/>
      <c r="CS51" s="331"/>
      <c r="CT51" s="331"/>
      <c r="CU51" s="331"/>
      <c r="CV51" s="331"/>
      <c r="CW51" s="329">
        <v>0</v>
      </c>
      <c r="CX51" s="329">
        <v>0</v>
      </c>
      <c r="CY51" s="329">
        <v>0</v>
      </c>
      <c r="CZ51" s="329">
        <v>0</v>
      </c>
      <c r="DA51" s="329">
        <v>0</v>
      </c>
      <c r="DB51" s="329">
        <v>0</v>
      </c>
      <c r="DC51" s="329">
        <v>0</v>
      </c>
      <c r="DD51" s="329">
        <v>0</v>
      </c>
      <c r="DE51" s="329">
        <v>0</v>
      </c>
      <c r="DF51" s="329">
        <v>0</v>
      </c>
      <c r="DG51" s="329">
        <v>0</v>
      </c>
      <c r="DH51" s="329">
        <v>0</v>
      </c>
      <c r="DI51" s="330">
        <v>1219.3499999999999</v>
      </c>
      <c r="DJ51" s="330">
        <v>1245.02</v>
      </c>
      <c r="DK51" s="330">
        <v>1227.06</v>
      </c>
      <c r="DL51" s="330">
        <v>1250.1400000000001</v>
      </c>
      <c r="DM51" s="330">
        <v>1200.0899999999999</v>
      </c>
      <c r="DN51" s="330">
        <v>1224.47</v>
      </c>
      <c r="DO51" s="330">
        <v>1218.06</v>
      </c>
      <c r="DP51" s="330">
        <v>1216.79</v>
      </c>
      <c r="DQ51" s="330">
        <v>2032.25</v>
      </c>
      <c r="DR51" s="330">
        <v>1625.8</v>
      </c>
      <c r="DS51" s="330">
        <v>1625.8</v>
      </c>
      <c r="DT51" s="330">
        <v>1823.12</v>
      </c>
      <c r="DU51" s="330">
        <v>238.48</v>
      </c>
      <c r="DV51" s="330">
        <v>243.5</v>
      </c>
      <c r="DW51" s="330">
        <v>239.99</v>
      </c>
      <c r="DX51" s="330">
        <v>244.5</v>
      </c>
      <c r="DY51" s="330">
        <v>234.72</v>
      </c>
      <c r="DZ51" s="330">
        <v>239.48</v>
      </c>
      <c r="EA51" s="330">
        <v>238.23</v>
      </c>
      <c r="EB51" s="330">
        <v>237.98</v>
      </c>
      <c r="EC51" s="330">
        <v>397.47</v>
      </c>
      <c r="ED51" s="330">
        <v>317.97000000000003</v>
      </c>
      <c r="EE51" s="330">
        <v>317.97000000000003</v>
      </c>
      <c r="EF51" s="330">
        <v>317.97000000000003</v>
      </c>
      <c r="EG51" s="329">
        <v>0</v>
      </c>
      <c r="EH51" s="329">
        <v>0</v>
      </c>
      <c r="EI51" s="329">
        <v>0</v>
      </c>
      <c r="EJ51" s="329">
        <v>0</v>
      </c>
      <c r="EK51" s="329">
        <v>0</v>
      </c>
      <c r="EL51" s="329">
        <v>0</v>
      </c>
      <c r="EM51" s="329">
        <v>0</v>
      </c>
      <c r="EN51" s="329">
        <v>0</v>
      </c>
      <c r="EO51" s="329">
        <v>0</v>
      </c>
      <c r="EP51" s="329">
        <v>0</v>
      </c>
      <c r="EQ51" s="329">
        <v>0</v>
      </c>
      <c r="ER51" s="329">
        <v>0</v>
      </c>
      <c r="ES51" s="329">
        <v>0</v>
      </c>
      <c r="ET51" s="329">
        <v>0</v>
      </c>
      <c r="EU51" s="329">
        <v>0</v>
      </c>
      <c r="EV51" s="329">
        <v>0</v>
      </c>
      <c r="EW51" s="329">
        <v>0</v>
      </c>
      <c r="EX51" s="329">
        <v>0</v>
      </c>
      <c r="EY51" s="329">
        <v>0</v>
      </c>
      <c r="EZ51" s="329">
        <v>0</v>
      </c>
      <c r="FA51" s="329">
        <v>0</v>
      </c>
      <c r="FB51" s="329">
        <v>0</v>
      </c>
      <c r="FC51" s="329">
        <v>0</v>
      </c>
      <c r="FD51" s="329">
        <v>0</v>
      </c>
      <c r="FE51" s="331"/>
      <c r="FF51" s="331"/>
      <c r="FG51" s="331"/>
      <c r="FH51" s="331"/>
      <c r="FI51" s="331"/>
      <c r="FJ51" s="331"/>
      <c r="FK51" s="331"/>
      <c r="FL51" s="331"/>
      <c r="FM51" s="331"/>
      <c r="FN51" s="331"/>
      <c r="FO51" s="331"/>
      <c r="FP51" s="331"/>
      <c r="FQ51" s="329">
        <v>0</v>
      </c>
      <c r="FR51" s="329">
        <v>0</v>
      </c>
      <c r="FS51" s="329">
        <v>0</v>
      </c>
      <c r="FT51" s="329">
        <v>0</v>
      </c>
      <c r="FU51" s="329">
        <v>0</v>
      </c>
      <c r="FV51" s="329">
        <v>0</v>
      </c>
      <c r="FW51" s="329">
        <v>0</v>
      </c>
      <c r="FX51" s="329">
        <v>0</v>
      </c>
      <c r="FY51" s="329">
        <v>0</v>
      </c>
      <c r="FZ51" s="329">
        <v>0</v>
      </c>
      <c r="GA51" s="329">
        <v>0</v>
      </c>
      <c r="GB51" s="329">
        <v>0</v>
      </c>
      <c r="GC51" s="330">
        <v>8038.48</v>
      </c>
      <c r="GD51" s="330">
        <v>8102.01</v>
      </c>
      <c r="GE51" s="330">
        <v>8057.56</v>
      </c>
      <c r="GF51" s="330">
        <v>6911.78</v>
      </c>
      <c r="GG51" s="330">
        <v>6787.93</v>
      </c>
      <c r="GH51" s="330">
        <v>6455.02</v>
      </c>
      <c r="GI51" s="330">
        <v>6439.14</v>
      </c>
      <c r="GJ51" s="330">
        <v>6435.99</v>
      </c>
      <c r="GK51" s="330">
        <v>8453.91</v>
      </c>
      <c r="GL51" s="330">
        <v>7448.12</v>
      </c>
      <c r="GM51" s="330">
        <v>7448.12</v>
      </c>
      <c r="GN51" s="330">
        <v>8849.36</v>
      </c>
      <c r="GO51" s="330">
        <v>4346.8599999999997</v>
      </c>
      <c r="GP51" s="330">
        <v>4438.38</v>
      </c>
      <c r="GQ51" s="330">
        <v>4374.3500000000004</v>
      </c>
      <c r="GR51" s="330">
        <v>4456.6499999999996</v>
      </c>
      <c r="GS51" s="330">
        <v>4278.2299999999996</v>
      </c>
      <c r="GT51" s="330">
        <v>4263.47</v>
      </c>
      <c r="GU51" s="330">
        <v>4241.13</v>
      </c>
      <c r="GV51" s="330">
        <v>4236.7</v>
      </c>
      <c r="GW51" s="330">
        <v>7076.04</v>
      </c>
      <c r="GX51" s="330">
        <v>5660.84</v>
      </c>
      <c r="GY51" s="330">
        <v>5660.84</v>
      </c>
      <c r="GZ51" s="330">
        <v>5660.84</v>
      </c>
      <c r="HA51" s="330">
        <v>212.98</v>
      </c>
      <c r="HB51" s="330">
        <v>352.51</v>
      </c>
      <c r="HC51" s="330">
        <v>128.52000000000001</v>
      </c>
      <c r="HD51" s="330">
        <v>422.28</v>
      </c>
      <c r="HE51" s="330">
        <v>345.17</v>
      </c>
      <c r="HF51" s="330">
        <v>260.11</v>
      </c>
      <c r="HG51" s="330">
        <v>394.98</v>
      </c>
      <c r="HH51" s="330">
        <v>523.42999999999995</v>
      </c>
      <c r="HI51" s="330">
        <v>25.69</v>
      </c>
      <c r="HJ51" s="330">
        <v>850.97</v>
      </c>
      <c r="HK51" s="330">
        <v>118.81</v>
      </c>
      <c r="HL51" s="330">
        <v>19.27</v>
      </c>
      <c r="HM51" s="329">
        <v>0</v>
      </c>
      <c r="HN51" s="329">
        <v>0</v>
      </c>
      <c r="HO51" s="329">
        <v>0</v>
      </c>
      <c r="HP51" s="329">
        <v>0</v>
      </c>
      <c r="HQ51" s="329">
        <v>0</v>
      </c>
      <c r="HR51" s="329">
        <v>0</v>
      </c>
      <c r="HS51" s="329">
        <v>0</v>
      </c>
      <c r="HT51" s="329">
        <v>0</v>
      </c>
      <c r="HU51" s="329">
        <v>0</v>
      </c>
      <c r="HV51" s="329">
        <v>0</v>
      </c>
      <c r="HW51" s="329">
        <v>0</v>
      </c>
      <c r="HX51" s="329">
        <v>0</v>
      </c>
      <c r="HY51" s="331"/>
      <c r="HZ51" s="331"/>
      <c r="IA51" s="331"/>
      <c r="IB51" s="331"/>
      <c r="IC51" s="331"/>
      <c r="ID51" s="331"/>
      <c r="IE51" s="331"/>
      <c r="IF51" s="331"/>
      <c r="IG51" s="331"/>
      <c r="IH51" s="331"/>
      <c r="II51" s="331"/>
      <c r="IJ51" s="331"/>
      <c r="IK51" s="329">
        <v>0</v>
      </c>
      <c r="IL51" s="329">
        <v>0</v>
      </c>
      <c r="IM51" s="329">
        <v>0</v>
      </c>
      <c r="IN51" s="329">
        <v>0</v>
      </c>
      <c r="IO51" s="329">
        <v>0</v>
      </c>
      <c r="IP51" s="329">
        <v>0</v>
      </c>
      <c r="IQ51" s="329">
        <v>0</v>
      </c>
      <c r="IR51" s="329">
        <v>0</v>
      </c>
      <c r="IS51" s="329">
        <v>0</v>
      </c>
      <c r="IT51" s="329">
        <v>0</v>
      </c>
      <c r="IU51" s="329">
        <v>0</v>
      </c>
      <c r="IV51" s="329">
        <v>0</v>
      </c>
      <c r="IW51" s="329">
        <v>0</v>
      </c>
      <c r="IX51" s="329">
        <v>0</v>
      </c>
      <c r="IY51" s="329">
        <v>0</v>
      </c>
      <c r="IZ51" s="329">
        <v>0</v>
      </c>
      <c r="JA51" s="329">
        <v>0</v>
      </c>
      <c r="JB51" s="329">
        <v>0</v>
      </c>
      <c r="JC51" s="329">
        <v>0</v>
      </c>
      <c r="JD51" s="329">
        <v>0</v>
      </c>
      <c r="JE51" s="329">
        <v>0</v>
      </c>
      <c r="JF51" s="329">
        <v>0</v>
      </c>
      <c r="JG51" s="329">
        <v>0</v>
      </c>
      <c r="JH51" s="329">
        <v>0</v>
      </c>
      <c r="JI51" s="330">
        <v>867.49</v>
      </c>
      <c r="JJ51" s="330">
        <v>-80.599999999999994</v>
      </c>
      <c r="JK51" s="330">
        <v>-82.3</v>
      </c>
      <c r="JL51" s="330">
        <v>-81.11</v>
      </c>
      <c r="JM51" s="330">
        <v>-82.64</v>
      </c>
      <c r="JN51" s="330">
        <v>-79.33</v>
      </c>
      <c r="JO51" s="330">
        <v>-80.94</v>
      </c>
      <c r="JP51" s="330">
        <v>-80.52</v>
      </c>
      <c r="JQ51" s="330">
        <v>-80.430000000000007</v>
      </c>
      <c r="JR51" s="330">
        <v>-134.34</v>
      </c>
      <c r="JS51" s="330">
        <v>-107.47</v>
      </c>
      <c r="JT51" s="330">
        <v>-107.47</v>
      </c>
      <c r="JU51" s="330">
        <v>-94.04</v>
      </c>
      <c r="JV51" s="331"/>
      <c r="JW51" s="331"/>
      <c r="JX51" s="331"/>
      <c r="JY51" s="331"/>
      <c r="JZ51" s="331"/>
      <c r="KA51" s="331"/>
      <c r="KB51" s="331"/>
      <c r="KC51" s="331"/>
      <c r="KD51" s="331"/>
      <c r="KE51" s="331"/>
      <c r="KF51" s="331"/>
      <c r="KG51" s="331"/>
      <c r="KH51" s="331"/>
      <c r="KI51" s="331"/>
      <c r="KJ51" s="331"/>
      <c r="KK51" s="331"/>
      <c r="KL51" s="331"/>
      <c r="KM51" s="331"/>
      <c r="KN51" s="331"/>
      <c r="KO51" s="331"/>
      <c r="KP51" s="331"/>
      <c r="KQ51" s="331"/>
      <c r="KR51" s="331"/>
      <c r="KS51" s="331"/>
      <c r="KT51" s="329">
        <v>0</v>
      </c>
      <c r="KU51" s="329">
        <v>0</v>
      </c>
      <c r="KV51" s="329">
        <v>0</v>
      </c>
      <c r="KW51" s="329">
        <v>0</v>
      </c>
      <c r="KX51" s="329">
        <v>0</v>
      </c>
      <c r="KY51" s="329">
        <v>0</v>
      </c>
      <c r="KZ51" s="329">
        <v>0</v>
      </c>
      <c r="LA51" s="329">
        <v>0</v>
      </c>
      <c r="LB51" s="329">
        <v>0</v>
      </c>
      <c r="LC51" s="329">
        <v>0</v>
      </c>
      <c r="LD51" s="329">
        <v>0</v>
      </c>
      <c r="LE51" s="329">
        <v>0</v>
      </c>
      <c r="LF51" s="329">
        <v>0</v>
      </c>
      <c r="LG51" s="329">
        <v>0</v>
      </c>
      <c r="LH51" s="329">
        <v>0</v>
      </c>
      <c r="LI51" s="329">
        <v>0</v>
      </c>
      <c r="LJ51" s="329">
        <v>0</v>
      </c>
      <c r="LK51" s="329">
        <v>0</v>
      </c>
      <c r="LL51" s="329">
        <v>0</v>
      </c>
      <c r="LM51" s="329">
        <v>0</v>
      </c>
      <c r="LN51" s="329">
        <v>0</v>
      </c>
      <c r="LO51" s="329">
        <v>0</v>
      </c>
      <c r="LP51" s="329">
        <v>0</v>
      </c>
      <c r="LQ51" s="329">
        <v>0</v>
      </c>
      <c r="LR51" s="331"/>
      <c r="LS51" s="331"/>
      <c r="LT51" s="331"/>
      <c r="LU51" s="331"/>
      <c r="LV51" s="331"/>
      <c r="LW51" s="331"/>
      <c r="LX51" s="331"/>
      <c r="LY51" s="331"/>
      <c r="LZ51" s="331"/>
      <c r="MA51" s="331"/>
      <c r="MB51" s="331"/>
      <c r="MC51" s="331"/>
      <c r="MD51" s="331"/>
      <c r="ME51" s="331"/>
      <c r="MF51" s="331"/>
      <c r="MG51" s="331"/>
      <c r="MH51" s="331"/>
      <c r="MI51" s="331"/>
      <c r="MJ51" s="331"/>
      <c r="MK51" s="331"/>
      <c r="ML51" s="331"/>
      <c r="MM51" s="331"/>
      <c r="MN51" s="331"/>
      <c r="MO51" s="331"/>
      <c r="MP51" s="331"/>
      <c r="MQ51" s="331"/>
      <c r="MR51" s="331"/>
      <c r="MS51" s="331"/>
      <c r="MT51" s="331"/>
      <c r="MU51" s="331"/>
      <c r="MV51" s="331"/>
      <c r="MW51" s="331"/>
      <c r="MX51" s="331"/>
      <c r="MY51" s="331"/>
      <c r="MZ51" s="331"/>
      <c r="NA51" s="331"/>
      <c r="NB51" s="331"/>
      <c r="NC51" s="331"/>
      <c r="ND51" s="331"/>
      <c r="NE51" s="331"/>
      <c r="NF51" s="331"/>
      <c r="NG51" s="331"/>
      <c r="NH51" s="331"/>
      <c r="NI51" s="331"/>
      <c r="NJ51" s="331"/>
      <c r="NK51" s="331"/>
      <c r="NL51" s="331"/>
      <c r="NM51" s="331"/>
      <c r="NN51" s="331"/>
      <c r="NO51" s="331"/>
      <c r="NP51" s="331"/>
      <c r="NQ51" s="331"/>
      <c r="NR51" s="331"/>
      <c r="NS51" s="331"/>
      <c r="NT51" s="331"/>
      <c r="NU51" s="331"/>
      <c r="NV51" s="331"/>
      <c r="NW51" s="331"/>
      <c r="NX51" s="331"/>
      <c r="NY51" s="331"/>
      <c r="NZ51" s="331"/>
      <c r="OA51" s="331"/>
      <c r="OB51" s="331"/>
      <c r="OC51" s="331"/>
      <c r="OD51" s="331"/>
      <c r="OE51" s="331"/>
      <c r="OF51" s="331"/>
      <c r="OG51" s="331"/>
      <c r="OH51" s="331"/>
      <c r="OI51" s="331"/>
      <c r="OJ51" s="331"/>
      <c r="OK51" s="331"/>
      <c r="OL51" s="332">
        <f t="shared" si="1"/>
        <v>406712.54000000004</v>
      </c>
    </row>
    <row r="52" spans="1:402" ht="13.5" thickBot="1">
      <c r="A52" s="320" t="s">
        <v>404</v>
      </c>
      <c r="B52" s="328" t="s">
        <v>441</v>
      </c>
      <c r="C52" s="328" t="s">
        <v>206</v>
      </c>
      <c r="D52" s="328" t="s">
        <v>457</v>
      </c>
      <c r="E52" s="329">
        <v>0</v>
      </c>
      <c r="F52" s="329">
        <v>0</v>
      </c>
      <c r="G52" s="329">
        <v>0</v>
      </c>
      <c r="H52" s="329">
        <v>0</v>
      </c>
      <c r="I52" s="329">
        <v>0</v>
      </c>
      <c r="J52" s="329">
        <v>0</v>
      </c>
      <c r="K52" s="329">
        <v>0</v>
      </c>
      <c r="L52" s="329">
        <v>0</v>
      </c>
      <c r="M52" s="329">
        <v>0</v>
      </c>
      <c r="N52" s="329">
        <v>0</v>
      </c>
      <c r="O52" s="329">
        <v>0</v>
      </c>
      <c r="P52" s="329">
        <v>0</v>
      </c>
      <c r="Q52" s="329">
        <v>0</v>
      </c>
      <c r="R52" s="329">
        <v>0</v>
      </c>
      <c r="S52" s="329">
        <v>0</v>
      </c>
      <c r="T52" s="329">
        <v>0</v>
      </c>
      <c r="U52" s="329">
        <v>0</v>
      </c>
      <c r="V52" s="329">
        <v>0</v>
      </c>
      <c r="W52" s="329">
        <v>0</v>
      </c>
      <c r="X52" s="329">
        <v>0</v>
      </c>
      <c r="Y52" s="329">
        <v>0</v>
      </c>
      <c r="Z52" s="329">
        <v>0</v>
      </c>
      <c r="AA52" s="329">
        <v>0</v>
      </c>
      <c r="AB52" s="329">
        <v>0</v>
      </c>
      <c r="AC52" s="329">
        <v>0</v>
      </c>
      <c r="AD52" s="329">
        <v>0</v>
      </c>
      <c r="AE52" s="329">
        <v>0</v>
      </c>
      <c r="AF52" s="329">
        <v>0</v>
      </c>
      <c r="AG52" s="329">
        <v>0</v>
      </c>
      <c r="AH52" s="329">
        <v>0</v>
      </c>
      <c r="AI52" s="329">
        <v>0</v>
      </c>
      <c r="AJ52" s="329">
        <v>0</v>
      </c>
      <c r="AK52" s="329">
        <v>0</v>
      </c>
      <c r="AL52" s="329">
        <v>0</v>
      </c>
      <c r="AM52" s="329">
        <v>0</v>
      </c>
      <c r="AN52" s="329">
        <v>0</v>
      </c>
      <c r="AO52" s="330">
        <v>4219.34</v>
      </c>
      <c r="AP52" s="330">
        <v>4124.74</v>
      </c>
      <c r="AQ52" s="330">
        <v>3993.72</v>
      </c>
      <c r="AR52" s="330">
        <v>3776.82</v>
      </c>
      <c r="AS52" s="330">
        <v>3558.98</v>
      </c>
      <c r="AT52" s="330">
        <v>3812.6</v>
      </c>
      <c r="AU52" s="330">
        <v>3709.29</v>
      </c>
      <c r="AV52" s="330">
        <v>3939.26</v>
      </c>
      <c r="AW52" s="330">
        <v>3740.09</v>
      </c>
      <c r="AX52" s="330">
        <v>3681.9</v>
      </c>
      <c r="AY52" s="330">
        <v>3848.08</v>
      </c>
      <c r="AZ52" s="330">
        <v>4069.34</v>
      </c>
      <c r="BA52" s="331"/>
      <c r="BB52" s="331"/>
      <c r="BC52" s="331"/>
      <c r="BD52" s="331"/>
      <c r="BE52" s="331"/>
      <c r="BF52" s="331"/>
      <c r="BG52" s="331"/>
      <c r="BH52" s="331"/>
      <c r="BI52" s="331"/>
      <c r="BJ52" s="331"/>
      <c r="BK52" s="331"/>
      <c r="BL52" s="331"/>
      <c r="BM52" s="329">
        <v>0</v>
      </c>
      <c r="BN52" s="329">
        <v>0</v>
      </c>
      <c r="BO52" s="329">
        <v>0</v>
      </c>
      <c r="BP52" s="329">
        <v>0</v>
      </c>
      <c r="BQ52" s="329">
        <v>0</v>
      </c>
      <c r="BR52" s="329">
        <v>0</v>
      </c>
      <c r="BS52" s="329">
        <v>0</v>
      </c>
      <c r="BT52" s="329">
        <v>0</v>
      </c>
      <c r="BU52" s="329">
        <v>0</v>
      </c>
      <c r="BV52" s="329">
        <v>0</v>
      </c>
      <c r="BW52" s="329">
        <v>0</v>
      </c>
      <c r="BX52" s="329">
        <v>0</v>
      </c>
      <c r="BY52" s="329">
        <v>0</v>
      </c>
      <c r="BZ52" s="329">
        <v>0</v>
      </c>
      <c r="CA52" s="329">
        <v>0</v>
      </c>
      <c r="CB52" s="329">
        <v>0</v>
      </c>
      <c r="CC52" s="329">
        <v>0</v>
      </c>
      <c r="CD52" s="329">
        <v>0</v>
      </c>
      <c r="CE52" s="329">
        <v>0</v>
      </c>
      <c r="CF52" s="329">
        <v>0</v>
      </c>
      <c r="CG52" s="329">
        <v>0</v>
      </c>
      <c r="CH52" s="329">
        <v>0</v>
      </c>
      <c r="CI52" s="329">
        <v>0</v>
      </c>
      <c r="CJ52" s="329">
        <v>0</v>
      </c>
      <c r="CK52" s="331"/>
      <c r="CL52" s="331"/>
      <c r="CM52" s="331"/>
      <c r="CN52" s="331"/>
      <c r="CO52" s="331"/>
      <c r="CP52" s="331"/>
      <c r="CQ52" s="331"/>
      <c r="CR52" s="331"/>
      <c r="CS52" s="331"/>
      <c r="CT52" s="331"/>
      <c r="CU52" s="331"/>
      <c r="CV52" s="331"/>
      <c r="CW52" s="329">
        <v>0</v>
      </c>
      <c r="CX52" s="329">
        <v>0</v>
      </c>
      <c r="CY52" s="329">
        <v>0</v>
      </c>
      <c r="CZ52" s="329">
        <v>0</v>
      </c>
      <c r="DA52" s="329">
        <v>0</v>
      </c>
      <c r="DB52" s="329">
        <v>0</v>
      </c>
      <c r="DC52" s="329">
        <v>0</v>
      </c>
      <c r="DD52" s="329">
        <v>0</v>
      </c>
      <c r="DE52" s="329">
        <v>0</v>
      </c>
      <c r="DF52" s="329">
        <v>0</v>
      </c>
      <c r="DG52" s="329">
        <v>0</v>
      </c>
      <c r="DH52" s="329">
        <v>0</v>
      </c>
      <c r="DI52" s="330">
        <v>292.51</v>
      </c>
      <c r="DJ52" s="330">
        <v>285.74</v>
      </c>
      <c r="DK52" s="330">
        <v>276.36</v>
      </c>
      <c r="DL52" s="330">
        <v>260.83</v>
      </c>
      <c r="DM52" s="330">
        <v>245.23</v>
      </c>
      <c r="DN52" s="330">
        <v>263.39</v>
      </c>
      <c r="DO52" s="330">
        <v>255.99</v>
      </c>
      <c r="DP52" s="330">
        <v>272.45999999999998</v>
      </c>
      <c r="DQ52" s="330">
        <v>258.2</v>
      </c>
      <c r="DR52" s="330">
        <v>254.03</v>
      </c>
      <c r="DS52" s="330">
        <v>265.93</v>
      </c>
      <c r="DT52" s="330">
        <v>315.97000000000003</v>
      </c>
      <c r="DU52" s="330">
        <v>57.21</v>
      </c>
      <c r="DV52" s="330">
        <v>55.89</v>
      </c>
      <c r="DW52" s="330">
        <v>54.05</v>
      </c>
      <c r="DX52" s="330">
        <v>51.01</v>
      </c>
      <c r="DY52" s="330">
        <v>47.96</v>
      </c>
      <c r="DZ52" s="330">
        <v>51.51</v>
      </c>
      <c r="EA52" s="330">
        <v>50.07</v>
      </c>
      <c r="EB52" s="330">
        <v>53.29</v>
      </c>
      <c r="EC52" s="330">
        <v>50.5</v>
      </c>
      <c r="ED52" s="330">
        <v>49.68</v>
      </c>
      <c r="EE52" s="330">
        <v>52.01</v>
      </c>
      <c r="EF52" s="330">
        <v>55.11</v>
      </c>
      <c r="EG52" s="329">
        <v>0</v>
      </c>
      <c r="EH52" s="329">
        <v>0</v>
      </c>
      <c r="EI52" s="329">
        <v>0</v>
      </c>
      <c r="EJ52" s="329">
        <v>0</v>
      </c>
      <c r="EK52" s="329">
        <v>0</v>
      </c>
      <c r="EL52" s="329">
        <v>0</v>
      </c>
      <c r="EM52" s="329">
        <v>0</v>
      </c>
      <c r="EN52" s="329">
        <v>0</v>
      </c>
      <c r="EO52" s="329">
        <v>0</v>
      </c>
      <c r="EP52" s="329">
        <v>0</v>
      </c>
      <c r="EQ52" s="329">
        <v>0</v>
      </c>
      <c r="ER52" s="329">
        <v>0</v>
      </c>
      <c r="ES52" s="329">
        <v>0</v>
      </c>
      <c r="ET52" s="329">
        <v>0</v>
      </c>
      <c r="EU52" s="329">
        <v>0</v>
      </c>
      <c r="EV52" s="329">
        <v>0</v>
      </c>
      <c r="EW52" s="329">
        <v>0</v>
      </c>
      <c r="EX52" s="329">
        <v>0</v>
      </c>
      <c r="EY52" s="329">
        <v>0</v>
      </c>
      <c r="EZ52" s="329">
        <v>0</v>
      </c>
      <c r="FA52" s="329">
        <v>0</v>
      </c>
      <c r="FB52" s="329">
        <v>0</v>
      </c>
      <c r="FC52" s="329">
        <v>0</v>
      </c>
      <c r="FD52" s="329">
        <v>0</v>
      </c>
      <c r="FE52" s="331"/>
      <c r="FF52" s="331"/>
      <c r="FG52" s="331"/>
      <c r="FH52" s="331"/>
      <c r="FI52" s="331"/>
      <c r="FJ52" s="331"/>
      <c r="FK52" s="331"/>
      <c r="FL52" s="331"/>
      <c r="FM52" s="331"/>
      <c r="FN52" s="331"/>
      <c r="FO52" s="331"/>
      <c r="FP52" s="331"/>
      <c r="FQ52" s="329">
        <v>0</v>
      </c>
      <c r="FR52" s="329">
        <v>0</v>
      </c>
      <c r="FS52" s="329">
        <v>0</v>
      </c>
      <c r="FT52" s="329">
        <v>0</v>
      </c>
      <c r="FU52" s="329">
        <v>0</v>
      </c>
      <c r="FV52" s="329">
        <v>0</v>
      </c>
      <c r="FW52" s="329">
        <v>0</v>
      </c>
      <c r="FX52" s="329">
        <v>0</v>
      </c>
      <c r="FY52" s="329">
        <v>0</v>
      </c>
      <c r="FZ52" s="329">
        <v>0</v>
      </c>
      <c r="GA52" s="329">
        <v>0</v>
      </c>
      <c r="GB52" s="329">
        <v>0</v>
      </c>
      <c r="GC52" s="330">
        <v>7120.2</v>
      </c>
      <c r="GD52" s="330">
        <v>7103.43</v>
      </c>
      <c r="GE52" s="330">
        <v>7080.22</v>
      </c>
      <c r="GF52" s="330">
        <v>5994.99</v>
      </c>
      <c r="GG52" s="330">
        <v>5956.39</v>
      </c>
      <c r="GH52" s="330">
        <v>5450.38</v>
      </c>
      <c r="GI52" s="330">
        <v>5432.07</v>
      </c>
      <c r="GJ52" s="330">
        <v>5472.82</v>
      </c>
      <c r="GK52" s="330">
        <v>5437.53</v>
      </c>
      <c r="GL52" s="330">
        <v>5427.22</v>
      </c>
      <c r="GM52" s="330">
        <v>5456.66</v>
      </c>
      <c r="GN52" s="330">
        <v>5534.36</v>
      </c>
      <c r="GO52" s="330">
        <v>1042.79</v>
      </c>
      <c r="GP52" s="330">
        <v>1018.64</v>
      </c>
      <c r="GQ52" s="330">
        <v>985.19</v>
      </c>
      <c r="GR52" s="330">
        <v>929.83</v>
      </c>
      <c r="GS52" s="330">
        <v>874.22</v>
      </c>
      <c r="GT52" s="330">
        <v>917.09</v>
      </c>
      <c r="GU52" s="330">
        <v>891.33</v>
      </c>
      <c r="GV52" s="330">
        <v>948.67</v>
      </c>
      <c r="GW52" s="330">
        <v>899.01</v>
      </c>
      <c r="GX52" s="330">
        <v>884.51</v>
      </c>
      <c r="GY52" s="330">
        <v>925.94</v>
      </c>
      <c r="GZ52" s="330">
        <v>981.1</v>
      </c>
      <c r="HA52" s="330">
        <v>70.69</v>
      </c>
      <c r="HB52" s="330">
        <v>82.01</v>
      </c>
      <c r="HC52" s="330">
        <v>72.52</v>
      </c>
      <c r="HD52" s="330">
        <v>65.33</v>
      </c>
      <c r="HE52" s="330">
        <v>78.180000000000007</v>
      </c>
      <c r="HF52" s="330">
        <v>130.32</v>
      </c>
      <c r="HG52" s="330">
        <v>132.46</v>
      </c>
      <c r="HH52" s="330">
        <v>135.94</v>
      </c>
      <c r="HI52" s="330">
        <v>106.5</v>
      </c>
      <c r="HJ52" s="330">
        <v>118.28</v>
      </c>
      <c r="HK52" s="330">
        <v>142.63</v>
      </c>
      <c r="HL52" s="330">
        <v>153.07</v>
      </c>
      <c r="HM52" s="329">
        <v>0</v>
      </c>
      <c r="HN52" s="329">
        <v>0</v>
      </c>
      <c r="HO52" s="329">
        <v>0</v>
      </c>
      <c r="HP52" s="329">
        <v>0</v>
      </c>
      <c r="HQ52" s="329">
        <v>0</v>
      </c>
      <c r="HR52" s="329">
        <v>0</v>
      </c>
      <c r="HS52" s="329">
        <v>0</v>
      </c>
      <c r="HT52" s="329">
        <v>0</v>
      </c>
      <c r="HU52" s="329">
        <v>0</v>
      </c>
      <c r="HV52" s="329">
        <v>0</v>
      </c>
      <c r="HW52" s="329">
        <v>0</v>
      </c>
      <c r="HX52" s="329">
        <v>0</v>
      </c>
      <c r="HY52" s="331"/>
      <c r="HZ52" s="331"/>
      <c r="IA52" s="331"/>
      <c r="IB52" s="331"/>
      <c r="IC52" s="331"/>
      <c r="ID52" s="331"/>
      <c r="IE52" s="331"/>
      <c r="IF52" s="331"/>
      <c r="IG52" s="331"/>
      <c r="IH52" s="331"/>
      <c r="II52" s="331"/>
      <c r="IJ52" s="331"/>
      <c r="IK52" s="329">
        <v>0</v>
      </c>
      <c r="IL52" s="329">
        <v>0</v>
      </c>
      <c r="IM52" s="329">
        <v>0</v>
      </c>
      <c r="IN52" s="329">
        <v>0</v>
      </c>
      <c r="IO52" s="329">
        <v>0</v>
      </c>
      <c r="IP52" s="329">
        <v>0</v>
      </c>
      <c r="IQ52" s="329">
        <v>0</v>
      </c>
      <c r="IR52" s="329">
        <v>0</v>
      </c>
      <c r="IS52" s="329">
        <v>0</v>
      </c>
      <c r="IT52" s="329">
        <v>0</v>
      </c>
      <c r="IU52" s="329">
        <v>0</v>
      </c>
      <c r="IV52" s="329">
        <v>0</v>
      </c>
      <c r="IW52" s="329">
        <v>0</v>
      </c>
      <c r="IX52" s="329">
        <v>0</v>
      </c>
      <c r="IY52" s="329">
        <v>0</v>
      </c>
      <c r="IZ52" s="329">
        <v>0</v>
      </c>
      <c r="JA52" s="329">
        <v>0</v>
      </c>
      <c r="JB52" s="329">
        <v>0</v>
      </c>
      <c r="JC52" s="329">
        <v>0</v>
      </c>
      <c r="JD52" s="329">
        <v>0</v>
      </c>
      <c r="JE52" s="329">
        <v>0</v>
      </c>
      <c r="JF52" s="329">
        <v>0</v>
      </c>
      <c r="JG52" s="329">
        <v>0</v>
      </c>
      <c r="JH52" s="329">
        <v>0</v>
      </c>
      <c r="JI52" s="330">
        <v>150.35</v>
      </c>
      <c r="JJ52" s="330">
        <v>-19.34</v>
      </c>
      <c r="JK52" s="330">
        <v>-18.89</v>
      </c>
      <c r="JL52" s="330">
        <v>-18.27</v>
      </c>
      <c r="JM52" s="330">
        <v>-17.239999999999998</v>
      </c>
      <c r="JN52" s="330">
        <v>-16.21</v>
      </c>
      <c r="JO52" s="330">
        <v>-17.41</v>
      </c>
      <c r="JP52" s="330">
        <v>-16.920000000000002</v>
      </c>
      <c r="JQ52" s="330">
        <v>-18.010000000000002</v>
      </c>
      <c r="JR52" s="330">
        <v>-17.07</v>
      </c>
      <c r="JS52" s="330">
        <v>-16.79</v>
      </c>
      <c r="JT52" s="330">
        <v>-17.579999999999998</v>
      </c>
      <c r="JU52" s="330">
        <v>-16.3</v>
      </c>
      <c r="JV52" s="331"/>
      <c r="JW52" s="331"/>
      <c r="JX52" s="331"/>
      <c r="JY52" s="331"/>
      <c r="JZ52" s="331"/>
      <c r="KA52" s="331"/>
      <c r="KB52" s="331"/>
      <c r="KC52" s="331"/>
      <c r="KD52" s="331"/>
      <c r="KE52" s="331"/>
      <c r="KF52" s="331"/>
      <c r="KG52" s="331"/>
      <c r="KH52" s="331"/>
      <c r="KI52" s="331"/>
      <c r="KJ52" s="331"/>
      <c r="KK52" s="331"/>
      <c r="KL52" s="331"/>
      <c r="KM52" s="331"/>
      <c r="KN52" s="331"/>
      <c r="KO52" s="331"/>
      <c r="KP52" s="331"/>
      <c r="KQ52" s="331"/>
      <c r="KR52" s="331"/>
      <c r="KS52" s="331"/>
      <c r="KT52" s="329">
        <v>0</v>
      </c>
      <c r="KU52" s="329">
        <v>0</v>
      </c>
      <c r="KV52" s="329">
        <v>0</v>
      </c>
      <c r="KW52" s="329">
        <v>0</v>
      </c>
      <c r="KX52" s="329">
        <v>0</v>
      </c>
      <c r="KY52" s="329">
        <v>0</v>
      </c>
      <c r="KZ52" s="329">
        <v>0</v>
      </c>
      <c r="LA52" s="329">
        <v>0</v>
      </c>
      <c r="LB52" s="329">
        <v>0</v>
      </c>
      <c r="LC52" s="329">
        <v>0</v>
      </c>
      <c r="LD52" s="329">
        <v>0</v>
      </c>
      <c r="LE52" s="329">
        <v>0</v>
      </c>
      <c r="LF52" s="329">
        <v>0</v>
      </c>
      <c r="LG52" s="329">
        <v>0</v>
      </c>
      <c r="LH52" s="329">
        <v>0</v>
      </c>
      <c r="LI52" s="329">
        <v>0</v>
      </c>
      <c r="LJ52" s="329">
        <v>0</v>
      </c>
      <c r="LK52" s="329">
        <v>0</v>
      </c>
      <c r="LL52" s="329">
        <v>0</v>
      </c>
      <c r="LM52" s="329">
        <v>0</v>
      </c>
      <c r="LN52" s="329">
        <v>0</v>
      </c>
      <c r="LO52" s="329">
        <v>0</v>
      </c>
      <c r="LP52" s="329">
        <v>0</v>
      </c>
      <c r="LQ52" s="329">
        <v>0</v>
      </c>
      <c r="LR52" s="331"/>
      <c r="LS52" s="331"/>
      <c r="LT52" s="331"/>
      <c r="LU52" s="331"/>
      <c r="LV52" s="331"/>
      <c r="LW52" s="331"/>
      <c r="LX52" s="331"/>
      <c r="LY52" s="331"/>
      <c r="LZ52" s="331"/>
      <c r="MA52" s="331"/>
      <c r="MB52" s="331"/>
      <c r="MC52" s="331"/>
      <c r="MD52" s="331"/>
      <c r="ME52" s="331"/>
      <c r="MF52" s="331"/>
      <c r="MG52" s="331"/>
      <c r="MH52" s="331"/>
      <c r="MI52" s="331"/>
      <c r="MJ52" s="331"/>
      <c r="MK52" s="331"/>
      <c r="ML52" s="331"/>
      <c r="MM52" s="331"/>
      <c r="MN52" s="331"/>
      <c r="MO52" s="331"/>
      <c r="MP52" s="331"/>
      <c r="MQ52" s="331"/>
      <c r="MR52" s="331"/>
      <c r="MS52" s="331"/>
      <c r="MT52" s="331"/>
      <c r="MU52" s="331"/>
      <c r="MV52" s="331"/>
      <c r="MW52" s="331"/>
      <c r="MX52" s="331"/>
      <c r="MY52" s="331"/>
      <c r="MZ52" s="331"/>
      <c r="NA52" s="331"/>
      <c r="NB52" s="331"/>
      <c r="NC52" s="331"/>
      <c r="ND52" s="331"/>
      <c r="NE52" s="331"/>
      <c r="NF52" s="331"/>
      <c r="NG52" s="331"/>
      <c r="NH52" s="331"/>
      <c r="NI52" s="331"/>
      <c r="NJ52" s="331"/>
      <c r="NK52" s="331"/>
      <c r="NL52" s="331"/>
      <c r="NM52" s="331"/>
      <c r="NN52" s="331"/>
      <c r="NO52" s="331"/>
      <c r="NP52" s="331"/>
      <c r="NQ52" s="331"/>
      <c r="NR52" s="331"/>
      <c r="NS52" s="331"/>
      <c r="NT52" s="331"/>
      <c r="NU52" s="331"/>
      <c r="NV52" s="331"/>
      <c r="NW52" s="331"/>
      <c r="NX52" s="331"/>
      <c r="NY52" s="331"/>
      <c r="NZ52" s="331"/>
      <c r="OA52" s="331"/>
      <c r="OB52" s="331"/>
      <c r="OC52" s="331"/>
      <c r="OD52" s="331"/>
      <c r="OE52" s="331"/>
      <c r="OF52" s="331"/>
      <c r="OG52" s="331"/>
      <c r="OH52" s="331"/>
      <c r="OI52" s="331"/>
      <c r="OJ52" s="331"/>
      <c r="OK52" s="331"/>
      <c r="OL52" s="332">
        <f t="shared" si="1"/>
        <v>134341.93000000002</v>
      </c>
    </row>
    <row r="53" spans="1:402" ht="13.5" thickBot="1">
      <c r="A53" s="320" t="s">
        <v>404</v>
      </c>
      <c r="B53" s="328" t="s">
        <v>441</v>
      </c>
      <c r="C53" s="328" t="s">
        <v>206</v>
      </c>
      <c r="D53" s="328" t="s">
        <v>458</v>
      </c>
      <c r="E53" s="329">
        <v>0</v>
      </c>
      <c r="F53" s="329">
        <v>0</v>
      </c>
      <c r="G53" s="329">
        <v>0</v>
      </c>
      <c r="H53" s="329">
        <v>0</v>
      </c>
      <c r="I53" s="329">
        <v>0</v>
      </c>
      <c r="J53" s="329">
        <v>0</v>
      </c>
      <c r="K53" s="329">
        <v>0</v>
      </c>
      <c r="L53" s="329">
        <v>0</v>
      </c>
      <c r="M53" s="329">
        <v>0</v>
      </c>
      <c r="N53" s="329">
        <v>0</v>
      </c>
      <c r="O53" s="329">
        <v>0</v>
      </c>
      <c r="P53" s="329">
        <v>0</v>
      </c>
      <c r="Q53" s="329">
        <v>0</v>
      </c>
      <c r="R53" s="329">
        <v>0</v>
      </c>
      <c r="S53" s="329">
        <v>0</v>
      </c>
      <c r="T53" s="329">
        <v>0</v>
      </c>
      <c r="U53" s="329">
        <v>0</v>
      </c>
      <c r="V53" s="329">
        <v>0</v>
      </c>
      <c r="W53" s="329">
        <v>0</v>
      </c>
      <c r="X53" s="329">
        <v>0</v>
      </c>
      <c r="Y53" s="329">
        <v>0</v>
      </c>
      <c r="Z53" s="329">
        <v>0</v>
      </c>
      <c r="AA53" s="329">
        <v>0</v>
      </c>
      <c r="AB53" s="329">
        <v>0</v>
      </c>
      <c r="AC53" s="329">
        <v>0</v>
      </c>
      <c r="AD53" s="329">
        <v>0</v>
      </c>
      <c r="AE53" s="329">
        <v>0</v>
      </c>
      <c r="AF53" s="329">
        <v>0</v>
      </c>
      <c r="AG53" s="329">
        <v>0</v>
      </c>
      <c r="AH53" s="329">
        <v>0</v>
      </c>
      <c r="AI53" s="329">
        <v>0</v>
      </c>
      <c r="AJ53" s="329">
        <v>0</v>
      </c>
      <c r="AK53" s="329">
        <v>0</v>
      </c>
      <c r="AL53" s="329">
        <v>0</v>
      </c>
      <c r="AM53" s="329">
        <v>0</v>
      </c>
      <c r="AN53" s="329">
        <v>0</v>
      </c>
      <c r="AO53" s="330">
        <v>4316.75</v>
      </c>
      <c r="AP53" s="330">
        <v>4322.66</v>
      </c>
      <c r="AQ53" s="330">
        <v>4107.62</v>
      </c>
      <c r="AR53" s="330">
        <v>3982.21</v>
      </c>
      <c r="AS53" s="330">
        <v>3798.6</v>
      </c>
      <c r="AT53" s="330">
        <v>4071.83</v>
      </c>
      <c r="AU53" s="330">
        <v>4340.71</v>
      </c>
      <c r="AV53" s="330">
        <v>3695.28</v>
      </c>
      <c r="AW53" s="330">
        <v>3755.03</v>
      </c>
      <c r="AX53" s="330">
        <v>4597.45</v>
      </c>
      <c r="AY53" s="330">
        <v>4107.62</v>
      </c>
      <c r="AZ53" s="330">
        <v>4006.17</v>
      </c>
      <c r="BA53" s="331"/>
      <c r="BB53" s="331"/>
      <c r="BC53" s="331"/>
      <c r="BD53" s="331"/>
      <c r="BE53" s="331"/>
      <c r="BF53" s="331"/>
      <c r="BG53" s="331"/>
      <c r="BH53" s="331"/>
      <c r="BI53" s="331"/>
      <c r="BJ53" s="331"/>
      <c r="BK53" s="331"/>
      <c r="BL53" s="331"/>
      <c r="BM53" s="329">
        <v>0</v>
      </c>
      <c r="BN53" s="329">
        <v>0</v>
      </c>
      <c r="BO53" s="329">
        <v>0</v>
      </c>
      <c r="BP53" s="329">
        <v>0</v>
      </c>
      <c r="BQ53" s="329">
        <v>0</v>
      </c>
      <c r="BR53" s="329">
        <v>0</v>
      </c>
      <c r="BS53" s="329">
        <v>0</v>
      </c>
      <c r="BT53" s="329">
        <v>0</v>
      </c>
      <c r="BU53" s="329">
        <v>0</v>
      </c>
      <c r="BV53" s="329">
        <v>0</v>
      </c>
      <c r="BW53" s="329">
        <v>0</v>
      </c>
      <c r="BX53" s="329">
        <v>0</v>
      </c>
      <c r="BY53" s="329">
        <v>0</v>
      </c>
      <c r="BZ53" s="329">
        <v>0</v>
      </c>
      <c r="CA53" s="329">
        <v>0</v>
      </c>
      <c r="CB53" s="329">
        <v>0</v>
      </c>
      <c r="CC53" s="329">
        <v>0</v>
      </c>
      <c r="CD53" s="329">
        <v>0</v>
      </c>
      <c r="CE53" s="329">
        <v>0</v>
      </c>
      <c r="CF53" s="329">
        <v>0</v>
      </c>
      <c r="CG53" s="329">
        <v>0</v>
      </c>
      <c r="CH53" s="329">
        <v>0</v>
      </c>
      <c r="CI53" s="329">
        <v>0</v>
      </c>
      <c r="CJ53" s="329">
        <v>0</v>
      </c>
      <c r="CK53" s="331"/>
      <c r="CL53" s="331"/>
      <c r="CM53" s="331"/>
      <c r="CN53" s="331"/>
      <c r="CO53" s="331"/>
      <c r="CP53" s="331"/>
      <c r="CQ53" s="331"/>
      <c r="CR53" s="331"/>
      <c r="CS53" s="331"/>
      <c r="CT53" s="331"/>
      <c r="CU53" s="331"/>
      <c r="CV53" s="331"/>
      <c r="CW53" s="329">
        <v>0</v>
      </c>
      <c r="CX53" s="329">
        <v>0</v>
      </c>
      <c r="CY53" s="329">
        <v>0</v>
      </c>
      <c r="CZ53" s="329">
        <v>0</v>
      </c>
      <c r="DA53" s="329">
        <v>0</v>
      </c>
      <c r="DB53" s="329">
        <v>0</v>
      </c>
      <c r="DC53" s="329">
        <v>0</v>
      </c>
      <c r="DD53" s="329">
        <v>0</v>
      </c>
      <c r="DE53" s="329">
        <v>0</v>
      </c>
      <c r="DF53" s="329">
        <v>0</v>
      </c>
      <c r="DG53" s="329">
        <v>0</v>
      </c>
      <c r="DH53" s="329">
        <v>0</v>
      </c>
      <c r="DI53" s="330">
        <v>299.49</v>
      </c>
      <c r="DJ53" s="330">
        <v>299.91000000000003</v>
      </c>
      <c r="DK53" s="330">
        <v>284.51</v>
      </c>
      <c r="DL53" s="330">
        <v>275.52999999999997</v>
      </c>
      <c r="DM53" s="330">
        <v>262.39</v>
      </c>
      <c r="DN53" s="330">
        <v>281.95</v>
      </c>
      <c r="DO53" s="330">
        <v>301.2</v>
      </c>
      <c r="DP53" s="330">
        <v>254.99</v>
      </c>
      <c r="DQ53" s="330">
        <v>259.27</v>
      </c>
      <c r="DR53" s="330">
        <v>319.58999999999997</v>
      </c>
      <c r="DS53" s="330">
        <v>284.51</v>
      </c>
      <c r="DT53" s="330">
        <v>310.89999999999998</v>
      </c>
      <c r="DU53" s="330">
        <v>58.57</v>
      </c>
      <c r="DV53" s="330">
        <v>58.66</v>
      </c>
      <c r="DW53" s="330">
        <v>55.65</v>
      </c>
      <c r="DX53" s="330">
        <v>53.89</v>
      </c>
      <c r="DY53" s="330">
        <v>51.32</v>
      </c>
      <c r="DZ53" s="330">
        <v>55.14</v>
      </c>
      <c r="EA53" s="330">
        <v>58.91</v>
      </c>
      <c r="EB53" s="330">
        <v>49.87</v>
      </c>
      <c r="EC53" s="330">
        <v>50.71</v>
      </c>
      <c r="ED53" s="330">
        <v>62.51</v>
      </c>
      <c r="EE53" s="330">
        <v>55.65</v>
      </c>
      <c r="EF53" s="330">
        <v>54.22</v>
      </c>
      <c r="EG53" s="329">
        <v>0</v>
      </c>
      <c r="EH53" s="329">
        <v>0</v>
      </c>
      <c r="EI53" s="329">
        <v>0</v>
      </c>
      <c r="EJ53" s="329">
        <v>0</v>
      </c>
      <c r="EK53" s="329">
        <v>0</v>
      </c>
      <c r="EL53" s="329">
        <v>0</v>
      </c>
      <c r="EM53" s="329">
        <v>0</v>
      </c>
      <c r="EN53" s="329">
        <v>0</v>
      </c>
      <c r="EO53" s="329">
        <v>0</v>
      </c>
      <c r="EP53" s="329">
        <v>0</v>
      </c>
      <c r="EQ53" s="329">
        <v>0</v>
      </c>
      <c r="ER53" s="329">
        <v>0</v>
      </c>
      <c r="ES53" s="329">
        <v>0</v>
      </c>
      <c r="ET53" s="329">
        <v>0</v>
      </c>
      <c r="EU53" s="329">
        <v>0</v>
      </c>
      <c r="EV53" s="329">
        <v>0</v>
      </c>
      <c r="EW53" s="329">
        <v>0</v>
      </c>
      <c r="EX53" s="329">
        <v>0</v>
      </c>
      <c r="EY53" s="329">
        <v>0</v>
      </c>
      <c r="EZ53" s="329">
        <v>0</v>
      </c>
      <c r="FA53" s="329">
        <v>0</v>
      </c>
      <c r="FB53" s="329">
        <v>0</v>
      </c>
      <c r="FC53" s="329">
        <v>0</v>
      </c>
      <c r="FD53" s="329">
        <v>0</v>
      </c>
      <c r="FE53" s="331"/>
      <c r="FF53" s="331"/>
      <c r="FG53" s="331"/>
      <c r="FH53" s="331"/>
      <c r="FI53" s="331"/>
      <c r="FJ53" s="331"/>
      <c r="FK53" s="331"/>
      <c r="FL53" s="331"/>
      <c r="FM53" s="331"/>
      <c r="FN53" s="331"/>
      <c r="FO53" s="331"/>
      <c r="FP53" s="331"/>
      <c r="FQ53" s="329">
        <v>0</v>
      </c>
      <c r="FR53" s="329">
        <v>0</v>
      </c>
      <c r="FS53" s="329">
        <v>0</v>
      </c>
      <c r="FT53" s="329">
        <v>0</v>
      </c>
      <c r="FU53" s="329">
        <v>0</v>
      </c>
      <c r="FV53" s="329">
        <v>0</v>
      </c>
      <c r="FW53" s="329">
        <v>0</v>
      </c>
      <c r="FX53" s="329">
        <v>0</v>
      </c>
      <c r="FY53" s="329">
        <v>0</v>
      </c>
      <c r="FZ53" s="329">
        <v>0</v>
      </c>
      <c r="GA53" s="329">
        <v>0</v>
      </c>
      <c r="GB53" s="329">
        <v>0</v>
      </c>
      <c r="GC53" s="330">
        <v>8039.64</v>
      </c>
      <c r="GD53" s="330">
        <v>8040.68</v>
      </c>
      <c r="GE53" s="330">
        <v>8002.58</v>
      </c>
      <c r="GF53" s="330">
        <v>8985.94</v>
      </c>
      <c r="GG53" s="330">
        <v>8953.41</v>
      </c>
      <c r="GH53" s="330">
        <v>8146.58</v>
      </c>
      <c r="GI53" s="330">
        <v>8194.2199999999993</v>
      </c>
      <c r="GJ53" s="330">
        <v>8079.86</v>
      </c>
      <c r="GK53" s="330">
        <v>8090.45</v>
      </c>
      <c r="GL53" s="330">
        <v>8239.7199999999993</v>
      </c>
      <c r="GM53" s="330">
        <v>8152.92</v>
      </c>
      <c r="GN53" s="330">
        <v>8040.27</v>
      </c>
      <c r="GO53" s="330">
        <v>1067.6500000000001</v>
      </c>
      <c r="GP53" s="330">
        <v>1069.1600000000001</v>
      </c>
      <c r="GQ53" s="330">
        <v>1014.27</v>
      </c>
      <c r="GR53" s="330">
        <v>982.25</v>
      </c>
      <c r="GS53" s="330">
        <v>935.39</v>
      </c>
      <c r="GT53" s="330">
        <v>981.72</v>
      </c>
      <c r="GU53" s="330">
        <v>1048.76</v>
      </c>
      <c r="GV53" s="330">
        <v>887.84</v>
      </c>
      <c r="GW53" s="330">
        <v>902.74</v>
      </c>
      <c r="GX53" s="330">
        <v>1112.77</v>
      </c>
      <c r="GY53" s="330">
        <v>990.65</v>
      </c>
      <c r="GZ53" s="330">
        <v>965.35</v>
      </c>
      <c r="HA53" s="330">
        <v>165.24</v>
      </c>
      <c r="HB53" s="330">
        <v>141.37</v>
      </c>
      <c r="HC53" s="330">
        <v>127.91</v>
      </c>
      <c r="HD53" s="330">
        <v>119.34</v>
      </c>
      <c r="HE53" s="330">
        <v>101.59</v>
      </c>
      <c r="HF53" s="330">
        <v>236.56</v>
      </c>
      <c r="HG53" s="330">
        <v>248.33</v>
      </c>
      <c r="HH53" s="330">
        <v>234.42</v>
      </c>
      <c r="HI53" s="330">
        <v>252.61</v>
      </c>
      <c r="HJ53" s="330">
        <v>291.14999999999998</v>
      </c>
      <c r="HK53" s="330">
        <v>312.56</v>
      </c>
      <c r="HL53" s="330">
        <v>290.08</v>
      </c>
      <c r="HM53" s="329">
        <v>0</v>
      </c>
      <c r="HN53" s="329">
        <v>0</v>
      </c>
      <c r="HO53" s="329">
        <v>0</v>
      </c>
      <c r="HP53" s="329">
        <v>0</v>
      </c>
      <c r="HQ53" s="329">
        <v>0</v>
      </c>
      <c r="HR53" s="329">
        <v>0</v>
      </c>
      <c r="HS53" s="329">
        <v>0</v>
      </c>
      <c r="HT53" s="329">
        <v>0</v>
      </c>
      <c r="HU53" s="329">
        <v>0</v>
      </c>
      <c r="HV53" s="329">
        <v>0</v>
      </c>
      <c r="HW53" s="329">
        <v>0</v>
      </c>
      <c r="HX53" s="329">
        <v>0</v>
      </c>
      <c r="HY53" s="331"/>
      <c r="HZ53" s="331"/>
      <c r="IA53" s="331"/>
      <c r="IB53" s="331"/>
      <c r="IC53" s="331"/>
      <c r="ID53" s="331"/>
      <c r="IE53" s="331"/>
      <c r="IF53" s="331"/>
      <c r="IG53" s="331"/>
      <c r="IH53" s="331"/>
      <c r="II53" s="331"/>
      <c r="IJ53" s="331"/>
      <c r="IK53" s="329">
        <v>0</v>
      </c>
      <c r="IL53" s="329">
        <v>0</v>
      </c>
      <c r="IM53" s="329">
        <v>0</v>
      </c>
      <c r="IN53" s="329">
        <v>0</v>
      </c>
      <c r="IO53" s="329">
        <v>0</v>
      </c>
      <c r="IP53" s="329">
        <v>0</v>
      </c>
      <c r="IQ53" s="329">
        <v>0</v>
      </c>
      <c r="IR53" s="329">
        <v>0</v>
      </c>
      <c r="IS53" s="329">
        <v>0</v>
      </c>
      <c r="IT53" s="329">
        <v>0</v>
      </c>
      <c r="IU53" s="329">
        <v>0</v>
      </c>
      <c r="IV53" s="329">
        <v>0</v>
      </c>
      <c r="IW53" s="329">
        <v>0</v>
      </c>
      <c r="IX53" s="329">
        <v>0</v>
      </c>
      <c r="IY53" s="329">
        <v>0</v>
      </c>
      <c r="IZ53" s="329">
        <v>0</v>
      </c>
      <c r="JA53" s="329">
        <v>0</v>
      </c>
      <c r="JB53" s="329">
        <v>0</v>
      </c>
      <c r="JC53" s="329">
        <v>0</v>
      </c>
      <c r="JD53" s="329">
        <v>0</v>
      </c>
      <c r="JE53" s="329">
        <v>0</v>
      </c>
      <c r="JF53" s="329">
        <v>0</v>
      </c>
      <c r="JG53" s="329">
        <v>0</v>
      </c>
      <c r="JH53" s="329">
        <v>0</v>
      </c>
      <c r="JI53" s="330">
        <v>147.94</v>
      </c>
      <c r="JJ53" s="330">
        <v>-19.8</v>
      </c>
      <c r="JK53" s="330">
        <v>-19.829999999999998</v>
      </c>
      <c r="JL53" s="330">
        <v>-18.809999999999999</v>
      </c>
      <c r="JM53" s="330">
        <v>-18.21</v>
      </c>
      <c r="JN53" s="330">
        <v>-17.34</v>
      </c>
      <c r="JO53" s="330">
        <v>-18.64</v>
      </c>
      <c r="JP53" s="330">
        <v>-19.91</v>
      </c>
      <c r="JQ53" s="330">
        <v>-16.86</v>
      </c>
      <c r="JR53" s="330">
        <v>-17.14</v>
      </c>
      <c r="JS53" s="330">
        <v>-21.13</v>
      </c>
      <c r="JT53" s="330">
        <v>-18.809999999999999</v>
      </c>
      <c r="JU53" s="330">
        <v>-16.04</v>
      </c>
      <c r="JV53" s="331"/>
      <c r="JW53" s="331"/>
      <c r="JX53" s="331"/>
      <c r="JY53" s="331"/>
      <c r="JZ53" s="331"/>
      <c r="KA53" s="331"/>
      <c r="KB53" s="331"/>
      <c r="KC53" s="331"/>
      <c r="KD53" s="331"/>
      <c r="KE53" s="331"/>
      <c r="KF53" s="331"/>
      <c r="KG53" s="331"/>
      <c r="KH53" s="331"/>
      <c r="KI53" s="331"/>
      <c r="KJ53" s="331"/>
      <c r="KK53" s="331"/>
      <c r="KL53" s="331"/>
      <c r="KM53" s="331"/>
      <c r="KN53" s="331"/>
      <c r="KO53" s="331"/>
      <c r="KP53" s="331"/>
      <c r="KQ53" s="331"/>
      <c r="KR53" s="331"/>
      <c r="KS53" s="331"/>
      <c r="KT53" s="329">
        <v>0</v>
      </c>
      <c r="KU53" s="329">
        <v>0</v>
      </c>
      <c r="KV53" s="329">
        <v>0</v>
      </c>
      <c r="KW53" s="329">
        <v>0</v>
      </c>
      <c r="KX53" s="329">
        <v>0</v>
      </c>
      <c r="KY53" s="329">
        <v>0</v>
      </c>
      <c r="KZ53" s="329">
        <v>0</v>
      </c>
      <c r="LA53" s="329">
        <v>0</v>
      </c>
      <c r="LB53" s="329">
        <v>0</v>
      </c>
      <c r="LC53" s="329">
        <v>0</v>
      </c>
      <c r="LD53" s="329">
        <v>0</v>
      </c>
      <c r="LE53" s="329">
        <v>0</v>
      </c>
      <c r="LF53" s="329">
        <v>0</v>
      </c>
      <c r="LG53" s="329">
        <v>0</v>
      </c>
      <c r="LH53" s="329">
        <v>0</v>
      </c>
      <c r="LI53" s="329">
        <v>0</v>
      </c>
      <c r="LJ53" s="329">
        <v>0</v>
      </c>
      <c r="LK53" s="329">
        <v>0</v>
      </c>
      <c r="LL53" s="329">
        <v>0</v>
      </c>
      <c r="LM53" s="329">
        <v>0</v>
      </c>
      <c r="LN53" s="329">
        <v>0</v>
      </c>
      <c r="LO53" s="329">
        <v>0</v>
      </c>
      <c r="LP53" s="329">
        <v>0</v>
      </c>
      <c r="LQ53" s="329">
        <v>0</v>
      </c>
      <c r="LR53" s="331"/>
      <c r="LS53" s="331"/>
      <c r="LT53" s="331"/>
      <c r="LU53" s="331"/>
      <c r="LV53" s="331"/>
      <c r="LW53" s="331"/>
      <c r="LX53" s="331"/>
      <c r="LY53" s="331"/>
      <c r="LZ53" s="331"/>
      <c r="MA53" s="331"/>
      <c r="MB53" s="331"/>
      <c r="MC53" s="331"/>
      <c r="MD53" s="331"/>
      <c r="ME53" s="331"/>
      <c r="MF53" s="331"/>
      <c r="MG53" s="331"/>
      <c r="MH53" s="331"/>
      <c r="MI53" s="331"/>
      <c r="MJ53" s="331"/>
      <c r="MK53" s="331"/>
      <c r="ML53" s="331"/>
      <c r="MM53" s="331"/>
      <c r="MN53" s="331"/>
      <c r="MO53" s="331"/>
      <c r="MP53" s="331"/>
      <c r="MQ53" s="331"/>
      <c r="MR53" s="331"/>
      <c r="MS53" s="331"/>
      <c r="MT53" s="331"/>
      <c r="MU53" s="331"/>
      <c r="MV53" s="331"/>
      <c r="MW53" s="331"/>
      <c r="MX53" s="331"/>
      <c r="MY53" s="331"/>
      <c r="MZ53" s="331"/>
      <c r="NA53" s="331"/>
      <c r="NB53" s="331"/>
      <c r="NC53" s="331"/>
      <c r="ND53" s="331"/>
      <c r="NE53" s="331"/>
      <c r="NF53" s="331"/>
      <c r="NG53" s="331"/>
      <c r="NH53" s="331"/>
      <c r="NI53" s="331"/>
      <c r="NJ53" s="331"/>
      <c r="NK53" s="331"/>
      <c r="NL53" s="331"/>
      <c r="NM53" s="331"/>
      <c r="NN53" s="331"/>
      <c r="NO53" s="331"/>
      <c r="NP53" s="331"/>
      <c r="NQ53" s="331"/>
      <c r="NR53" s="331"/>
      <c r="NS53" s="331"/>
      <c r="NT53" s="331"/>
      <c r="NU53" s="331"/>
      <c r="NV53" s="331"/>
      <c r="NW53" s="331"/>
      <c r="NX53" s="331"/>
      <c r="NY53" s="331"/>
      <c r="NZ53" s="331"/>
      <c r="OA53" s="331"/>
      <c r="OB53" s="331"/>
      <c r="OC53" s="331"/>
      <c r="OD53" s="331"/>
      <c r="OE53" s="331"/>
      <c r="OF53" s="331"/>
      <c r="OG53" s="331"/>
      <c r="OH53" s="331"/>
      <c r="OI53" s="331"/>
      <c r="OJ53" s="331"/>
      <c r="OK53" s="331"/>
      <c r="OL53" s="332">
        <f t="shared" si="1"/>
        <v>166572.66999999995</v>
      </c>
    </row>
    <row r="54" spans="1:402" ht="13.5" thickBot="1">
      <c r="A54" s="320" t="s">
        <v>404</v>
      </c>
      <c r="B54" s="328" t="s">
        <v>441</v>
      </c>
      <c r="C54" s="328" t="s">
        <v>206</v>
      </c>
      <c r="D54" s="328" t="s">
        <v>459</v>
      </c>
      <c r="E54" s="329">
        <v>0</v>
      </c>
      <c r="F54" s="329">
        <v>0</v>
      </c>
      <c r="G54" s="329">
        <v>0</v>
      </c>
      <c r="H54" s="329">
        <v>0</v>
      </c>
      <c r="I54" s="329">
        <v>0</v>
      </c>
      <c r="J54" s="329">
        <v>0</v>
      </c>
      <c r="K54" s="329">
        <v>0</v>
      </c>
      <c r="L54" s="329">
        <v>0</v>
      </c>
      <c r="M54" s="329">
        <v>0</v>
      </c>
      <c r="N54" s="329">
        <v>0</v>
      </c>
      <c r="O54" s="329">
        <v>0</v>
      </c>
      <c r="P54" s="329">
        <v>0</v>
      </c>
      <c r="Q54" s="329">
        <v>0</v>
      </c>
      <c r="R54" s="329">
        <v>0</v>
      </c>
      <c r="S54" s="329">
        <v>0</v>
      </c>
      <c r="T54" s="329">
        <v>0</v>
      </c>
      <c r="U54" s="329">
        <v>0</v>
      </c>
      <c r="V54" s="329">
        <v>0</v>
      </c>
      <c r="W54" s="329">
        <v>0</v>
      </c>
      <c r="X54" s="329">
        <v>0</v>
      </c>
      <c r="Y54" s="329">
        <v>0</v>
      </c>
      <c r="Z54" s="329">
        <v>0</v>
      </c>
      <c r="AA54" s="329">
        <v>0</v>
      </c>
      <c r="AB54" s="329">
        <v>0</v>
      </c>
      <c r="AC54" s="329">
        <v>0</v>
      </c>
      <c r="AD54" s="329">
        <v>0</v>
      </c>
      <c r="AE54" s="329">
        <v>0</v>
      </c>
      <c r="AF54" s="329">
        <v>0</v>
      </c>
      <c r="AG54" s="329">
        <v>0</v>
      </c>
      <c r="AH54" s="329">
        <v>0</v>
      </c>
      <c r="AI54" s="329">
        <v>0</v>
      </c>
      <c r="AJ54" s="329">
        <v>0</v>
      </c>
      <c r="AK54" s="329">
        <v>0</v>
      </c>
      <c r="AL54" s="329">
        <v>0</v>
      </c>
      <c r="AM54" s="329">
        <v>0</v>
      </c>
      <c r="AN54" s="329">
        <v>0</v>
      </c>
      <c r="AO54" s="330">
        <v>24706.57</v>
      </c>
      <c r="AP54" s="330">
        <v>21793.74</v>
      </c>
      <c r="AQ54" s="330">
        <v>21793.74</v>
      </c>
      <c r="AR54" s="330">
        <v>26200.33</v>
      </c>
      <c r="AS54" s="330">
        <v>25453.45</v>
      </c>
      <c r="AT54" s="330">
        <v>21136.49</v>
      </c>
      <c r="AU54" s="330">
        <v>20987.11</v>
      </c>
      <c r="AV54" s="330">
        <v>20987.11</v>
      </c>
      <c r="AW54" s="330">
        <v>20987.11</v>
      </c>
      <c r="AX54" s="330">
        <v>24781.26</v>
      </c>
      <c r="AY54" s="330">
        <v>20987.11</v>
      </c>
      <c r="AZ54" s="330">
        <v>20987.11</v>
      </c>
      <c r="BA54" s="331"/>
      <c r="BB54" s="331"/>
      <c r="BC54" s="331"/>
      <c r="BD54" s="331"/>
      <c r="BE54" s="331"/>
      <c r="BF54" s="331"/>
      <c r="BG54" s="331"/>
      <c r="BH54" s="331"/>
      <c r="BI54" s="331"/>
      <c r="BJ54" s="331"/>
      <c r="BK54" s="331"/>
      <c r="BL54" s="331"/>
      <c r="BM54" s="329">
        <v>0</v>
      </c>
      <c r="BN54" s="329">
        <v>0</v>
      </c>
      <c r="BO54" s="329">
        <v>0</v>
      </c>
      <c r="BP54" s="329">
        <v>0</v>
      </c>
      <c r="BQ54" s="329">
        <v>0</v>
      </c>
      <c r="BR54" s="329">
        <v>0</v>
      </c>
      <c r="BS54" s="329">
        <v>0</v>
      </c>
      <c r="BT54" s="329">
        <v>0</v>
      </c>
      <c r="BU54" s="329">
        <v>0</v>
      </c>
      <c r="BV54" s="329">
        <v>0</v>
      </c>
      <c r="BW54" s="329">
        <v>0</v>
      </c>
      <c r="BX54" s="329">
        <v>0</v>
      </c>
      <c r="BY54" s="329">
        <v>0</v>
      </c>
      <c r="BZ54" s="329">
        <v>0</v>
      </c>
      <c r="CA54" s="329">
        <v>0</v>
      </c>
      <c r="CB54" s="329">
        <v>0</v>
      </c>
      <c r="CC54" s="329">
        <v>0</v>
      </c>
      <c r="CD54" s="329">
        <v>0</v>
      </c>
      <c r="CE54" s="329">
        <v>0</v>
      </c>
      <c r="CF54" s="329">
        <v>0</v>
      </c>
      <c r="CG54" s="329">
        <v>0</v>
      </c>
      <c r="CH54" s="329">
        <v>0</v>
      </c>
      <c r="CI54" s="329">
        <v>0</v>
      </c>
      <c r="CJ54" s="329">
        <v>0</v>
      </c>
      <c r="CK54" s="331"/>
      <c r="CL54" s="331"/>
      <c r="CM54" s="331"/>
      <c r="CN54" s="331"/>
      <c r="CO54" s="331"/>
      <c r="CP54" s="331"/>
      <c r="CQ54" s="331"/>
      <c r="CR54" s="331"/>
      <c r="CS54" s="331"/>
      <c r="CT54" s="331"/>
      <c r="CU54" s="331"/>
      <c r="CV54" s="331"/>
      <c r="CW54" s="329">
        <v>0</v>
      </c>
      <c r="CX54" s="329">
        <v>0</v>
      </c>
      <c r="CY54" s="329">
        <v>0</v>
      </c>
      <c r="CZ54" s="329">
        <v>0</v>
      </c>
      <c r="DA54" s="329">
        <v>0</v>
      </c>
      <c r="DB54" s="329">
        <v>0</v>
      </c>
      <c r="DC54" s="329">
        <v>0</v>
      </c>
      <c r="DD54" s="329">
        <v>0</v>
      </c>
      <c r="DE54" s="329">
        <v>0</v>
      </c>
      <c r="DF54" s="329">
        <v>0</v>
      </c>
      <c r="DG54" s="329">
        <v>0</v>
      </c>
      <c r="DH54" s="329">
        <v>0</v>
      </c>
      <c r="DI54" s="330">
        <v>1759.5</v>
      </c>
      <c r="DJ54" s="330">
        <v>1550.92</v>
      </c>
      <c r="DK54" s="330">
        <v>1550.92</v>
      </c>
      <c r="DL54" s="330">
        <v>1866.46</v>
      </c>
      <c r="DM54" s="330">
        <v>1812.98</v>
      </c>
      <c r="DN54" s="330">
        <v>1503.86</v>
      </c>
      <c r="DO54" s="330">
        <v>1493.17</v>
      </c>
      <c r="DP54" s="330">
        <v>1493.17</v>
      </c>
      <c r="DQ54" s="330">
        <v>1493.17</v>
      </c>
      <c r="DR54" s="330">
        <v>1764.85</v>
      </c>
      <c r="DS54" s="330">
        <v>1493.17</v>
      </c>
      <c r="DT54" s="330">
        <v>1674.4</v>
      </c>
      <c r="DU54" s="330">
        <v>344.12</v>
      </c>
      <c r="DV54" s="330">
        <v>303.33</v>
      </c>
      <c r="DW54" s="330">
        <v>303.33</v>
      </c>
      <c r="DX54" s="330">
        <v>365.04</v>
      </c>
      <c r="DY54" s="330">
        <v>354.58</v>
      </c>
      <c r="DZ54" s="330">
        <v>294.13</v>
      </c>
      <c r="EA54" s="330">
        <v>292.02999999999997</v>
      </c>
      <c r="EB54" s="330">
        <v>292.02999999999997</v>
      </c>
      <c r="EC54" s="330">
        <v>292.02999999999997</v>
      </c>
      <c r="ED54" s="330">
        <v>345.17</v>
      </c>
      <c r="EE54" s="330">
        <v>292.02999999999997</v>
      </c>
      <c r="EF54" s="330">
        <v>292.02999999999997</v>
      </c>
      <c r="EG54" s="329">
        <v>0</v>
      </c>
      <c r="EH54" s="329">
        <v>0</v>
      </c>
      <c r="EI54" s="329">
        <v>0</v>
      </c>
      <c r="EJ54" s="329">
        <v>0</v>
      </c>
      <c r="EK54" s="329">
        <v>0</v>
      </c>
      <c r="EL54" s="329">
        <v>0</v>
      </c>
      <c r="EM54" s="329">
        <v>0</v>
      </c>
      <c r="EN54" s="329">
        <v>0</v>
      </c>
      <c r="EO54" s="329">
        <v>0</v>
      </c>
      <c r="EP54" s="329">
        <v>0</v>
      </c>
      <c r="EQ54" s="329">
        <v>0</v>
      </c>
      <c r="ER54" s="329">
        <v>0</v>
      </c>
      <c r="ES54" s="329">
        <v>0</v>
      </c>
      <c r="ET54" s="329">
        <v>0</v>
      </c>
      <c r="EU54" s="329">
        <v>0</v>
      </c>
      <c r="EV54" s="329">
        <v>0</v>
      </c>
      <c r="EW54" s="329">
        <v>0</v>
      </c>
      <c r="EX54" s="329">
        <v>0</v>
      </c>
      <c r="EY54" s="329">
        <v>0</v>
      </c>
      <c r="EZ54" s="329">
        <v>0</v>
      </c>
      <c r="FA54" s="329">
        <v>0</v>
      </c>
      <c r="FB54" s="329">
        <v>0</v>
      </c>
      <c r="FC54" s="329">
        <v>0</v>
      </c>
      <c r="FD54" s="329">
        <v>0</v>
      </c>
      <c r="FE54" s="331"/>
      <c r="FF54" s="331"/>
      <c r="FG54" s="331"/>
      <c r="FH54" s="331"/>
      <c r="FI54" s="331"/>
      <c r="FJ54" s="331"/>
      <c r="FK54" s="331"/>
      <c r="FL54" s="331"/>
      <c r="FM54" s="331"/>
      <c r="FN54" s="331"/>
      <c r="FO54" s="331"/>
      <c r="FP54" s="331"/>
      <c r="FQ54" s="329">
        <v>0</v>
      </c>
      <c r="FR54" s="329">
        <v>0</v>
      </c>
      <c r="FS54" s="329">
        <v>0</v>
      </c>
      <c r="FT54" s="329">
        <v>0</v>
      </c>
      <c r="FU54" s="329">
        <v>0</v>
      </c>
      <c r="FV54" s="329">
        <v>0</v>
      </c>
      <c r="FW54" s="329">
        <v>0</v>
      </c>
      <c r="FX54" s="329">
        <v>0</v>
      </c>
      <c r="FY54" s="329">
        <v>0</v>
      </c>
      <c r="FZ54" s="329">
        <v>0</v>
      </c>
      <c r="GA54" s="329">
        <v>0</v>
      </c>
      <c r="GB54" s="329">
        <v>0</v>
      </c>
      <c r="GC54" s="330">
        <v>49377.84</v>
      </c>
      <c r="GD54" s="330">
        <v>48861.72</v>
      </c>
      <c r="GE54" s="330">
        <v>48861.72</v>
      </c>
      <c r="GF54" s="330">
        <v>5264.07</v>
      </c>
      <c r="GG54" s="330">
        <v>5131.72</v>
      </c>
      <c r="GH54" s="330">
        <v>4300.33</v>
      </c>
      <c r="GI54" s="330">
        <v>4273.8599999999997</v>
      </c>
      <c r="GJ54" s="330">
        <v>4273.8599999999997</v>
      </c>
      <c r="GK54" s="330">
        <v>4273.8599999999997</v>
      </c>
      <c r="GL54" s="330">
        <v>4946.1499999999996</v>
      </c>
      <c r="GM54" s="330">
        <v>4273.8599999999997</v>
      </c>
      <c r="GN54" s="330">
        <v>5685.52</v>
      </c>
      <c r="GO54" s="330">
        <v>6272.45</v>
      </c>
      <c r="GP54" s="330">
        <v>5528.91</v>
      </c>
      <c r="GQ54" s="330">
        <v>5528.91</v>
      </c>
      <c r="GR54" s="330">
        <v>6653.75</v>
      </c>
      <c r="GS54" s="330">
        <v>6463.1</v>
      </c>
      <c r="GT54" s="330">
        <v>5236.2700000000004</v>
      </c>
      <c r="GU54" s="330">
        <v>5199.03</v>
      </c>
      <c r="GV54" s="330">
        <v>5199.03</v>
      </c>
      <c r="GW54" s="330">
        <v>5199.03</v>
      </c>
      <c r="GX54" s="330">
        <v>6144.99</v>
      </c>
      <c r="GY54" s="330">
        <v>5199.03</v>
      </c>
      <c r="GZ54" s="330">
        <v>5199.03</v>
      </c>
      <c r="HA54" s="330">
        <v>156.06</v>
      </c>
      <c r="HB54" s="330">
        <v>9.18</v>
      </c>
      <c r="HC54" s="330">
        <v>3.06</v>
      </c>
      <c r="HD54" s="330">
        <v>159.12</v>
      </c>
      <c r="HE54" s="330">
        <v>128.52000000000001</v>
      </c>
      <c r="HF54" s="330">
        <v>16.059999999999999</v>
      </c>
      <c r="HG54" s="330">
        <v>10.7</v>
      </c>
      <c r="HH54" s="329">
        <v>0</v>
      </c>
      <c r="HI54" s="329">
        <v>0</v>
      </c>
      <c r="HJ54" s="330">
        <v>165.91</v>
      </c>
      <c r="HK54" s="329">
        <v>0</v>
      </c>
      <c r="HL54" s="330">
        <v>5.35</v>
      </c>
      <c r="HM54" s="329">
        <v>0</v>
      </c>
      <c r="HN54" s="329">
        <v>0</v>
      </c>
      <c r="HO54" s="329">
        <v>0</v>
      </c>
      <c r="HP54" s="329">
        <v>0</v>
      </c>
      <c r="HQ54" s="329">
        <v>0</v>
      </c>
      <c r="HR54" s="329">
        <v>0</v>
      </c>
      <c r="HS54" s="329">
        <v>0</v>
      </c>
      <c r="HT54" s="329">
        <v>0</v>
      </c>
      <c r="HU54" s="329">
        <v>0</v>
      </c>
      <c r="HV54" s="329">
        <v>0</v>
      </c>
      <c r="HW54" s="329">
        <v>0</v>
      </c>
      <c r="HX54" s="329">
        <v>0</v>
      </c>
      <c r="HY54" s="331"/>
      <c r="HZ54" s="331"/>
      <c r="IA54" s="331"/>
      <c r="IB54" s="331"/>
      <c r="IC54" s="331"/>
      <c r="ID54" s="331"/>
      <c r="IE54" s="331"/>
      <c r="IF54" s="331"/>
      <c r="IG54" s="331"/>
      <c r="IH54" s="331"/>
      <c r="II54" s="331"/>
      <c r="IJ54" s="331"/>
      <c r="IK54" s="329">
        <v>0</v>
      </c>
      <c r="IL54" s="329">
        <v>0</v>
      </c>
      <c r="IM54" s="329">
        <v>0</v>
      </c>
      <c r="IN54" s="329">
        <v>0</v>
      </c>
      <c r="IO54" s="329">
        <v>0</v>
      </c>
      <c r="IP54" s="329">
        <v>0</v>
      </c>
      <c r="IQ54" s="329">
        <v>0</v>
      </c>
      <c r="IR54" s="329">
        <v>0</v>
      </c>
      <c r="IS54" s="329">
        <v>0</v>
      </c>
      <c r="IT54" s="329">
        <v>0</v>
      </c>
      <c r="IU54" s="329">
        <v>0</v>
      </c>
      <c r="IV54" s="329">
        <v>0</v>
      </c>
      <c r="IW54" s="329">
        <v>0</v>
      </c>
      <c r="IX54" s="329">
        <v>0</v>
      </c>
      <c r="IY54" s="329">
        <v>0</v>
      </c>
      <c r="IZ54" s="329">
        <v>0</v>
      </c>
      <c r="JA54" s="329">
        <v>0</v>
      </c>
      <c r="JB54" s="329">
        <v>0</v>
      </c>
      <c r="JC54" s="329">
        <v>0</v>
      </c>
      <c r="JD54" s="329">
        <v>0</v>
      </c>
      <c r="JE54" s="329">
        <v>0</v>
      </c>
      <c r="JF54" s="329">
        <v>0</v>
      </c>
      <c r="JG54" s="329">
        <v>0</v>
      </c>
      <c r="JH54" s="329">
        <v>0</v>
      </c>
      <c r="JI54" s="330">
        <v>796.73</v>
      </c>
      <c r="JJ54" s="330">
        <v>-116.31</v>
      </c>
      <c r="JK54" s="330">
        <v>-102.52</v>
      </c>
      <c r="JL54" s="330">
        <v>-102.52</v>
      </c>
      <c r="JM54" s="330">
        <v>-123.38</v>
      </c>
      <c r="JN54" s="330">
        <v>-119.84</v>
      </c>
      <c r="JO54" s="330">
        <v>-99.41</v>
      </c>
      <c r="JP54" s="330">
        <v>-98.7</v>
      </c>
      <c r="JQ54" s="330">
        <v>-98.7</v>
      </c>
      <c r="JR54" s="330">
        <v>-98.7</v>
      </c>
      <c r="JS54" s="330">
        <v>-116.66</v>
      </c>
      <c r="JT54" s="330">
        <v>-98.7</v>
      </c>
      <c r="JU54" s="330">
        <v>-86.37</v>
      </c>
      <c r="JV54" s="331"/>
      <c r="JW54" s="331"/>
      <c r="JX54" s="331"/>
      <c r="JY54" s="331"/>
      <c r="JZ54" s="331"/>
      <c r="KA54" s="331"/>
      <c r="KB54" s="331"/>
      <c r="KC54" s="331"/>
      <c r="KD54" s="331"/>
      <c r="KE54" s="331"/>
      <c r="KF54" s="331"/>
      <c r="KG54" s="331"/>
      <c r="KH54" s="331"/>
      <c r="KI54" s="331"/>
      <c r="KJ54" s="331"/>
      <c r="KK54" s="331"/>
      <c r="KL54" s="331"/>
      <c r="KM54" s="331"/>
      <c r="KN54" s="331"/>
      <c r="KO54" s="331"/>
      <c r="KP54" s="331"/>
      <c r="KQ54" s="331"/>
      <c r="KR54" s="331"/>
      <c r="KS54" s="331"/>
      <c r="KT54" s="329">
        <v>0</v>
      </c>
      <c r="KU54" s="329">
        <v>0</v>
      </c>
      <c r="KV54" s="329">
        <v>0</v>
      </c>
      <c r="KW54" s="329">
        <v>0</v>
      </c>
      <c r="KX54" s="329">
        <v>0</v>
      </c>
      <c r="KY54" s="329">
        <v>0</v>
      </c>
      <c r="KZ54" s="329">
        <v>0</v>
      </c>
      <c r="LA54" s="329">
        <v>0</v>
      </c>
      <c r="LB54" s="329">
        <v>0</v>
      </c>
      <c r="LC54" s="329">
        <v>0</v>
      </c>
      <c r="LD54" s="329">
        <v>0</v>
      </c>
      <c r="LE54" s="329">
        <v>0</v>
      </c>
      <c r="LF54" s="329">
        <v>0</v>
      </c>
      <c r="LG54" s="329">
        <v>0</v>
      </c>
      <c r="LH54" s="329">
        <v>0</v>
      </c>
      <c r="LI54" s="329">
        <v>0</v>
      </c>
      <c r="LJ54" s="329">
        <v>0</v>
      </c>
      <c r="LK54" s="329">
        <v>0</v>
      </c>
      <c r="LL54" s="329">
        <v>0</v>
      </c>
      <c r="LM54" s="329">
        <v>0</v>
      </c>
      <c r="LN54" s="329">
        <v>0</v>
      </c>
      <c r="LO54" s="329">
        <v>0</v>
      </c>
      <c r="LP54" s="329">
        <v>0</v>
      </c>
      <c r="LQ54" s="329">
        <v>0</v>
      </c>
      <c r="LR54" s="331"/>
      <c r="LS54" s="331"/>
      <c r="LT54" s="331"/>
      <c r="LU54" s="331"/>
      <c r="LV54" s="331"/>
      <c r="LW54" s="331"/>
      <c r="LX54" s="331"/>
      <c r="LY54" s="331"/>
      <c r="LZ54" s="331"/>
      <c r="MA54" s="331"/>
      <c r="MB54" s="331"/>
      <c r="MC54" s="331"/>
      <c r="MD54" s="331"/>
      <c r="ME54" s="331"/>
      <c r="MF54" s="331"/>
      <c r="MG54" s="331"/>
      <c r="MH54" s="331"/>
      <c r="MI54" s="331"/>
      <c r="MJ54" s="331"/>
      <c r="MK54" s="331"/>
      <c r="ML54" s="331"/>
      <c r="MM54" s="331"/>
      <c r="MN54" s="331"/>
      <c r="MO54" s="331"/>
      <c r="MP54" s="331"/>
      <c r="MQ54" s="331"/>
      <c r="MR54" s="331"/>
      <c r="MS54" s="331"/>
      <c r="MT54" s="331"/>
      <c r="MU54" s="331"/>
      <c r="MV54" s="331"/>
      <c r="MW54" s="331"/>
      <c r="MX54" s="331"/>
      <c r="MY54" s="331"/>
      <c r="MZ54" s="331"/>
      <c r="NA54" s="331"/>
      <c r="NB54" s="331"/>
      <c r="NC54" s="331"/>
      <c r="ND54" s="331"/>
      <c r="NE54" s="331"/>
      <c r="NF54" s="331"/>
      <c r="NG54" s="331"/>
      <c r="NH54" s="331"/>
      <c r="NI54" s="331"/>
      <c r="NJ54" s="331"/>
      <c r="NK54" s="331"/>
      <c r="NL54" s="331"/>
      <c r="NM54" s="331"/>
      <c r="NN54" s="331"/>
      <c r="NO54" s="331"/>
      <c r="NP54" s="331"/>
      <c r="NQ54" s="331"/>
      <c r="NR54" s="331"/>
      <c r="NS54" s="331"/>
      <c r="NT54" s="331"/>
      <c r="NU54" s="331"/>
      <c r="NV54" s="331"/>
      <c r="NW54" s="331"/>
      <c r="NX54" s="331"/>
      <c r="NY54" s="331"/>
      <c r="NZ54" s="331"/>
      <c r="OA54" s="331"/>
      <c r="OB54" s="331"/>
      <c r="OC54" s="331"/>
      <c r="OD54" s="331"/>
      <c r="OE54" s="331"/>
      <c r="OF54" s="331"/>
      <c r="OG54" s="331"/>
      <c r="OH54" s="331"/>
      <c r="OI54" s="331"/>
      <c r="OJ54" s="331"/>
      <c r="OK54" s="331"/>
      <c r="OL54" s="332">
        <f t="shared" si="1"/>
        <v>551564.4700000002</v>
      </c>
    </row>
    <row r="55" spans="1:402" ht="13.5" thickBot="1">
      <c r="A55" s="320" t="s">
        <v>404</v>
      </c>
      <c r="B55" s="328" t="s">
        <v>441</v>
      </c>
      <c r="C55" s="328" t="s">
        <v>206</v>
      </c>
      <c r="D55" s="328" t="s">
        <v>460</v>
      </c>
      <c r="E55" s="329">
        <v>0</v>
      </c>
      <c r="F55" s="329">
        <v>0</v>
      </c>
      <c r="G55" s="329">
        <v>0</v>
      </c>
      <c r="H55" s="329">
        <v>0</v>
      </c>
      <c r="I55" s="329">
        <v>0</v>
      </c>
      <c r="J55" s="329">
        <v>0</v>
      </c>
      <c r="K55" s="329">
        <v>0</v>
      </c>
      <c r="L55" s="329">
        <v>0</v>
      </c>
      <c r="M55" s="329">
        <v>0</v>
      </c>
      <c r="N55" s="329">
        <v>0</v>
      </c>
      <c r="O55" s="329">
        <v>0</v>
      </c>
      <c r="P55" s="329">
        <v>0</v>
      </c>
      <c r="Q55" s="329">
        <v>0</v>
      </c>
      <c r="R55" s="329">
        <v>0</v>
      </c>
      <c r="S55" s="329">
        <v>0</v>
      </c>
      <c r="T55" s="329">
        <v>0</v>
      </c>
      <c r="U55" s="329">
        <v>0</v>
      </c>
      <c r="V55" s="329">
        <v>0</v>
      </c>
      <c r="W55" s="329">
        <v>0</v>
      </c>
      <c r="X55" s="329">
        <v>0</v>
      </c>
      <c r="Y55" s="329">
        <v>0</v>
      </c>
      <c r="Z55" s="329">
        <v>0</v>
      </c>
      <c r="AA55" s="329">
        <v>0</v>
      </c>
      <c r="AB55" s="329">
        <v>0</v>
      </c>
      <c r="AC55" s="329">
        <v>0</v>
      </c>
      <c r="AD55" s="329">
        <v>0</v>
      </c>
      <c r="AE55" s="329">
        <v>0</v>
      </c>
      <c r="AF55" s="329">
        <v>0</v>
      </c>
      <c r="AG55" s="329">
        <v>0</v>
      </c>
      <c r="AH55" s="329">
        <v>0</v>
      </c>
      <c r="AI55" s="329">
        <v>0</v>
      </c>
      <c r="AJ55" s="329">
        <v>0</v>
      </c>
      <c r="AK55" s="329">
        <v>0</v>
      </c>
      <c r="AL55" s="329">
        <v>0</v>
      </c>
      <c r="AM55" s="329">
        <v>0</v>
      </c>
      <c r="AN55" s="329">
        <v>0</v>
      </c>
      <c r="AO55" s="330">
        <v>1089.92</v>
      </c>
      <c r="AP55" s="330">
        <v>2233.66</v>
      </c>
      <c r="AQ55" s="330">
        <v>1014.29</v>
      </c>
      <c r="AR55" s="330">
        <v>1233.3800000000001</v>
      </c>
      <c r="AS55" s="330">
        <v>1255.78</v>
      </c>
      <c r="AT55" s="330">
        <v>1082.1400000000001</v>
      </c>
      <c r="AU55" s="330">
        <v>1031.4100000000001</v>
      </c>
      <c r="AV55" s="330">
        <v>1241.78</v>
      </c>
      <c r="AW55" s="330">
        <v>1065.33</v>
      </c>
      <c r="AX55" s="330">
        <v>1031.4100000000001</v>
      </c>
      <c r="AY55" s="330">
        <v>1031.4100000000001</v>
      </c>
      <c r="AZ55" s="330">
        <v>1031.4100000000001</v>
      </c>
      <c r="BA55" s="331"/>
      <c r="BB55" s="331"/>
      <c r="BC55" s="331"/>
      <c r="BD55" s="331"/>
      <c r="BE55" s="331"/>
      <c r="BF55" s="331"/>
      <c r="BG55" s="331"/>
      <c r="BH55" s="331"/>
      <c r="BI55" s="331"/>
      <c r="BJ55" s="331"/>
      <c r="BK55" s="331"/>
      <c r="BL55" s="331"/>
      <c r="BM55" s="329">
        <v>0</v>
      </c>
      <c r="BN55" s="329">
        <v>0</v>
      </c>
      <c r="BO55" s="329">
        <v>0</v>
      </c>
      <c r="BP55" s="329">
        <v>0</v>
      </c>
      <c r="BQ55" s="329">
        <v>0</v>
      </c>
      <c r="BR55" s="329">
        <v>0</v>
      </c>
      <c r="BS55" s="329">
        <v>0</v>
      </c>
      <c r="BT55" s="329">
        <v>0</v>
      </c>
      <c r="BU55" s="329">
        <v>0</v>
      </c>
      <c r="BV55" s="329">
        <v>0</v>
      </c>
      <c r="BW55" s="329">
        <v>0</v>
      </c>
      <c r="BX55" s="329">
        <v>0</v>
      </c>
      <c r="BY55" s="329">
        <v>0</v>
      </c>
      <c r="BZ55" s="329">
        <v>0</v>
      </c>
      <c r="CA55" s="329">
        <v>0</v>
      </c>
      <c r="CB55" s="329">
        <v>0</v>
      </c>
      <c r="CC55" s="329">
        <v>0</v>
      </c>
      <c r="CD55" s="329">
        <v>0</v>
      </c>
      <c r="CE55" s="329">
        <v>0</v>
      </c>
      <c r="CF55" s="329">
        <v>0</v>
      </c>
      <c r="CG55" s="329">
        <v>0</v>
      </c>
      <c r="CH55" s="329">
        <v>0</v>
      </c>
      <c r="CI55" s="329">
        <v>0</v>
      </c>
      <c r="CJ55" s="329">
        <v>0</v>
      </c>
      <c r="CK55" s="331"/>
      <c r="CL55" s="331"/>
      <c r="CM55" s="331"/>
      <c r="CN55" s="331"/>
      <c r="CO55" s="331"/>
      <c r="CP55" s="331"/>
      <c r="CQ55" s="331"/>
      <c r="CR55" s="331"/>
      <c r="CS55" s="331"/>
      <c r="CT55" s="331"/>
      <c r="CU55" s="331"/>
      <c r="CV55" s="331"/>
      <c r="CW55" s="329">
        <v>0</v>
      </c>
      <c r="CX55" s="329">
        <v>0</v>
      </c>
      <c r="CY55" s="329">
        <v>0</v>
      </c>
      <c r="CZ55" s="329">
        <v>0</v>
      </c>
      <c r="DA55" s="329">
        <v>0</v>
      </c>
      <c r="DB55" s="329">
        <v>0</v>
      </c>
      <c r="DC55" s="329">
        <v>0</v>
      </c>
      <c r="DD55" s="329">
        <v>0</v>
      </c>
      <c r="DE55" s="329">
        <v>0</v>
      </c>
      <c r="DF55" s="329">
        <v>0</v>
      </c>
      <c r="DG55" s="329">
        <v>0</v>
      </c>
      <c r="DH55" s="329">
        <v>0</v>
      </c>
      <c r="DI55" s="330">
        <v>68.430000000000007</v>
      </c>
      <c r="DJ55" s="330">
        <v>140.72</v>
      </c>
      <c r="DK55" s="330">
        <v>63.02</v>
      </c>
      <c r="DL55" s="330">
        <v>78.7</v>
      </c>
      <c r="DM55" s="330">
        <v>80.31</v>
      </c>
      <c r="DN55" s="330">
        <v>67.88</v>
      </c>
      <c r="DO55" s="330">
        <v>64.239999999999995</v>
      </c>
      <c r="DP55" s="330">
        <v>79.31</v>
      </c>
      <c r="DQ55" s="330">
        <v>66.67</v>
      </c>
      <c r="DR55" s="330">
        <v>64.239999999999995</v>
      </c>
      <c r="DS55" s="330">
        <v>64.239999999999995</v>
      </c>
      <c r="DT55" s="330">
        <v>72.040000000000006</v>
      </c>
      <c r="DU55" s="330">
        <v>13.38</v>
      </c>
      <c r="DV55" s="330">
        <v>27.53</v>
      </c>
      <c r="DW55" s="330">
        <v>12.32</v>
      </c>
      <c r="DX55" s="330">
        <v>15.39</v>
      </c>
      <c r="DY55" s="330">
        <v>15.71</v>
      </c>
      <c r="DZ55" s="330">
        <v>13.28</v>
      </c>
      <c r="EA55" s="330">
        <v>12.56</v>
      </c>
      <c r="EB55" s="330">
        <v>15.51</v>
      </c>
      <c r="EC55" s="330">
        <v>13.04</v>
      </c>
      <c r="ED55" s="330">
        <v>12.56</v>
      </c>
      <c r="EE55" s="330">
        <v>12.56</v>
      </c>
      <c r="EF55" s="330">
        <v>12.56</v>
      </c>
      <c r="EG55" s="329">
        <v>0</v>
      </c>
      <c r="EH55" s="329">
        <v>0</v>
      </c>
      <c r="EI55" s="329">
        <v>0</v>
      </c>
      <c r="EJ55" s="329">
        <v>0</v>
      </c>
      <c r="EK55" s="329">
        <v>0</v>
      </c>
      <c r="EL55" s="329">
        <v>0</v>
      </c>
      <c r="EM55" s="329">
        <v>0</v>
      </c>
      <c r="EN55" s="329">
        <v>0</v>
      </c>
      <c r="EO55" s="329">
        <v>0</v>
      </c>
      <c r="EP55" s="329">
        <v>0</v>
      </c>
      <c r="EQ55" s="329">
        <v>0</v>
      </c>
      <c r="ER55" s="329">
        <v>0</v>
      </c>
      <c r="ES55" s="329">
        <v>0</v>
      </c>
      <c r="ET55" s="329">
        <v>0</v>
      </c>
      <c r="EU55" s="329">
        <v>0</v>
      </c>
      <c r="EV55" s="329">
        <v>0</v>
      </c>
      <c r="EW55" s="329">
        <v>0</v>
      </c>
      <c r="EX55" s="329">
        <v>0</v>
      </c>
      <c r="EY55" s="329">
        <v>0</v>
      </c>
      <c r="EZ55" s="329">
        <v>0</v>
      </c>
      <c r="FA55" s="329">
        <v>0</v>
      </c>
      <c r="FB55" s="329">
        <v>0</v>
      </c>
      <c r="FC55" s="329">
        <v>0</v>
      </c>
      <c r="FD55" s="329">
        <v>0</v>
      </c>
      <c r="FE55" s="331"/>
      <c r="FF55" s="331"/>
      <c r="FG55" s="331"/>
      <c r="FH55" s="331"/>
      <c r="FI55" s="331"/>
      <c r="FJ55" s="331"/>
      <c r="FK55" s="331"/>
      <c r="FL55" s="331"/>
      <c r="FM55" s="331"/>
      <c r="FN55" s="331"/>
      <c r="FO55" s="331"/>
      <c r="FP55" s="331"/>
      <c r="FQ55" s="329">
        <v>0</v>
      </c>
      <c r="FR55" s="329">
        <v>0</v>
      </c>
      <c r="FS55" s="329">
        <v>0</v>
      </c>
      <c r="FT55" s="329">
        <v>0</v>
      </c>
      <c r="FU55" s="329">
        <v>0</v>
      </c>
      <c r="FV55" s="329">
        <v>0</v>
      </c>
      <c r="FW55" s="329">
        <v>0</v>
      </c>
      <c r="FX55" s="329">
        <v>0</v>
      </c>
      <c r="FY55" s="329">
        <v>0</v>
      </c>
      <c r="FZ55" s="329">
        <v>0</v>
      </c>
      <c r="GA55" s="329">
        <v>0</v>
      </c>
      <c r="GB55" s="329">
        <v>0</v>
      </c>
      <c r="GC55" s="330">
        <v>290.31</v>
      </c>
      <c r="GD55" s="330">
        <v>590.16</v>
      </c>
      <c r="GE55" s="330">
        <v>276.91000000000003</v>
      </c>
      <c r="GF55" s="330">
        <v>247.47</v>
      </c>
      <c r="GG55" s="330">
        <v>251.44</v>
      </c>
      <c r="GH55" s="330">
        <v>215.24</v>
      </c>
      <c r="GI55" s="330">
        <v>206.25</v>
      </c>
      <c r="GJ55" s="330">
        <v>243.53</v>
      </c>
      <c r="GK55" s="330">
        <v>212.26</v>
      </c>
      <c r="GL55" s="330">
        <v>206.25</v>
      </c>
      <c r="GM55" s="330">
        <v>206.25</v>
      </c>
      <c r="GN55" s="330">
        <v>265.89999999999998</v>
      </c>
      <c r="GO55" s="330">
        <v>243.96</v>
      </c>
      <c r="GP55" s="330">
        <v>501.66</v>
      </c>
      <c r="GQ55" s="330">
        <v>224.65</v>
      </c>
      <c r="GR55" s="330">
        <v>280.58</v>
      </c>
      <c r="GS55" s="330">
        <v>286.3</v>
      </c>
      <c r="GT55" s="330">
        <v>236.33</v>
      </c>
      <c r="GU55" s="330">
        <v>223.69</v>
      </c>
      <c r="GV55" s="330">
        <v>276.14</v>
      </c>
      <c r="GW55" s="330">
        <v>232.14</v>
      </c>
      <c r="GX55" s="330">
        <v>223.69</v>
      </c>
      <c r="GY55" s="330">
        <v>223.69</v>
      </c>
      <c r="GZ55" s="330">
        <v>223.69</v>
      </c>
      <c r="HA55" s="330">
        <v>5.37</v>
      </c>
      <c r="HB55" s="330">
        <v>8.82</v>
      </c>
      <c r="HC55" s="330">
        <v>1.42</v>
      </c>
      <c r="HD55" s="330">
        <v>5.23</v>
      </c>
      <c r="HE55" s="330">
        <v>6.56</v>
      </c>
      <c r="HF55" s="330">
        <v>10.039999999999999</v>
      </c>
      <c r="HG55" s="330">
        <v>2.09</v>
      </c>
      <c r="HH55" s="330">
        <v>4.5</v>
      </c>
      <c r="HI55" s="330">
        <v>3.05</v>
      </c>
      <c r="HJ55" s="330">
        <v>2.65</v>
      </c>
      <c r="HK55" s="330">
        <v>2.81</v>
      </c>
      <c r="HL55" s="330">
        <v>2.4900000000000002</v>
      </c>
      <c r="HM55" s="329">
        <v>0</v>
      </c>
      <c r="HN55" s="329">
        <v>0</v>
      </c>
      <c r="HO55" s="329">
        <v>0</v>
      </c>
      <c r="HP55" s="329">
        <v>0</v>
      </c>
      <c r="HQ55" s="329">
        <v>0</v>
      </c>
      <c r="HR55" s="329">
        <v>0</v>
      </c>
      <c r="HS55" s="329">
        <v>0</v>
      </c>
      <c r="HT55" s="329">
        <v>0</v>
      </c>
      <c r="HU55" s="329">
        <v>0</v>
      </c>
      <c r="HV55" s="329">
        <v>0</v>
      </c>
      <c r="HW55" s="329">
        <v>0</v>
      </c>
      <c r="HX55" s="329">
        <v>0</v>
      </c>
      <c r="HY55" s="331"/>
      <c r="HZ55" s="331"/>
      <c r="IA55" s="331"/>
      <c r="IB55" s="331"/>
      <c r="IC55" s="331"/>
      <c r="ID55" s="331"/>
      <c r="IE55" s="331"/>
      <c r="IF55" s="331"/>
      <c r="IG55" s="331"/>
      <c r="IH55" s="331"/>
      <c r="II55" s="331"/>
      <c r="IJ55" s="331"/>
      <c r="IK55" s="329">
        <v>0</v>
      </c>
      <c r="IL55" s="329">
        <v>0</v>
      </c>
      <c r="IM55" s="329">
        <v>0</v>
      </c>
      <c r="IN55" s="329">
        <v>0</v>
      </c>
      <c r="IO55" s="329">
        <v>0</v>
      </c>
      <c r="IP55" s="329">
        <v>0</v>
      </c>
      <c r="IQ55" s="329">
        <v>0</v>
      </c>
      <c r="IR55" s="329">
        <v>0</v>
      </c>
      <c r="IS55" s="329">
        <v>0</v>
      </c>
      <c r="IT55" s="329">
        <v>0</v>
      </c>
      <c r="IU55" s="329">
        <v>0</v>
      </c>
      <c r="IV55" s="329">
        <v>0</v>
      </c>
      <c r="IW55" s="329">
        <v>0</v>
      </c>
      <c r="IX55" s="329">
        <v>0</v>
      </c>
      <c r="IY55" s="329">
        <v>0</v>
      </c>
      <c r="IZ55" s="329">
        <v>0</v>
      </c>
      <c r="JA55" s="329">
        <v>0</v>
      </c>
      <c r="JB55" s="329">
        <v>0</v>
      </c>
      <c r="JC55" s="329">
        <v>0</v>
      </c>
      <c r="JD55" s="329">
        <v>0</v>
      </c>
      <c r="JE55" s="329">
        <v>0</v>
      </c>
      <c r="JF55" s="329">
        <v>0</v>
      </c>
      <c r="JG55" s="329">
        <v>0</v>
      </c>
      <c r="JH55" s="329">
        <v>0</v>
      </c>
      <c r="JI55" s="330">
        <v>34.28</v>
      </c>
      <c r="JJ55" s="330">
        <v>-4.5199999999999996</v>
      </c>
      <c r="JK55" s="330">
        <v>-9.3000000000000007</v>
      </c>
      <c r="JL55" s="330">
        <v>-4.17</v>
      </c>
      <c r="JM55" s="330">
        <v>-5.2</v>
      </c>
      <c r="JN55" s="330">
        <v>-5.31</v>
      </c>
      <c r="JO55" s="330">
        <v>-4.49</v>
      </c>
      <c r="JP55" s="330">
        <v>-4.25</v>
      </c>
      <c r="JQ55" s="330">
        <v>-5.24</v>
      </c>
      <c r="JR55" s="330">
        <v>-4.41</v>
      </c>
      <c r="JS55" s="330">
        <v>-4.25</v>
      </c>
      <c r="JT55" s="330">
        <v>-4.25</v>
      </c>
      <c r="JU55" s="330">
        <v>-3.72</v>
      </c>
      <c r="JV55" s="331"/>
      <c r="JW55" s="331"/>
      <c r="JX55" s="331"/>
      <c r="JY55" s="331"/>
      <c r="JZ55" s="331"/>
      <c r="KA55" s="331"/>
      <c r="KB55" s="331"/>
      <c r="KC55" s="331"/>
      <c r="KD55" s="331"/>
      <c r="KE55" s="331"/>
      <c r="KF55" s="331"/>
      <c r="KG55" s="331"/>
      <c r="KH55" s="331"/>
      <c r="KI55" s="331"/>
      <c r="KJ55" s="331"/>
      <c r="KK55" s="331"/>
      <c r="KL55" s="331"/>
      <c r="KM55" s="331"/>
      <c r="KN55" s="331"/>
      <c r="KO55" s="331"/>
      <c r="KP55" s="331"/>
      <c r="KQ55" s="331"/>
      <c r="KR55" s="331"/>
      <c r="KS55" s="331"/>
      <c r="KT55" s="329">
        <v>0</v>
      </c>
      <c r="KU55" s="329">
        <v>0</v>
      </c>
      <c r="KV55" s="329">
        <v>0</v>
      </c>
      <c r="KW55" s="329">
        <v>0</v>
      </c>
      <c r="KX55" s="329">
        <v>0</v>
      </c>
      <c r="KY55" s="329">
        <v>0</v>
      </c>
      <c r="KZ55" s="329">
        <v>0</v>
      </c>
      <c r="LA55" s="329">
        <v>0</v>
      </c>
      <c r="LB55" s="329">
        <v>0</v>
      </c>
      <c r="LC55" s="329">
        <v>0</v>
      </c>
      <c r="LD55" s="329">
        <v>0</v>
      </c>
      <c r="LE55" s="329">
        <v>0</v>
      </c>
      <c r="LF55" s="329">
        <v>0</v>
      </c>
      <c r="LG55" s="329">
        <v>0</v>
      </c>
      <c r="LH55" s="329">
        <v>0</v>
      </c>
      <c r="LI55" s="329">
        <v>0</v>
      </c>
      <c r="LJ55" s="329">
        <v>0</v>
      </c>
      <c r="LK55" s="329">
        <v>0</v>
      </c>
      <c r="LL55" s="329">
        <v>0</v>
      </c>
      <c r="LM55" s="329">
        <v>0</v>
      </c>
      <c r="LN55" s="329">
        <v>0</v>
      </c>
      <c r="LO55" s="329">
        <v>0</v>
      </c>
      <c r="LP55" s="329">
        <v>0</v>
      </c>
      <c r="LQ55" s="329">
        <v>0</v>
      </c>
      <c r="LR55" s="331"/>
      <c r="LS55" s="331"/>
      <c r="LT55" s="331"/>
      <c r="LU55" s="331"/>
      <c r="LV55" s="331"/>
      <c r="LW55" s="331"/>
      <c r="LX55" s="331"/>
      <c r="LY55" s="331"/>
      <c r="LZ55" s="331"/>
      <c r="MA55" s="331"/>
      <c r="MB55" s="331"/>
      <c r="MC55" s="331"/>
      <c r="MD55" s="331"/>
      <c r="ME55" s="331"/>
      <c r="MF55" s="331"/>
      <c r="MG55" s="331"/>
      <c r="MH55" s="331"/>
      <c r="MI55" s="331"/>
      <c r="MJ55" s="331"/>
      <c r="MK55" s="331"/>
      <c r="ML55" s="331"/>
      <c r="MM55" s="331"/>
      <c r="MN55" s="331"/>
      <c r="MO55" s="331"/>
      <c r="MP55" s="331"/>
      <c r="MQ55" s="331"/>
      <c r="MR55" s="331"/>
      <c r="MS55" s="331"/>
      <c r="MT55" s="331"/>
      <c r="MU55" s="331"/>
      <c r="MV55" s="331"/>
      <c r="MW55" s="331"/>
      <c r="MX55" s="331"/>
      <c r="MY55" s="331"/>
      <c r="MZ55" s="331"/>
      <c r="NA55" s="331"/>
      <c r="NB55" s="331"/>
      <c r="NC55" s="331"/>
      <c r="ND55" s="331"/>
      <c r="NE55" s="331"/>
      <c r="NF55" s="331"/>
      <c r="NG55" s="331"/>
      <c r="NH55" s="331"/>
      <c r="NI55" s="331"/>
      <c r="NJ55" s="331"/>
      <c r="NK55" s="331"/>
      <c r="NL55" s="331"/>
      <c r="NM55" s="331"/>
      <c r="NN55" s="331"/>
      <c r="NO55" s="331"/>
      <c r="NP55" s="331"/>
      <c r="NQ55" s="331"/>
      <c r="NR55" s="331"/>
      <c r="NS55" s="331"/>
      <c r="NT55" s="331"/>
      <c r="NU55" s="331"/>
      <c r="NV55" s="331"/>
      <c r="NW55" s="331"/>
      <c r="NX55" s="331"/>
      <c r="NY55" s="331"/>
      <c r="NZ55" s="331"/>
      <c r="OA55" s="331"/>
      <c r="OB55" s="331"/>
      <c r="OC55" s="331"/>
      <c r="OD55" s="331"/>
      <c r="OE55" s="331"/>
      <c r="OF55" s="331"/>
      <c r="OG55" s="331"/>
      <c r="OH55" s="331"/>
      <c r="OI55" s="331"/>
      <c r="OJ55" s="331"/>
      <c r="OK55" s="331"/>
      <c r="OL55" s="332">
        <f t="shared" si="1"/>
        <v>21846.80999999999</v>
      </c>
    </row>
    <row r="56" spans="1:402" ht="13.5" thickBot="1">
      <c r="A56" s="320" t="s">
        <v>404</v>
      </c>
      <c r="B56" s="328" t="s">
        <v>441</v>
      </c>
      <c r="C56" s="328" t="s">
        <v>206</v>
      </c>
      <c r="D56" s="328" t="s">
        <v>461</v>
      </c>
      <c r="E56" s="329">
        <v>0</v>
      </c>
      <c r="F56" s="329">
        <v>0</v>
      </c>
      <c r="G56" s="329">
        <v>0</v>
      </c>
      <c r="H56" s="329">
        <v>0</v>
      </c>
      <c r="I56" s="329">
        <v>0</v>
      </c>
      <c r="J56" s="329">
        <v>0</v>
      </c>
      <c r="K56" s="329">
        <v>0</v>
      </c>
      <c r="L56" s="329">
        <v>0</v>
      </c>
      <c r="M56" s="329">
        <v>0</v>
      </c>
      <c r="N56" s="329">
        <v>0</v>
      </c>
      <c r="O56" s="329">
        <v>0</v>
      </c>
      <c r="P56" s="329">
        <v>0</v>
      </c>
      <c r="Q56" s="329">
        <v>0</v>
      </c>
      <c r="R56" s="329">
        <v>0</v>
      </c>
      <c r="S56" s="329">
        <v>0</v>
      </c>
      <c r="T56" s="329">
        <v>0</v>
      </c>
      <c r="U56" s="329">
        <v>0</v>
      </c>
      <c r="V56" s="329">
        <v>0</v>
      </c>
      <c r="W56" s="329">
        <v>0</v>
      </c>
      <c r="X56" s="329">
        <v>0</v>
      </c>
      <c r="Y56" s="329">
        <v>0</v>
      </c>
      <c r="Z56" s="329">
        <v>0</v>
      </c>
      <c r="AA56" s="329">
        <v>0</v>
      </c>
      <c r="AB56" s="329">
        <v>0</v>
      </c>
      <c r="AC56" s="329">
        <v>0</v>
      </c>
      <c r="AD56" s="329">
        <v>0</v>
      </c>
      <c r="AE56" s="329">
        <v>0</v>
      </c>
      <c r="AF56" s="329">
        <v>0</v>
      </c>
      <c r="AG56" s="329">
        <v>0</v>
      </c>
      <c r="AH56" s="329">
        <v>0</v>
      </c>
      <c r="AI56" s="329">
        <v>0</v>
      </c>
      <c r="AJ56" s="329">
        <v>0</v>
      </c>
      <c r="AK56" s="329">
        <v>0</v>
      </c>
      <c r="AL56" s="329">
        <v>0</v>
      </c>
      <c r="AM56" s="329">
        <v>0</v>
      </c>
      <c r="AN56" s="329">
        <v>0</v>
      </c>
      <c r="AO56" s="330">
        <v>21303.91</v>
      </c>
      <c r="AP56" s="330">
        <v>20766.16</v>
      </c>
      <c r="AQ56" s="330">
        <v>20837.73</v>
      </c>
      <c r="AR56" s="330">
        <v>20264.189999999999</v>
      </c>
      <c r="AS56" s="330">
        <v>21518.95</v>
      </c>
      <c r="AT56" s="330">
        <v>21823.62</v>
      </c>
      <c r="AU56" s="330">
        <v>21375.49</v>
      </c>
      <c r="AV56" s="330">
        <v>21016.98</v>
      </c>
      <c r="AW56" s="330">
        <v>21626.31</v>
      </c>
      <c r="AX56" s="330">
        <v>21303.91</v>
      </c>
      <c r="AY56" s="330">
        <v>19332.150000000001</v>
      </c>
      <c r="AZ56" s="330">
        <v>20963.150000000001</v>
      </c>
      <c r="BA56" s="331"/>
      <c r="BB56" s="331"/>
      <c r="BC56" s="331"/>
      <c r="BD56" s="331"/>
      <c r="BE56" s="331"/>
      <c r="BF56" s="331"/>
      <c r="BG56" s="331"/>
      <c r="BH56" s="331"/>
      <c r="BI56" s="331"/>
      <c r="BJ56" s="331"/>
      <c r="BK56" s="331"/>
      <c r="BL56" s="331"/>
      <c r="BM56" s="329">
        <v>0</v>
      </c>
      <c r="BN56" s="329">
        <v>0</v>
      </c>
      <c r="BO56" s="329">
        <v>0</v>
      </c>
      <c r="BP56" s="329">
        <v>0</v>
      </c>
      <c r="BQ56" s="329">
        <v>0</v>
      </c>
      <c r="BR56" s="329">
        <v>0</v>
      </c>
      <c r="BS56" s="329">
        <v>0</v>
      </c>
      <c r="BT56" s="329">
        <v>0</v>
      </c>
      <c r="BU56" s="329">
        <v>0</v>
      </c>
      <c r="BV56" s="329">
        <v>0</v>
      </c>
      <c r="BW56" s="329">
        <v>0</v>
      </c>
      <c r="BX56" s="329">
        <v>0</v>
      </c>
      <c r="BY56" s="329">
        <v>0</v>
      </c>
      <c r="BZ56" s="329">
        <v>0</v>
      </c>
      <c r="CA56" s="329">
        <v>0</v>
      </c>
      <c r="CB56" s="329">
        <v>0</v>
      </c>
      <c r="CC56" s="329">
        <v>0</v>
      </c>
      <c r="CD56" s="329">
        <v>0</v>
      </c>
      <c r="CE56" s="329">
        <v>0</v>
      </c>
      <c r="CF56" s="329">
        <v>0</v>
      </c>
      <c r="CG56" s="329">
        <v>0</v>
      </c>
      <c r="CH56" s="329">
        <v>0</v>
      </c>
      <c r="CI56" s="329">
        <v>0</v>
      </c>
      <c r="CJ56" s="329">
        <v>0</v>
      </c>
      <c r="CK56" s="331"/>
      <c r="CL56" s="331"/>
      <c r="CM56" s="331"/>
      <c r="CN56" s="331"/>
      <c r="CO56" s="331"/>
      <c r="CP56" s="331"/>
      <c r="CQ56" s="331"/>
      <c r="CR56" s="331"/>
      <c r="CS56" s="331"/>
      <c r="CT56" s="331"/>
      <c r="CU56" s="331"/>
      <c r="CV56" s="331"/>
      <c r="CW56" s="329">
        <v>0</v>
      </c>
      <c r="CX56" s="329">
        <v>0</v>
      </c>
      <c r="CY56" s="329">
        <v>0</v>
      </c>
      <c r="CZ56" s="329">
        <v>0</v>
      </c>
      <c r="DA56" s="329">
        <v>0</v>
      </c>
      <c r="DB56" s="329">
        <v>0</v>
      </c>
      <c r="DC56" s="329">
        <v>0</v>
      </c>
      <c r="DD56" s="329">
        <v>0</v>
      </c>
      <c r="DE56" s="329">
        <v>0</v>
      </c>
      <c r="DF56" s="329">
        <v>0</v>
      </c>
      <c r="DG56" s="329">
        <v>0</v>
      </c>
      <c r="DH56" s="329">
        <v>0</v>
      </c>
      <c r="DI56" s="330">
        <v>1515.85</v>
      </c>
      <c r="DJ56" s="330">
        <v>1477.34</v>
      </c>
      <c r="DK56" s="330">
        <v>1482.47</v>
      </c>
      <c r="DL56" s="330">
        <v>1441.4</v>
      </c>
      <c r="DM56" s="330">
        <v>1531.25</v>
      </c>
      <c r="DN56" s="330">
        <v>1553.06</v>
      </c>
      <c r="DO56" s="330">
        <v>1520.98</v>
      </c>
      <c r="DP56" s="330">
        <v>1495.31</v>
      </c>
      <c r="DQ56" s="330">
        <v>1538.94</v>
      </c>
      <c r="DR56" s="330">
        <v>1515.85</v>
      </c>
      <c r="DS56" s="330">
        <v>1374.66</v>
      </c>
      <c r="DT56" s="330">
        <v>1672.47</v>
      </c>
      <c r="DU56" s="330">
        <v>296.47000000000003</v>
      </c>
      <c r="DV56" s="330">
        <v>288.94</v>
      </c>
      <c r="DW56" s="330">
        <v>289.94</v>
      </c>
      <c r="DX56" s="330">
        <v>281.91000000000003</v>
      </c>
      <c r="DY56" s="330">
        <v>299.48</v>
      </c>
      <c r="DZ56" s="330">
        <v>303.75</v>
      </c>
      <c r="EA56" s="330">
        <v>297.47000000000003</v>
      </c>
      <c r="EB56" s="330">
        <v>292.45</v>
      </c>
      <c r="EC56" s="330">
        <v>300.99</v>
      </c>
      <c r="ED56" s="330">
        <v>296.47000000000003</v>
      </c>
      <c r="EE56" s="330">
        <v>268.86</v>
      </c>
      <c r="EF56" s="330">
        <v>291.7</v>
      </c>
      <c r="EG56" s="329">
        <v>0</v>
      </c>
      <c r="EH56" s="329">
        <v>0</v>
      </c>
      <c r="EI56" s="329">
        <v>0</v>
      </c>
      <c r="EJ56" s="329">
        <v>0</v>
      </c>
      <c r="EK56" s="329">
        <v>0</v>
      </c>
      <c r="EL56" s="329">
        <v>0</v>
      </c>
      <c r="EM56" s="329">
        <v>0</v>
      </c>
      <c r="EN56" s="329">
        <v>0</v>
      </c>
      <c r="EO56" s="329">
        <v>0</v>
      </c>
      <c r="EP56" s="329">
        <v>0</v>
      </c>
      <c r="EQ56" s="329">
        <v>0</v>
      </c>
      <c r="ER56" s="329">
        <v>0</v>
      </c>
      <c r="ES56" s="329">
        <v>0</v>
      </c>
      <c r="ET56" s="329">
        <v>0</v>
      </c>
      <c r="EU56" s="329">
        <v>0</v>
      </c>
      <c r="EV56" s="329">
        <v>0</v>
      </c>
      <c r="EW56" s="329">
        <v>0</v>
      </c>
      <c r="EX56" s="329">
        <v>0</v>
      </c>
      <c r="EY56" s="329">
        <v>0</v>
      </c>
      <c r="EZ56" s="329">
        <v>0</v>
      </c>
      <c r="FA56" s="329">
        <v>0</v>
      </c>
      <c r="FB56" s="329">
        <v>0</v>
      </c>
      <c r="FC56" s="329">
        <v>0</v>
      </c>
      <c r="FD56" s="329">
        <v>0</v>
      </c>
      <c r="FE56" s="331"/>
      <c r="FF56" s="331"/>
      <c r="FG56" s="331"/>
      <c r="FH56" s="331"/>
      <c r="FI56" s="331"/>
      <c r="FJ56" s="331"/>
      <c r="FK56" s="331"/>
      <c r="FL56" s="331"/>
      <c r="FM56" s="331"/>
      <c r="FN56" s="331"/>
      <c r="FO56" s="331"/>
      <c r="FP56" s="331"/>
      <c r="FQ56" s="329">
        <v>0</v>
      </c>
      <c r="FR56" s="329">
        <v>0</v>
      </c>
      <c r="FS56" s="329">
        <v>0</v>
      </c>
      <c r="FT56" s="329">
        <v>0</v>
      </c>
      <c r="FU56" s="329">
        <v>0</v>
      </c>
      <c r="FV56" s="329">
        <v>0</v>
      </c>
      <c r="FW56" s="329">
        <v>0</v>
      </c>
      <c r="FX56" s="329">
        <v>0</v>
      </c>
      <c r="FY56" s="329">
        <v>0</v>
      </c>
      <c r="FZ56" s="329">
        <v>0</v>
      </c>
      <c r="GA56" s="329">
        <v>0</v>
      </c>
      <c r="GB56" s="329">
        <v>0</v>
      </c>
      <c r="GC56" s="330">
        <v>30463.71</v>
      </c>
      <c r="GD56" s="330">
        <v>30368.43</v>
      </c>
      <c r="GE56" s="330">
        <v>30381.11</v>
      </c>
      <c r="GF56" s="330">
        <v>35349.26</v>
      </c>
      <c r="GG56" s="330">
        <v>35571.599999999999</v>
      </c>
      <c r="GH56" s="330">
        <v>32352.3</v>
      </c>
      <c r="GI56" s="330">
        <v>32272.9</v>
      </c>
      <c r="GJ56" s="330">
        <v>32209.37</v>
      </c>
      <c r="GK56" s="330">
        <v>32317.34</v>
      </c>
      <c r="GL56" s="330">
        <v>32260.21</v>
      </c>
      <c r="GM56" s="330">
        <v>31910.83</v>
      </c>
      <c r="GN56" s="330">
        <v>32252.41</v>
      </c>
      <c r="GO56" s="330">
        <v>5403.87</v>
      </c>
      <c r="GP56" s="330">
        <v>5266.6</v>
      </c>
      <c r="GQ56" s="330">
        <v>5284.87</v>
      </c>
      <c r="GR56" s="330">
        <v>5138.47</v>
      </c>
      <c r="GS56" s="330">
        <v>5458.76</v>
      </c>
      <c r="GT56" s="330">
        <v>5407.59</v>
      </c>
      <c r="GU56" s="330">
        <v>5295.86</v>
      </c>
      <c r="GV56" s="330">
        <v>5206.4799999999996</v>
      </c>
      <c r="GW56" s="330">
        <v>5358.4</v>
      </c>
      <c r="GX56" s="330">
        <v>5278.01</v>
      </c>
      <c r="GY56" s="330">
        <v>4786.42</v>
      </c>
      <c r="GZ56" s="330">
        <v>5193.0600000000004</v>
      </c>
      <c r="HA56" s="330">
        <v>721.55</v>
      </c>
      <c r="HB56" s="330">
        <v>741.74</v>
      </c>
      <c r="HC56" s="330">
        <v>855.58</v>
      </c>
      <c r="HD56" s="330">
        <v>756.43</v>
      </c>
      <c r="HE56" s="330">
        <v>712.37</v>
      </c>
      <c r="HF56" s="330">
        <v>1351.92</v>
      </c>
      <c r="HG56" s="330">
        <v>1371.18</v>
      </c>
      <c r="HH56" s="330">
        <v>1210.6199999999999</v>
      </c>
      <c r="HI56" s="330">
        <v>1191.3599999999999</v>
      </c>
      <c r="HJ56" s="330">
        <v>1136.76</v>
      </c>
      <c r="HK56" s="330">
        <v>1082.17</v>
      </c>
      <c r="HL56" s="330">
        <v>995.47</v>
      </c>
      <c r="HM56" s="329">
        <v>0</v>
      </c>
      <c r="HN56" s="329">
        <v>0</v>
      </c>
      <c r="HO56" s="329">
        <v>0</v>
      </c>
      <c r="HP56" s="329">
        <v>0</v>
      </c>
      <c r="HQ56" s="329">
        <v>0</v>
      </c>
      <c r="HR56" s="329">
        <v>0</v>
      </c>
      <c r="HS56" s="329">
        <v>0</v>
      </c>
      <c r="HT56" s="329">
        <v>0</v>
      </c>
      <c r="HU56" s="329">
        <v>0</v>
      </c>
      <c r="HV56" s="329">
        <v>0</v>
      </c>
      <c r="HW56" s="329">
        <v>0</v>
      </c>
      <c r="HX56" s="329">
        <v>0</v>
      </c>
      <c r="HY56" s="331"/>
      <c r="HZ56" s="331"/>
      <c r="IA56" s="331"/>
      <c r="IB56" s="331"/>
      <c r="IC56" s="331"/>
      <c r="ID56" s="331"/>
      <c r="IE56" s="331"/>
      <c r="IF56" s="331"/>
      <c r="IG56" s="331"/>
      <c r="IH56" s="331"/>
      <c r="II56" s="331"/>
      <c r="IJ56" s="331"/>
      <c r="IK56" s="329">
        <v>0</v>
      </c>
      <c r="IL56" s="329">
        <v>0</v>
      </c>
      <c r="IM56" s="329">
        <v>0</v>
      </c>
      <c r="IN56" s="329">
        <v>0</v>
      </c>
      <c r="IO56" s="329">
        <v>0</v>
      </c>
      <c r="IP56" s="329">
        <v>0</v>
      </c>
      <c r="IQ56" s="329">
        <v>0</v>
      </c>
      <c r="IR56" s="329">
        <v>0</v>
      </c>
      <c r="IS56" s="329">
        <v>0</v>
      </c>
      <c r="IT56" s="329">
        <v>0</v>
      </c>
      <c r="IU56" s="329">
        <v>0</v>
      </c>
      <c r="IV56" s="329">
        <v>0</v>
      </c>
      <c r="IW56" s="329">
        <v>0</v>
      </c>
      <c r="IX56" s="329">
        <v>0</v>
      </c>
      <c r="IY56" s="329">
        <v>0</v>
      </c>
      <c r="IZ56" s="329">
        <v>0</v>
      </c>
      <c r="JA56" s="329">
        <v>0</v>
      </c>
      <c r="JB56" s="329">
        <v>0</v>
      </c>
      <c r="JC56" s="329">
        <v>0</v>
      </c>
      <c r="JD56" s="329">
        <v>0</v>
      </c>
      <c r="JE56" s="329">
        <v>0</v>
      </c>
      <c r="JF56" s="329">
        <v>0</v>
      </c>
      <c r="JG56" s="329">
        <v>0</v>
      </c>
      <c r="JH56" s="329">
        <v>0</v>
      </c>
      <c r="JI56" s="330">
        <v>795.81</v>
      </c>
      <c r="JJ56" s="330">
        <v>-100.2</v>
      </c>
      <c r="JK56" s="330">
        <v>-97.66</v>
      </c>
      <c r="JL56" s="329">
        <v>-98</v>
      </c>
      <c r="JM56" s="330">
        <v>-95.28</v>
      </c>
      <c r="JN56" s="330">
        <v>-101.22</v>
      </c>
      <c r="JO56" s="330">
        <v>-102.66</v>
      </c>
      <c r="JP56" s="330">
        <v>-100.54</v>
      </c>
      <c r="JQ56" s="330">
        <v>-98.84</v>
      </c>
      <c r="JR56" s="330">
        <v>-101.73</v>
      </c>
      <c r="JS56" s="330">
        <v>-100.2</v>
      </c>
      <c r="JT56" s="330">
        <v>-90.87</v>
      </c>
      <c r="JU56" s="330">
        <v>-86.27</v>
      </c>
      <c r="JV56" s="331"/>
      <c r="JW56" s="331"/>
      <c r="JX56" s="331"/>
      <c r="JY56" s="331"/>
      <c r="JZ56" s="331"/>
      <c r="KA56" s="331"/>
      <c r="KB56" s="331"/>
      <c r="KC56" s="331"/>
      <c r="KD56" s="331"/>
      <c r="KE56" s="331"/>
      <c r="KF56" s="331"/>
      <c r="KG56" s="331"/>
      <c r="KH56" s="331"/>
      <c r="KI56" s="331"/>
      <c r="KJ56" s="331"/>
      <c r="KK56" s="331"/>
      <c r="KL56" s="331"/>
      <c r="KM56" s="331"/>
      <c r="KN56" s="331"/>
      <c r="KO56" s="331"/>
      <c r="KP56" s="331"/>
      <c r="KQ56" s="331"/>
      <c r="KR56" s="331"/>
      <c r="KS56" s="331"/>
      <c r="KT56" s="329">
        <v>0</v>
      </c>
      <c r="KU56" s="329">
        <v>0</v>
      </c>
      <c r="KV56" s="329">
        <v>0</v>
      </c>
      <c r="KW56" s="329">
        <v>0</v>
      </c>
      <c r="KX56" s="329">
        <v>0</v>
      </c>
      <c r="KY56" s="329">
        <v>0</v>
      </c>
      <c r="KZ56" s="329">
        <v>0</v>
      </c>
      <c r="LA56" s="329">
        <v>0</v>
      </c>
      <c r="LB56" s="329">
        <v>0</v>
      </c>
      <c r="LC56" s="329">
        <v>0</v>
      </c>
      <c r="LD56" s="329">
        <v>0</v>
      </c>
      <c r="LE56" s="329">
        <v>0</v>
      </c>
      <c r="LF56" s="329">
        <v>0</v>
      </c>
      <c r="LG56" s="329">
        <v>0</v>
      </c>
      <c r="LH56" s="329">
        <v>0</v>
      </c>
      <c r="LI56" s="329">
        <v>0</v>
      </c>
      <c r="LJ56" s="329">
        <v>0</v>
      </c>
      <c r="LK56" s="329">
        <v>0</v>
      </c>
      <c r="LL56" s="329">
        <v>0</v>
      </c>
      <c r="LM56" s="329">
        <v>0</v>
      </c>
      <c r="LN56" s="329">
        <v>0</v>
      </c>
      <c r="LO56" s="329">
        <v>0</v>
      </c>
      <c r="LP56" s="329">
        <v>0</v>
      </c>
      <c r="LQ56" s="329">
        <v>0</v>
      </c>
      <c r="LR56" s="331"/>
      <c r="LS56" s="331"/>
      <c r="LT56" s="331"/>
      <c r="LU56" s="331"/>
      <c r="LV56" s="331"/>
      <c r="LW56" s="331"/>
      <c r="LX56" s="331"/>
      <c r="LY56" s="331"/>
      <c r="LZ56" s="331"/>
      <c r="MA56" s="331"/>
      <c r="MB56" s="331"/>
      <c r="MC56" s="331"/>
      <c r="MD56" s="331"/>
      <c r="ME56" s="331"/>
      <c r="MF56" s="331"/>
      <c r="MG56" s="331"/>
      <c r="MH56" s="331"/>
      <c r="MI56" s="331"/>
      <c r="MJ56" s="331"/>
      <c r="MK56" s="331"/>
      <c r="ML56" s="331"/>
      <c r="MM56" s="331"/>
      <c r="MN56" s="331"/>
      <c r="MO56" s="331"/>
      <c r="MP56" s="331"/>
      <c r="MQ56" s="331"/>
      <c r="MR56" s="331"/>
      <c r="MS56" s="331"/>
      <c r="MT56" s="331"/>
      <c r="MU56" s="331"/>
      <c r="MV56" s="331"/>
      <c r="MW56" s="331"/>
      <c r="MX56" s="331"/>
      <c r="MY56" s="331"/>
      <c r="MZ56" s="331"/>
      <c r="NA56" s="331"/>
      <c r="NB56" s="331"/>
      <c r="NC56" s="331"/>
      <c r="ND56" s="331"/>
      <c r="NE56" s="331"/>
      <c r="NF56" s="331"/>
      <c r="NG56" s="331"/>
      <c r="NH56" s="331"/>
      <c r="NI56" s="331"/>
      <c r="NJ56" s="331"/>
      <c r="NK56" s="331"/>
      <c r="NL56" s="331"/>
      <c r="NM56" s="331"/>
      <c r="NN56" s="331"/>
      <c r="NO56" s="331"/>
      <c r="NP56" s="331"/>
      <c r="NQ56" s="331"/>
      <c r="NR56" s="331"/>
      <c r="NS56" s="331"/>
      <c r="NT56" s="331"/>
      <c r="NU56" s="331"/>
      <c r="NV56" s="331"/>
      <c r="NW56" s="331"/>
      <c r="NX56" s="331"/>
      <c r="NY56" s="331"/>
      <c r="NZ56" s="331"/>
      <c r="OA56" s="331"/>
      <c r="OB56" s="331"/>
      <c r="OC56" s="331"/>
      <c r="OD56" s="331"/>
      <c r="OE56" s="331"/>
      <c r="OF56" s="331"/>
      <c r="OG56" s="331"/>
      <c r="OH56" s="331"/>
      <c r="OI56" s="331"/>
      <c r="OJ56" s="331"/>
      <c r="OK56" s="331"/>
      <c r="OL56" s="332">
        <f t="shared" si="1"/>
        <v>736297.90999999992</v>
      </c>
    </row>
    <row r="57" spans="1:402" ht="13.5" thickBot="1">
      <c r="A57" s="320" t="s">
        <v>404</v>
      </c>
      <c r="B57" s="328" t="s">
        <v>441</v>
      </c>
      <c r="C57" s="328" t="s">
        <v>206</v>
      </c>
      <c r="D57" s="328" t="s">
        <v>462</v>
      </c>
      <c r="E57" s="331"/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31"/>
      <c r="L57" s="329">
        <v>0</v>
      </c>
      <c r="M57" s="329">
        <v>0</v>
      </c>
      <c r="N57" s="329">
        <v>0</v>
      </c>
      <c r="O57" s="329">
        <v>0</v>
      </c>
      <c r="P57" s="331"/>
      <c r="Q57" s="331"/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31"/>
      <c r="X57" s="329">
        <v>0</v>
      </c>
      <c r="Y57" s="329">
        <v>0</v>
      </c>
      <c r="Z57" s="329">
        <v>0</v>
      </c>
      <c r="AA57" s="329">
        <v>0</v>
      </c>
      <c r="AB57" s="331"/>
      <c r="AC57" s="331"/>
      <c r="AD57" s="329">
        <v>0</v>
      </c>
      <c r="AE57" s="329">
        <v>0</v>
      </c>
      <c r="AF57" s="329">
        <v>0</v>
      </c>
      <c r="AG57" s="329">
        <v>0</v>
      </c>
      <c r="AH57" s="329">
        <v>0</v>
      </c>
      <c r="AI57" s="331"/>
      <c r="AJ57" s="329">
        <v>0</v>
      </c>
      <c r="AK57" s="329">
        <v>0</v>
      </c>
      <c r="AL57" s="329">
        <v>0</v>
      </c>
      <c r="AM57" s="329">
        <v>0</v>
      </c>
      <c r="AN57" s="331"/>
      <c r="AO57" s="331"/>
      <c r="AP57" s="330">
        <v>234.43</v>
      </c>
      <c r="AQ57" s="330">
        <v>458.28</v>
      </c>
      <c r="AR57" s="330">
        <v>223.85</v>
      </c>
      <c r="AS57" s="330">
        <v>223.85</v>
      </c>
      <c r="AT57" s="330">
        <v>223.85</v>
      </c>
      <c r="AU57" s="331"/>
      <c r="AV57" s="330">
        <v>223.85</v>
      </c>
      <c r="AW57" s="330">
        <v>223.85</v>
      </c>
      <c r="AX57" s="330">
        <v>223.85</v>
      </c>
      <c r="AY57" s="330">
        <v>223.85</v>
      </c>
      <c r="AZ57" s="331"/>
      <c r="BA57" s="331"/>
      <c r="BB57" s="331"/>
      <c r="BC57" s="331"/>
      <c r="BD57" s="331"/>
      <c r="BE57" s="331"/>
      <c r="BF57" s="331"/>
      <c r="BG57" s="331"/>
      <c r="BH57" s="331"/>
      <c r="BI57" s="331"/>
      <c r="BJ57" s="331"/>
      <c r="BK57" s="331"/>
      <c r="BL57" s="331"/>
      <c r="BM57" s="331"/>
      <c r="BN57" s="329">
        <v>0</v>
      </c>
      <c r="BO57" s="329">
        <v>0</v>
      </c>
      <c r="BP57" s="329">
        <v>0</v>
      </c>
      <c r="BQ57" s="329">
        <v>0</v>
      </c>
      <c r="BR57" s="329">
        <v>0</v>
      </c>
      <c r="BS57" s="331"/>
      <c r="BT57" s="329">
        <v>0</v>
      </c>
      <c r="BU57" s="329">
        <v>0</v>
      </c>
      <c r="BV57" s="329">
        <v>0</v>
      </c>
      <c r="BW57" s="329">
        <v>0</v>
      </c>
      <c r="BX57" s="331"/>
      <c r="BY57" s="331"/>
      <c r="BZ57" s="329">
        <v>0</v>
      </c>
      <c r="CA57" s="329">
        <v>0</v>
      </c>
      <c r="CB57" s="329">
        <v>0</v>
      </c>
      <c r="CC57" s="329">
        <v>0</v>
      </c>
      <c r="CD57" s="329">
        <v>0</v>
      </c>
      <c r="CE57" s="331"/>
      <c r="CF57" s="329">
        <v>0</v>
      </c>
      <c r="CG57" s="329">
        <v>0</v>
      </c>
      <c r="CH57" s="329">
        <v>0</v>
      </c>
      <c r="CI57" s="329">
        <v>0</v>
      </c>
      <c r="CJ57" s="331"/>
      <c r="CK57" s="331"/>
      <c r="CL57" s="331"/>
      <c r="CM57" s="331"/>
      <c r="CN57" s="331"/>
      <c r="CO57" s="331"/>
      <c r="CP57" s="331"/>
      <c r="CQ57" s="331"/>
      <c r="CR57" s="331"/>
      <c r="CS57" s="331"/>
      <c r="CT57" s="331"/>
      <c r="CU57" s="331"/>
      <c r="CV57" s="331"/>
      <c r="CW57" s="331"/>
      <c r="CX57" s="329">
        <v>0</v>
      </c>
      <c r="CY57" s="329">
        <v>0</v>
      </c>
      <c r="CZ57" s="329">
        <v>0</v>
      </c>
      <c r="DA57" s="329">
        <v>0</v>
      </c>
      <c r="DB57" s="329">
        <v>0</v>
      </c>
      <c r="DC57" s="331"/>
      <c r="DD57" s="329">
        <v>0</v>
      </c>
      <c r="DE57" s="329">
        <v>0</v>
      </c>
      <c r="DF57" s="329">
        <v>0</v>
      </c>
      <c r="DG57" s="329">
        <v>0</v>
      </c>
      <c r="DH57" s="331"/>
      <c r="DI57" s="331"/>
      <c r="DJ57" s="330">
        <v>7.18</v>
      </c>
      <c r="DK57" s="330">
        <v>13.6</v>
      </c>
      <c r="DL57" s="330">
        <v>6.42</v>
      </c>
      <c r="DM57" s="330">
        <v>6.42</v>
      </c>
      <c r="DN57" s="330">
        <v>6.42</v>
      </c>
      <c r="DO57" s="331"/>
      <c r="DP57" s="330">
        <v>6.42</v>
      </c>
      <c r="DQ57" s="330">
        <v>6.42</v>
      </c>
      <c r="DR57" s="330">
        <v>6.42</v>
      </c>
      <c r="DS57" s="330">
        <v>6.42</v>
      </c>
      <c r="DT57" s="331"/>
      <c r="DU57" s="331"/>
      <c r="DV57" s="330">
        <v>1.4</v>
      </c>
      <c r="DW57" s="330">
        <v>2.66</v>
      </c>
      <c r="DX57" s="330">
        <v>1.26</v>
      </c>
      <c r="DY57" s="330">
        <v>1.26</v>
      </c>
      <c r="DZ57" s="330">
        <v>1.26</v>
      </c>
      <c r="EA57" s="331"/>
      <c r="EB57" s="330">
        <v>1.26</v>
      </c>
      <c r="EC57" s="330">
        <v>1.26</v>
      </c>
      <c r="ED57" s="330">
        <v>1.26</v>
      </c>
      <c r="EE57" s="330">
        <v>1.26</v>
      </c>
      <c r="EF57" s="331"/>
      <c r="EG57" s="331"/>
      <c r="EH57" s="329">
        <v>0</v>
      </c>
      <c r="EI57" s="329">
        <v>0</v>
      </c>
      <c r="EJ57" s="329">
        <v>0</v>
      </c>
      <c r="EK57" s="329">
        <v>0</v>
      </c>
      <c r="EL57" s="329">
        <v>0</v>
      </c>
      <c r="EM57" s="331"/>
      <c r="EN57" s="329">
        <v>0</v>
      </c>
      <c r="EO57" s="329">
        <v>0</v>
      </c>
      <c r="EP57" s="329">
        <v>0</v>
      </c>
      <c r="EQ57" s="329">
        <v>0</v>
      </c>
      <c r="ER57" s="331"/>
      <c r="ES57" s="331"/>
      <c r="ET57" s="329">
        <v>0</v>
      </c>
      <c r="EU57" s="329">
        <v>0</v>
      </c>
      <c r="EV57" s="329">
        <v>0</v>
      </c>
      <c r="EW57" s="329">
        <v>0</v>
      </c>
      <c r="EX57" s="329">
        <v>0</v>
      </c>
      <c r="EY57" s="331"/>
      <c r="EZ57" s="329">
        <v>0</v>
      </c>
      <c r="FA57" s="329">
        <v>0</v>
      </c>
      <c r="FB57" s="329">
        <v>0</v>
      </c>
      <c r="FC57" s="329">
        <v>0</v>
      </c>
      <c r="FD57" s="331"/>
      <c r="FE57" s="331"/>
      <c r="FF57" s="331"/>
      <c r="FG57" s="331"/>
      <c r="FH57" s="331"/>
      <c r="FI57" s="331"/>
      <c r="FJ57" s="331"/>
      <c r="FK57" s="331"/>
      <c r="FL57" s="331"/>
      <c r="FM57" s="331"/>
      <c r="FN57" s="331"/>
      <c r="FO57" s="331"/>
      <c r="FP57" s="331"/>
      <c r="FQ57" s="331"/>
      <c r="FR57" s="329">
        <v>0</v>
      </c>
      <c r="FS57" s="329">
        <v>0</v>
      </c>
      <c r="FT57" s="329">
        <v>0</v>
      </c>
      <c r="FU57" s="329">
        <v>0</v>
      </c>
      <c r="FV57" s="329">
        <v>0</v>
      </c>
      <c r="FW57" s="331"/>
      <c r="FX57" s="329">
        <v>0</v>
      </c>
      <c r="FY57" s="329">
        <v>0</v>
      </c>
      <c r="FZ57" s="329">
        <v>0</v>
      </c>
      <c r="GA57" s="329">
        <v>0</v>
      </c>
      <c r="GB57" s="331"/>
      <c r="GC57" s="331"/>
      <c r="GD57" s="330">
        <v>105.61</v>
      </c>
      <c r="GE57" s="330">
        <v>209.34</v>
      </c>
      <c r="GF57" s="330">
        <v>103.73</v>
      </c>
      <c r="GG57" s="330">
        <v>103.73</v>
      </c>
      <c r="GH57" s="330">
        <v>94.68</v>
      </c>
      <c r="GI57" s="331"/>
      <c r="GJ57" s="330">
        <v>94.68</v>
      </c>
      <c r="GK57" s="330">
        <v>94.68</v>
      </c>
      <c r="GL57" s="330">
        <v>94.68</v>
      </c>
      <c r="GM57" s="330">
        <v>94.68</v>
      </c>
      <c r="GN57" s="331"/>
      <c r="GO57" s="331"/>
      <c r="GP57" s="330">
        <v>25.58</v>
      </c>
      <c r="GQ57" s="330">
        <v>48.46</v>
      </c>
      <c r="GR57" s="330">
        <v>22.88</v>
      </c>
      <c r="GS57" s="330">
        <v>22.88</v>
      </c>
      <c r="GT57" s="330">
        <v>22.35</v>
      </c>
      <c r="GU57" s="331"/>
      <c r="GV57" s="330">
        <v>22.35</v>
      </c>
      <c r="GW57" s="330">
        <v>22.35</v>
      </c>
      <c r="GX57" s="330">
        <v>22.35</v>
      </c>
      <c r="GY57" s="330">
        <v>22.35</v>
      </c>
      <c r="GZ57" s="331"/>
      <c r="HA57" s="331"/>
      <c r="HB57" s="330">
        <v>3.67</v>
      </c>
      <c r="HC57" s="330">
        <v>9.18</v>
      </c>
      <c r="HD57" s="330">
        <v>3.67</v>
      </c>
      <c r="HE57" s="330">
        <v>3.67</v>
      </c>
      <c r="HF57" s="330">
        <v>9.6300000000000008</v>
      </c>
      <c r="HG57" s="331"/>
      <c r="HH57" s="330">
        <v>6.42</v>
      </c>
      <c r="HI57" s="330">
        <v>6.42</v>
      </c>
      <c r="HJ57" s="330">
        <v>9.6300000000000008</v>
      </c>
      <c r="HK57" s="330">
        <v>6.42</v>
      </c>
      <c r="HL57" s="331"/>
      <c r="HM57" s="331"/>
      <c r="HN57" s="329">
        <v>0</v>
      </c>
      <c r="HO57" s="329">
        <v>0</v>
      </c>
      <c r="HP57" s="329">
        <v>0</v>
      </c>
      <c r="HQ57" s="329">
        <v>0</v>
      </c>
      <c r="HR57" s="329">
        <v>0</v>
      </c>
      <c r="HS57" s="331"/>
      <c r="HT57" s="329">
        <v>0</v>
      </c>
      <c r="HU57" s="329">
        <v>0</v>
      </c>
      <c r="HV57" s="329">
        <v>0</v>
      </c>
      <c r="HW57" s="329">
        <v>0</v>
      </c>
      <c r="HX57" s="331"/>
      <c r="HY57" s="331"/>
      <c r="HZ57" s="331"/>
      <c r="IA57" s="331"/>
      <c r="IB57" s="331"/>
      <c r="IC57" s="331"/>
      <c r="ID57" s="331"/>
      <c r="IE57" s="331"/>
      <c r="IF57" s="331"/>
      <c r="IG57" s="331"/>
      <c r="IH57" s="331"/>
      <c r="II57" s="331"/>
      <c r="IJ57" s="331"/>
      <c r="IK57" s="331"/>
      <c r="IL57" s="329">
        <v>0</v>
      </c>
      <c r="IM57" s="329">
        <v>0</v>
      </c>
      <c r="IN57" s="329">
        <v>0</v>
      </c>
      <c r="IO57" s="329">
        <v>0</v>
      </c>
      <c r="IP57" s="329">
        <v>0</v>
      </c>
      <c r="IQ57" s="331"/>
      <c r="IR57" s="329">
        <v>0</v>
      </c>
      <c r="IS57" s="329">
        <v>0</v>
      </c>
      <c r="IT57" s="329">
        <v>0</v>
      </c>
      <c r="IU57" s="329">
        <v>0</v>
      </c>
      <c r="IV57" s="331"/>
      <c r="IW57" s="331"/>
      <c r="IX57" s="329">
        <v>0</v>
      </c>
      <c r="IY57" s="329">
        <v>0</v>
      </c>
      <c r="IZ57" s="329">
        <v>0</v>
      </c>
      <c r="JA57" s="329">
        <v>0</v>
      </c>
      <c r="JB57" s="329">
        <v>0</v>
      </c>
      <c r="JC57" s="331"/>
      <c r="JD57" s="329">
        <v>0</v>
      </c>
      <c r="JE57" s="329">
        <v>0</v>
      </c>
      <c r="JF57" s="329">
        <v>0</v>
      </c>
      <c r="JG57" s="329">
        <v>0</v>
      </c>
      <c r="JH57" s="331"/>
      <c r="JI57" s="331"/>
      <c r="JJ57" s="331"/>
      <c r="JK57" s="330">
        <v>-0.47</v>
      </c>
      <c r="JL57" s="330">
        <v>-0.89</v>
      </c>
      <c r="JM57" s="330">
        <v>-0.42</v>
      </c>
      <c r="JN57" s="330">
        <v>-0.42</v>
      </c>
      <c r="JO57" s="330">
        <v>-0.42</v>
      </c>
      <c r="JP57" s="331"/>
      <c r="JQ57" s="330">
        <v>-0.42</v>
      </c>
      <c r="JR57" s="330">
        <v>-0.42</v>
      </c>
      <c r="JS57" s="330">
        <v>-0.42</v>
      </c>
      <c r="JT57" s="330">
        <v>-0.42</v>
      </c>
      <c r="JU57" s="331"/>
      <c r="JV57" s="331"/>
      <c r="JW57" s="331"/>
      <c r="JX57" s="331"/>
      <c r="JY57" s="331"/>
      <c r="JZ57" s="331"/>
      <c r="KA57" s="331"/>
      <c r="KB57" s="331"/>
      <c r="KC57" s="331"/>
      <c r="KD57" s="331"/>
      <c r="KE57" s="331"/>
      <c r="KF57" s="331"/>
      <c r="KG57" s="331"/>
      <c r="KH57" s="331"/>
      <c r="KI57" s="331"/>
      <c r="KJ57" s="331"/>
      <c r="KK57" s="331"/>
      <c r="KL57" s="331"/>
      <c r="KM57" s="331"/>
      <c r="KN57" s="331"/>
      <c r="KO57" s="331"/>
      <c r="KP57" s="331"/>
      <c r="KQ57" s="331"/>
      <c r="KR57" s="331"/>
      <c r="KS57" s="331"/>
      <c r="KT57" s="331"/>
      <c r="KU57" s="329">
        <v>0</v>
      </c>
      <c r="KV57" s="329">
        <v>0</v>
      </c>
      <c r="KW57" s="329">
        <v>0</v>
      </c>
      <c r="KX57" s="329">
        <v>0</v>
      </c>
      <c r="KY57" s="329">
        <v>0</v>
      </c>
      <c r="KZ57" s="331"/>
      <c r="LA57" s="329">
        <v>0</v>
      </c>
      <c r="LB57" s="329">
        <v>0</v>
      </c>
      <c r="LC57" s="329">
        <v>0</v>
      </c>
      <c r="LD57" s="329">
        <v>0</v>
      </c>
      <c r="LE57" s="331"/>
      <c r="LF57" s="331"/>
      <c r="LG57" s="329">
        <v>0</v>
      </c>
      <c r="LH57" s="329">
        <v>0</v>
      </c>
      <c r="LI57" s="329">
        <v>0</v>
      </c>
      <c r="LJ57" s="329">
        <v>0</v>
      </c>
      <c r="LK57" s="329">
        <v>0</v>
      </c>
      <c r="LL57" s="331"/>
      <c r="LM57" s="329">
        <v>0</v>
      </c>
      <c r="LN57" s="329">
        <v>0</v>
      </c>
      <c r="LO57" s="329">
        <v>0</v>
      </c>
      <c r="LP57" s="329">
        <v>0</v>
      </c>
      <c r="LQ57" s="331"/>
      <c r="LR57" s="331"/>
      <c r="LS57" s="331"/>
      <c r="LT57" s="331"/>
      <c r="LU57" s="331"/>
      <c r="LV57" s="331"/>
      <c r="LW57" s="331"/>
      <c r="LX57" s="331"/>
      <c r="LY57" s="331"/>
      <c r="LZ57" s="331"/>
      <c r="MA57" s="331"/>
      <c r="MB57" s="331"/>
      <c r="MC57" s="331"/>
      <c r="MD57" s="331"/>
      <c r="ME57" s="331"/>
      <c r="MF57" s="331"/>
      <c r="MG57" s="331"/>
      <c r="MH57" s="331"/>
      <c r="MI57" s="331"/>
      <c r="MJ57" s="331"/>
      <c r="MK57" s="331"/>
      <c r="ML57" s="331"/>
      <c r="MM57" s="331"/>
      <c r="MN57" s="331"/>
      <c r="MO57" s="331"/>
      <c r="MP57" s="331"/>
      <c r="MQ57" s="331"/>
      <c r="MR57" s="331"/>
      <c r="MS57" s="331"/>
      <c r="MT57" s="331"/>
      <c r="MU57" s="331"/>
      <c r="MV57" s="331"/>
      <c r="MW57" s="331"/>
      <c r="MX57" s="331"/>
      <c r="MY57" s="331"/>
      <c r="MZ57" s="331"/>
      <c r="NA57" s="331"/>
      <c r="NB57" s="331"/>
      <c r="NC57" s="331"/>
      <c r="ND57" s="331"/>
      <c r="NE57" s="331"/>
      <c r="NF57" s="331"/>
      <c r="NG57" s="331"/>
      <c r="NH57" s="331"/>
      <c r="NI57" s="331"/>
      <c r="NJ57" s="331"/>
      <c r="NK57" s="331"/>
      <c r="NL57" s="331"/>
      <c r="NM57" s="331"/>
      <c r="NN57" s="331"/>
      <c r="NO57" s="331"/>
      <c r="NP57" s="331"/>
      <c r="NQ57" s="331"/>
      <c r="NR57" s="331"/>
      <c r="NS57" s="331"/>
      <c r="NT57" s="331"/>
      <c r="NU57" s="331"/>
      <c r="NV57" s="331"/>
      <c r="NW57" s="331"/>
      <c r="NX57" s="331"/>
      <c r="NY57" s="331"/>
      <c r="NZ57" s="331"/>
      <c r="OA57" s="331"/>
      <c r="OB57" s="331"/>
      <c r="OC57" s="331"/>
      <c r="OD57" s="331"/>
      <c r="OE57" s="331"/>
      <c r="OF57" s="331"/>
      <c r="OG57" s="331"/>
      <c r="OH57" s="331"/>
      <c r="OI57" s="331"/>
      <c r="OJ57" s="331"/>
      <c r="OK57" s="331"/>
      <c r="OL57" s="332">
        <f t="shared" si="1"/>
        <v>3620.0300000000011</v>
      </c>
    </row>
    <row r="58" spans="1:402" ht="13.5" thickBot="1">
      <c r="A58" s="320" t="s">
        <v>404</v>
      </c>
      <c r="B58" s="328" t="s">
        <v>441</v>
      </c>
      <c r="C58" s="328" t="s">
        <v>206</v>
      </c>
      <c r="D58" s="328" t="s">
        <v>463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Z58" s="329">
        <v>0</v>
      </c>
      <c r="AA58" s="329">
        <v>0</v>
      </c>
      <c r="AB58" s="329">
        <v>0</v>
      </c>
      <c r="AC58" s="329">
        <v>0</v>
      </c>
      <c r="AD58" s="329">
        <v>0</v>
      </c>
      <c r="AE58" s="329">
        <v>0</v>
      </c>
      <c r="AF58" s="329">
        <v>0</v>
      </c>
      <c r="AG58" s="329">
        <v>0</v>
      </c>
      <c r="AH58" s="329">
        <v>0</v>
      </c>
      <c r="AI58" s="329">
        <v>0</v>
      </c>
      <c r="AJ58" s="329">
        <v>0</v>
      </c>
      <c r="AK58" s="329">
        <v>0</v>
      </c>
      <c r="AL58" s="329">
        <v>0</v>
      </c>
      <c r="AM58" s="329">
        <v>0</v>
      </c>
      <c r="AN58" s="329">
        <v>0</v>
      </c>
      <c r="AO58" s="330">
        <v>11153.81</v>
      </c>
      <c r="AP58" s="330">
        <v>11153.81</v>
      </c>
      <c r="AQ58" s="330">
        <v>11153.81</v>
      </c>
      <c r="AR58" s="330">
        <v>13062.71</v>
      </c>
      <c r="AS58" s="330">
        <v>10559.73</v>
      </c>
      <c r="AT58" s="330">
        <v>10559.73</v>
      </c>
      <c r="AU58" s="330">
        <v>11332.75</v>
      </c>
      <c r="AV58" s="330">
        <v>10559.73</v>
      </c>
      <c r="AW58" s="330">
        <v>10788.77</v>
      </c>
      <c r="AX58" s="330">
        <v>11108.07</v>
      </c>
      <c r="AY58" s="330">
        <v>13226.4</v>
      </c>
      <c r="AZ58" s="330">
        <v>13915.71</v>
      </c>
      <c r="BA58" s="331"/>
      <c r="BB58" s="331"/>
      <c r="BC58" s="331"/>
      <c r="BD58" s="331"/>
      <c r="BE58" s="331"/>
      <c r="BF58" s="331"/>
      <c r="BG58" s="331"/>
      <c r="BH58" s="331"/>
      <c r="BI58" s="331"/>
      <c r="BJ58" s="331"/>
      <c r="BK58" s="331"/>
      <c r="BL58" s="331"/>
      <c r="BM58" s="329">
        <v>0</v>
      </c>
      <c r="BN58" s="329">
        <v>0</v>
      </c>
      <c r="BO58" s="329">
        <v>0</v>
      </c>
      <c r="BP58" s="329">
        <v>0</v>
      </c>
      <c r="BQ58" s="329">
        <v>0</v>
      </c>
      <c r="BR58" s="329">
        <v>0</v>
      </c>
      <c r="BS58" s="329">
        <v>0</v>
      </c>
      <c r="BT58" s="329">
        <v>0</v>
      </c>
      <c r="BU58" s="329">
        <v>0</v>
      </c>
      <c r="BV58" s="329">
        <v>0</v>
      </c>
      <c r="BW58" s="329">
        <v>0</v>
      </c>
      <c r="BX58" s="329">
        <v>0</v>
      </c>
      <c r="BY58" s="329">
        <v>0</v>
      </c>
      <c r="BZ58" s="329">
        <v>0</v>
      </c>
      <c r="CA58" s="329">
        <v>0</v>
      </c>
      <c r="CB58" s="329">
        <v>0</v>
      </c>
      <c r="CC58" s="329">
        <v>0</v>
      </c>
      <c r="CD58" s="329">
        <v>0</v>
      </c>
      <c r="CE58" s="329">
        <v>0</v>
      </c>
      <c r="CF58" s="329">
        <v>0</v>
      </c>
      <c r="CG58" s="329">
        <v>0</v>
      </c>
      <c r="CH58" s="329">
        <v>0</v>
      </c>
      <c r="CI58" s="329">
        <v>0</v>
      </c>
      <c r="CJ58" s="329">
        <v>0</v>
      </c>
      <c r="CK58" s="331"/>
      <c r="CL58" s="331"/>
      <c r="CM58" s="331"/>
      <c r="CN58" s="331"/>
      <c r="CO58" s="331"/>
      <c r="CP58" s="331"/>
      <c r="CQ58" s="331"/>
      <c r="CR58" s="331"/>
      <c r="CS58" s="331"/>
      <c r="CT58" s="331"/>
      <c r="CU58" s="331"/>
      <c r="CV58" s="331"/>
      <c r="CW58" s="329">
        <v>0</v>
      </c>
      <c r="CX58" s="329">
        <v>0</v>
      </c>
      <c r="CY58" s="329">
        <v>0</v>
      </c>
      <c r="CZ58" s="329">
        <v>0</v>
      </c>
      <c r="DA58" s="329">
        <v>0</v>
      </c>
      <c r="DB58" s="329">
        <v>0</v>
      </c>
      <c r="DC58" s="329">
        <v>0</v>
      </c>
      <c r="DD58" s="329">
        <v>0</v>
      </c>
      <c r="DE58" s="329">
        <v>0</v>
      </c>
      <c r="DF58" s="329">
        <v>0</v>
      </c>
      <c r="DG58" s="329">
        <v>0</v>
      </c>
      <c r="DH58" s="329">
        <v>0</v>
      </c>
      <c r="DI58" s="330">
        <v>789.06</v>
      </c>
      <c r="DJ58" s="330">
        <v>789.06</v>
      </c>
      <c r="DK58" s="330">
        <v>789.06</v>
      </c>
      <c r="DL58" s="330">
        <v>925.74</v>
      </c>
      <c r="DM58" s="330">
        <v>746.52</v>
      </c>
      <c r="DN58" s="330">
        <v>746.52</v>
      </c>
      <c r="DO58" s="330">
        <v>801.87</v>
      </c>
      <c r="DP58" s="330">
        <v>746.52</v>
      </c>
      <c r="DQ58" s="330">
        <v>762.92</v>
      </c>
      <c r="DR58" s="330">
        <v>785.78</v>
      </c>
      <c r="DS58" s="330">
        <v>937.46</v>
      </c>
      <c r="DT58" s="330">
        <v>1106.5899999999999</v>
      </c>
      <c r="DU58" s="330">
        <v>154.32</v>
      </c>
      <c r="DV58" s="330">
        <v>154.32</v>
      </c>
      <c r="DW58" s="330">
        <v>154.32</v>
      </c>
      <c r="DX58" s="330">
        <v>181.06</v>
      </c>
      <c r="DY58" s="329">
        <v>146</v>
      </c>
      <c r="DZ58" s="329">
        <v>146</v>
      </c>
      <c r="EA58" s="330">
        <v>156.83000000000001</v>
      </c>
      <c r="EB58" s="329">
        <v>146</v>
      </c>
      <c r="EC58" s="330">
        <v>149.21</v>
      </c>
      <c r="ED58" s="330">
        <v>153.68</v>
      </c>
      <c r="EE58" s="330">
        <v>183.35</v>
      </c>
      <c r="EF58" s="329">
        <v>193</v>
      </c>
      <c r="EG58" s="329">
        <v>0</v>
      </c>
      <c r="EH58" s="329">
        <v>0</v>
      </c>
      <c r="EI58" s="329">
        <v>0</v>
      </c>
      <c r="EJ58" s="329">
        <v>0</v>
      </c>
      <c r="EK58" s="329">
        <v>0</v>
      </c>
      <c r="EL58" s="329">
        <v>0</v>
      </c>
      <c r="EM58" s="329">
        <v>0</v>
      </c>
      <c r="EN58" s="329">
        <v>0</v>
      </c>
      <c r="EO58" s="329">
        <v>0</v>
      </c>
      <c r="EP58" s="329">
        <v>0</v>
      </c>
      <c r="EQ58" s="329">
        <v>0</v>
      </c>
      <c r="ER58" s="329">
        <v>0</v>
      </c>
      <c r="ES58" s="329">
        <v>0</v>
      </c>
      <c r="ET58" s="329">
        <v>0</v>
      </c>
      <c r="EU58" s="329">
        <v>0</v>
      </c>
      <c r="EV58" s="329">
        <v>0</v>
      </c>
      <c r="EW58" s="329">
        <v>0</v>
      </c>
      <c r="EX58" s="329">
        <v>0</v>
      </c>
      <c r="EY58" s="329">
        <v>0</v>
      </c>
      <c r="EZ58" s="329">
        <v>0</v>
      </c>
      <c r="FA58" s="329">
        <v>0</v>
      </c>
      <c r="FB58" s="329">
        <v>0</v>
      </c>
      <c r="FC58" s="329">
        <v>0</v>
      </c>
      <c r="FD58" s="329">
        <v>0</v>
      </c>
      <c r="FE58" s="331"/>
      <c r="FF58" s="331"/>
      <c r="FG58" s="331"/>
      <c r="FH58" s="331"/>
      <c r="FI58" s="331"/>
      <c r="FJ58" s="331"/>
      <c r="FK58" s="331"/>
      <c r="FL58" s="331"/>
      <c r="FM58" s="331"/>
      <c r="FN58" s="331"/>
      <c r="FO58" s="331"/>
      <c r="FP58" s="331"/>
      <c r="FQ58" s="329">
        <v>0</v>
      </c>
      <c r="FR58" s="329">
        <v>0</v>
      </c>
      <c r="FS58" s="329">
        <v>0</v>
      </c>
      <c r="FT58" s="329">
        <v>0</v>
      </c>
      <c r="FU58" s="329">
        <v>0</v>
      </c>
      <c r="FV58" s="329">
        <v>0</v>
      </c>
      <c r="FW58" s="329">
        <v>0</v>
      </c>
      <c r="FX58" s="329">
        <v>0</v>
      </c>
      <c r="FY58" s="329">
        <v>0</v>
      </c>
      <c r="FZ58" s="329">
        <v>0</v>
      </c>
      <c r="GA58" s="329">
        <v>0</v>
      </c>
      <c r="GB58" s="329">
        <v>0</v>
      </c>
      <c r="GC58" s="330">
        <v>2654.04</v>
      </c>
      <c r="GD58" s="330">
        <v>2654.04</v>
      </c>
      <c r="GE58" s="330">
        <v>2654.04</v>
      </c>
      <c r="GF58" s="330">
        <v>2863.89</v>
      </c>
      <c r="GG58" s="330">
        <v>2420.38</v>
      </c>
      <c r="GH58" s="330">
        <v>2361.36</v>
      </c>
      <c r="GI58" s="330">
        <v>2498.33</v>
      </c>
      <c r="GJ58" s="330">
        <v>2361.36</v>
      </c>
      <c r="GK58" s="330">
        <v>2401.94</v>
      </c>
      <c r="GL58" s="330">
        <v>2458.52</v>
      </c>
      <c r="GM58" s="330">
        <v>2833.87</v>
      </c>
      <c r="GN58" s="330">
        <v>3882.58</v>
      </c>
      <c r="GO58" s="330">
        <v>2812.91</v>
      </c>
      <c r="GP58" s="330">
        <v>2812.91</v>
      </c>
      <c r="GQ58" s="330">
        <v>2812.91</v>
      </c>
      <c r="GR58" s="330">
        <v>3300.18</v>
      </c>
      <c r="GS58" s="330">
        <v>2661.26</v>
      </c>
      <c r="GT58" s="330">
        <v>2599.2800000000002</v>
      </c>
      <c r="GU58" s="330">
        <v>2792.01</v>
      </c>
      <c r="GV58" s="330">
        <v>2599.2800000000002</v>
      </c>
      <c r="GW58" s="330">
        <v>2656.39</v>
      </c>
      <c r="GX58" s="330">
        <v>2735.99</v>
      </c>
      <c r="GY58" s="330">
        <v>3264.14</v>
      </c>
      <c r="GZ58" s="330">
        <v>3435.99</v>
      </c>
      <c r="HA58" s="330">
        <v>42.23</v>
      </c>
      <c r="HB58" s="330">
        <v>42.23</v>
      </c>
      <c r="HC58" s="330">
        <v>62.42</v>
      </c>
      <c r="HD58" s="330">
        <v>148.72</v>
      </c>
      <c r="HE58" s="330">
        <v>47.74</v>
      </c>
      <c r="HF58" s="330">
        <v>89.91</v>
      </c>
      <c r="HG58" s="330">
        <v>96.34</v>
      </c>
      <c r="HH58" s="330">
        <v>73.86</v>
      </c>
      <c r="HI58" s="330">
        <v>89.91</v>
      </c>
      <c r="HJ58" s="330">
        <v>99.55</v>
      </c>
      <c r="HK58" s="330">
        <v>122.03</v>
      </c>
      <c r="HL58" s="330">
        <v>102.76</v>
      </c>
      <c r="HM58" s="329">
        <v>0</v>
      </c>
      <c r="HN58" s="329">
        <v>0</v>
      </c>
      <c r="HO58" s="329">
        <v>0</v>
      </c>
      <c r="HP58" s="329">
        <v>0</v>
      </c>
      <c r="HQ58" s="329">
        <v>0</v>
      </c>
      <c r="HR58" s="329">
        <v>0</v>
      </c>
      <c r="HS58" s="329">
        <v>0</v>
      </c>
      <c r="HT58" s="329">
        <v>0</v>
      </c>
      <c r="HU58" s="329">
        <v>0</v>
      </c>
      <c r="HV58" s="329">
        <v>0</v>
      </c>
      <c r="HW58" s="329">
        <v>0</v>
      </c>
      <c r="HX58" s="329">
        <v>0</v>
      </c>
      <c r="HY58" s="331"/>
      <c r="HZ58" s="331"/>
      <c r="IA58" s="331"/>
      <c r="IB58" s="331"/>
      <c r="IC58" s="331"/>
      <c r="ID58" s="331"/>
      <c r="IE58" s="331"/>
      <c r="IF58" s="331"/>
      <c r="IG58" s="331"/>
      <c r="IH58" s="331"/>
      <c r="II58" s="331"/>
      <c r="IJ58" s="331"/>
      <c r="IK58" s="329">
        <v>0</v>
      </c>
      <c r="IL58" s="329">
        <v>0</v>
      </c>
      <c r="IM58" s="329">
        <v>0</v>
      </c>
      <c r="IN58" s="329">
        <v>0</v>
      </c>
      <c r="IO58" s="329">
        <v>0</v>
      </c>
      <c r="IP58" s="329">
        <v>0</v>
      </c>
      <c r="IQ58" s="329">
        <v>0</v>
      </c>
      <c r="IR58" s="329">
        <v>0</v>
      </c>
      <c r="IS58" s="329">
        <v>0</v>
      </c>
      <c r="IT58" s="329">
        <v>0</v>
      </c>
      <c r="IU58" s="329">
        <v>0</v>
      </c>
      <c r="IV58" s="329">
        <v>0</v>
      </c>
      <c r="IW58" s="329">
        <v>0</v>
      </c>
      <c r="IX58" s="329">
        <v>0</v>
      </c>
      <c r="IY58" s="329">
        <v>0</v>
      </c>
      <c r="IZ58" s="329">
        <v>0</v>
      </c>
      <c r="JA58" s="329">
        <v>0</v>
      </c>
      <c r="JB58" s="329">
        <v>0</v>
      </c>
      <c r="JC58" s="329">
        <v>0</v>
      </c>
      <c r="JD58" s="329">
        <v>0</v>
      </c>
      <c r="JE58" s="329">
        <v>0</v>
      </c>
      <c r="JF58" s="329">
        <v>0</v>
      </c>
      <c r="JG58" s="329">
        <v>0</v>
      </c>
      <c r="JH58" s="329">
        <v>0</v>
      </c>
      <c r="JI58" s="330">
        <v>526.54999999999995</v>
      </c>
      <c r="JJ58" s="330">
        <v>-52.16</v>
      </c>
      <c r="JK58" s="330">
        <v>-52.16</v>
      </c>
      <c r="JL58" s="330">
        <v>-52.16</v>
      </c>
      <c r="JM58" s="330">
        <v>-61.19</v>
      </c>
      <c r="JN58" s="330">
        <v>-49.35</v>
      </c>
      <c r="JO58" s="330">
        <v>-49.35</v>
      </c>
      <c r="JP58" s="330">
        <v>-53.01</v>
      </c>
      <c r="JQ58" s="330">
        <v>-49.35</v>
      </c>
      <c r="JR58" s="330">
        <v>-50.43</v>
      </c>
      <c r="JS58" s="330">
        <v>-51.94</v>
      </c>
      <c r="JT58" s="330">
        <v>-61.97</v>
      </c>
      <c r="JU58" s="330">
        <v>-57.08</v>
      </c>
      <c r="JV58" s="331"/>
      <c r="JW58" s="331"/>
      <c r="JX58" s="331"/>
      <c r="JY58" s="331"/>
      <c r="JZ58" s="331"/>
      <c r="KA58" s="331"/>
      <c r="KB58" s="331"/>
      <c r="KC58" s="331"/>
      <c r="KD58" s="331"/>
      <c r="KE58" s="331"/>
      <c r="KF58" s="331"/>
      <c r="KG58" s="331"/>
      <c r="KH58" s="331"/>
      <c r="KI58" s="331"/>
      <c r="KJ58" s="331"/>
      <c r="KK58" s="331"/>
      <c r="KL58" s="331"/>
      <c r="KM58" s="331"/>
      <c r="KN58" s="331"/>
      <c r="KO58" s="331"/>
      <c r="KP58" s="331"/>
      <c r="KQ58" s="331"/>
      <c r="KR58" s="331"/>
      <c r="KS58" s="331"/>
      <c r="KT58" s="329">
        <v>0</v>
      </c>
      <c r="KU58" s="329">
        <v>0</v>
      </c>
      <c r="KV58" s="329">
        <v>0</v>
      </c>
      <c r="KW58" s="329">
        <v>0</v>
      </c>
      <c r="KX58" s="329">
        <v>0</v>
      </c>
      <c r="KY58" s="329">
        <v>0</v>
      </c>
      <c r="KZ58" s="329">
        <v>0</v>
      </c>
      <c r="LA58" s="329">
        <v>0</v>
      </c>
      <c r="LB58" s="329">
        <v>0</v>
      </c>
      <c r="LC58" s="329">
        <v>0</v>
      </c>
      <c r="LD58" s="329">
        <v>0</v>
      </c>
      <c r="LE58" s="329">
        <v>0</v>
      </c>
      <c r="LF58" s="329">
        <v>0</v>
      </c>
      <c r="LG58" s="329">
        <v>0</v>
      </c>
      <c r="LH58" s="329">
        <v>0</v>
      </c>
      <c r="LI58" s="329">
        <v>0</v>
      </c>
      <c r="LJ58" s="329">
        <v>0</v>
      </c>
      <c r="LK58" s="329">
        <v>0</v>
      </c>
      <c r="LL58" s="329">
        <v>0</v>
      </c>
      <c r="LM58" s="329">
        <v>0</v>
      </c>
      <c r="LN58" s="329">
        <v>0</v>
      </c>
      <c r="LO58" s="329">
        <v>0</v>
      </c>
      <c r="LP58" s="329">
        <v>0</v>
      </c>
      <c r="LQ58" s="329">
        <v>0</v>
      </c>
      <c r="LR58" s="331"/>
      <c r="LS58" s="331"/>
      <c r="LT58" s="331"/>
      <c r="LU58" s="331"/>
      <c r="LV58" s="331"/>
      <c r="LW58" s="331"/>
      <c r="LX58" s="331"/>
      <c r="LY58" s="331"/>
      <c r="LZ58" s="331"/>
      <c r="MA58" s="331"/>
      <c r="MB58" s="331"/>
      <c r="MC58" s="331"/>
      <c r="MD58" s="331"/>
      <c r="ME58" s="331"/>
      <c r="MF58" s="331"/>
      <c r="MG58" s="331"/>
      <c r="MH58" s="331"/>
      <c r="MI58" s="331"/>
      <c r="MJ58" s="331"/>
      <c r="MK58" s="331"/>
      <c r="ML58" s="331"/>
      <c r="MM58" s="331"/>
      <c r="MN58" s="331"/>
      <c r="MO58" s="331"/>
      <c r="MP58" s="331"/>
      <c r="MQ58" s="331"/>
      <c r="MR58" s="331"/>
      <c r="MS58" s="331"/>
      <c r="MT58" s="331"/>
      <c r="MU58" s="331"/>
      <c r="MV58" s="331"/>
      <c r="MW58" s="331"/>
      <c r="MX58" s="331"/>
      <c r="MY58" s="331"/>
      <c r="MZ58" s="331"/>
      <c r="NA58" s="331"/>
      <c r="NB58" s="331"/>
      <c r="NC58" s="331"/>
      <c r="ND58" s="331"/>
      <c r="NE58" s="331"/>
      <c r="NF58" s="331"/>
      <c r="NG58" s="331"/>
      <c r="NH58" s="331"/>
      <c r="NI58" s="331"/>
      <c r="NJ58" s="331"/>
      <c r="NK58" s="331"/>
      <c r="NL58" s="331"/>
      <c r="NM58" s="331"/>
      <c r="NN58" s="331"/>
      <c r="NO58" s="331"/>
      <c r="NP58" s="331"/>
      <c r="NQ58" s="331"/>
      <c r="NR58" s="331"/>
      <c r="NS58" s="331"/>
      <c r="NT58" s="331"/>
      <c r="NU58" s="331"/>
      <c r="NV58" s="331"/>
      <c r="NW58" s="331"/>
      <c r="NX58" s="331"/>
      <c r="NY58" s="331"/>
      <c r="NZ58" s="331"/>
      <c r="OA58" s="331"/>
      <c r="OB58" s="331"/>
      <c r="OC58" s="331"/>
      <c r="OD58" s="331"/>
      <c r="OE58" s="331"/>
      <c r="OF58" s="331"/>
      <c r="OG58" s="331"/>
      <c r="OH58" s="331"/>
      <c r="OI58" s="331"/>
      <c r="OJ58" s="331"/>
      <c r="OK58" s="331"/>
      <c r="OL58" s="332">
        <f t="shared" si="1"/>
        <v>217851.9199999999</v>
      </c>
    </row>
    <row r="59" spans="1:402" ht="13.5" thickBot="1">
      <c r="A59" s="320" t="s">
        <v>404</v>
      </c>
      <c r="B59" s="328" t="s">
        <v>441</v>
      </c>
      <c r="C59" s="328" t="s">
        <v>206</v>
      </c>
      <c r="D59" s="328" t="s">
        <v>464</v>
      </c>
      <c r="E59" s="331"/>
      <c r="F59" s="329">
        <v>0</v>
      </c>
      <c r="G59" s="329">
        <v>0</v>
      </c>
      <c r="H59" s="329">
        <v>0</v>
      </c>
      <c r="I59" s="329">
        <v>0</v>
      </c>
      <c r="J59" s="331"/>
      <c r="K59" s="329">
        <v>0</v>
      </c>
      <c r="L59" s="329">
        <v>0</v>
      </c>
      <c r="M59" s="331"/>
      <c r="N59" s="329">
        <v>0</v>
      </c>
      <c r="O59" s="329">
        <v>0</v>
      </c>
      <c r="P59" s="331"/>
      <c r="Q59" s="331"/>
      <c r="R59" s="329">
        <v>0</v>
      </c>
      <c r="S59" s="329">
        <v>0</v>
      </c>
      <c r="T59" s="329">
        <v>0</v>
      </c>
      <c r="U59" s="329">
        <v>0</v>
      </c>
      <c r="V59" s="331"/>
      <c r="W59" s="329">
        <v>0</v>
      </c>
      <c r="X59" s="329">
        <v>0</v>
      </c>
      <c r="Y59" s="331"/>
      <c r="Z59" s="329">
        <v>0</v>
      </c>
      <c r="AA59" s="329">
        <v>0</v>
      </c>
      <c r="AB59" s="331"/>
      <c r="AC59" s="331"/>
      <c r="AD59" s="329">
        <v>0</v>
      </c>
      <c r="AE59" s="329">
        <v>0</v>
      </c>
      <c r="AF59" s="329">
        <v>0</v>
      </c>
      <c r="AG59" s="329">
        <v>0</v>
      </c>
      <c r="AH59" s="331"/>
      <c r="AI59" s="329">
        <v>0</v>
      </c>
      <c r="AJ59" s="329">
        <v>0</v>
      </c>
      <c r="AK59" s="331"/>
      <c r="AL59" s="329">
        <v>0</v>
      </c>
      <c r="AM59" s="329">
        <v>0</v>
      </c>
      <c r="AN59" s="331"/>
      <c r="AO59" s="331"/>
      <c r="AP59" s="330">
        <v>249.05</v>
      </c>
      <c r="AQ59" s="330">
        <v>469.47</v>
      </c>
      <c r="AR59" s="330">
        <v>207.04</v>
      </c>
      <c r="AS59" s="330">
        <v>207.04</v>
      </c>
      <c r="AT59" s="331"/>
      <c r="AU59" s="330">
        <v>214.51</v>
      </c>
      <c r="AV59" s="330">
        <v>732.12</v>
      </c>
      <c r="AW59" s="331"/>
      <c r="AX59" s="330">
        <v>340.23</v>
      </c>
      <c r="AY59" s="330">
        <v>340.23</v>
      </c>
      <c r="AZ59" s="331"/>
      <c r="BA59" s="331"/>
      <c r="BB59" s="331"/>
      <c r="BC59" s="331"/>
      <c r="BD59" s="331"/>
      <c r="BE59" s="331"/>
      <c r="BF59" s="331"/>
      <c r="BG59" s="331"/>
      <c r="BH59" s="331"/>
      <c r="BI59" s="331"/>
      <c r="BJ59" s="331"/>
      <c r="BK59" s="331"/>
      <c r="BL59" s="331"/>
      <c r="BM59" s="331"/>
      <c r="BN59" s="329">
        <v>0</v>
      </c>
      <c r="BO59" s="329">
        <v>0</v>
      </c>
      <c r="BP59" s="329">
        <v>0</v>
      </c>
      <c r="BQ59" s="329">
        <v>0</v>
      </c>
      <c r="BR59" s="331"/>
      <c r="BS59" s="329">
        <v>0</v>
      </c>
      <c r="BT59" s="329">
        <v>0</v>
      </c>
      <c r="BU59" s="331"/>
      <c r="BV59" s="329">
        <v>0</v>
      </c>
      <c r="BW59" s="329">
        <v>0</v>
      </c>
      <c r="BX59" s="331"/>
      <c r="BY59" s="331"/>
      <c r="BZ59" s="329">
        <v>0</v>
      </c>
      <c r="CA59" s="329">
        <v>0</v>
      </c>
      <c r="CB59" s="329">
        <v>0</v>
      </c>
      <c r="CC59" s="329">
        <v>0</v>
      </c>
      <c r="CD59" s="331"/>
      <c r="CE59" s="329">
        <v>0</v>
      </c>
      <c r="CF59" s="329">
        <v>0</v>
      </c>
      <c r="CG59" s="331"/>
      <c r="CH59" s="329">
        <v>0</v>
      </c>
      <c r="CI59" s="329">
        <v>0</v>
      </c>
      <c r="CJ59" s="331"/>
      <c r="CK59" s="331"/>
      <c r="CL59" s="331"/>
      <c r="CM59" s="331"/>
      <c r="CN59" s="331"/>
      <c r="CO59" s="331"/>
      <c r="CP59" s="331"/>
      <c r="CQ59" s="331"/>
      <c r="CR59" s="331"/>
      <c r="CS59" s="331"/>
      <c r="CT59" s="331"/>
      <c r="CU59" s="331"/>
      <c r="CV59" s="331"/>
      <c r="CW59" s="331"/>
      <c r="CX59" s="329">
        <v>0</v>
      </c>
      <c r="CY59" s="329">
        <v>0</v>
      </c>
      <c r="CZ59" s="329">
        <v>0</v>
      </c>
      <c r="DA59" s="329">
        <v>0</v>
      </c>
      <c r="DB59" s="331"/>
      <c r="DC59" s="329">
        <v>0</v>
      </c>
      <c r="DD59" s="329">
        <v>0</v>
      </c>
      <c r="DE59" s="331"/>
      <c r="DF59" s="329">
        <v>0</v>
      </c>
      <c r="DG59" s="329">
        <v>0</v>
      </c>
      <c r="DH59" s="331"/>
      <c r="DI59" s="331"/>
      <c r="DJ59" s="330">
        <v>8.2200000000000006</v>
      </c>
      <c r="DK59" s="330">
        <v>14.39</v>
      </c>
      <c r="DL59" s="330">
        <v>5.21</v>
      </c>
      <c r="DM59" s="330">
        <v>5.21</v>
      </c>
      <c r="DN59" s="331"/>
      <c r="DO59" s="330">
        <v>5.75</v>
      </c>
      <c r="DP59" s="330">
        <v>33.200000000000003</v>
      </c>
      <c r="DQ59" s="331"/>
      <c r="DR59" s="330">
        <v>14.75</v>
      </c>
      <c r="DS59" s="330">
        <v>14.75</v>
      </c>
      <c r="DT59" s="331"/>
      <c r="DU59" s="331"/>
      <c r="DV59" s="330">
        <v>1.61</v>
      </c>
      <c r="DW59" s="330">
        <v>2.82</v>
      </c>
      <c r="DX59" s="330">
        <v>1.02</v>
      </c>
      <c r="DY59" s="330">
        <v>1.02</v>
      </c>
      <c r="DZ59" s="331"/>
      <c r="EA59" s="330">
        <v>1.1200000000000001</v>
      </c>
      <c r="EB59" s="330">
        <v>6.5</v>
      </c>
      <c r="EC59" s="331"/>
      <c r="ED59" s="330">
        <v>2.89</v>
      </c>
      <c r="EE59" s="330">
        <v>2.89</v>
      </c>
      <c r="EF59" s="331"/>
      <c r="EG59" s="331"/>
      <c r="EH59" s="329">
        <v>0</v>
      </c>
      <c r="EI59" s="329">
        <v>0</v>
      </c>
      <c r="EJ59" s="329">
        <v>0</v>
      </c>
      <c r="EK59" s="329">
        <v>0</v>
      </c>
      <c r="EL59" s="331"/>
      <c r="EM59" s="329">
        <v>0</v>
      </c>
      <c r="EN59" s="329">
        <v>0</v>
      </c>
      <c r="EO59" s="331"/>
      <c r="EP59" s="329">
        <v>0</v>
      </c>
      <c r="EQ59" s="329">
        <v>0</v>
      </c>
      <c r="ER59" s="331"/>
      <c r="ES59" s="331"/>
      <c r="ET59" s="329">
        <v>0</v>
      </c>
      <c r="EU59" s="329">
        <v>0</v>
      </c>
      <c r="EV59" s="329">
        <v>0</v>
      </c>
      <c r="EW59" s="329">
        <v>0</v>
      </c>
      <c r="EX59" s="331"/>
      <c r="EY59" s="329">
        <v>0</v>
      </c>
      <c r="EZ59" s="329">
        <v>0</v>
      </c>
      <c r="FA59" s="331"/>
      <c r="FB59" s="329">
        <v>0</v>
      </c>
      <c r="FC59" s="329">
        <v>0</v>
      </c>
      <c r="FD59" s="331"/>
      <c r="FE59" s="331"/>
      <c r="FF59" s="331"/>
      <c r="FG59" s="331"/>
      <c r="FH59" s="331"/>
      <c r="FI59" s="331"/>
      <c r="FJ59" s="331"/>
      <c r="FK59" s="331"/>
      <c r="FL59" s="331"/>
      <c r="FM59" s="331"/>
      <c r="FN59" s="331"/>
      <c r="FO59" s="331"/>
      <c r="FP59" s="331"/>
      <c r="FQ59" s="331"/>
      <c r="FR59" s="329">
        <v>0</v>
      </c>
      <c r="FS59" s="329">
        <v>0</v>
      </c>
      <c r="FT59" s="329">
        <v>0</v>
      </c>
      <c r="FU59" s="329">
        <v>0</v>
      </c>
      <c r="FV59" s="331"/>
      <c r="FW59" s="329">
        <v>0</v>
      </c>
      <c r="FX59" s="329">
        <v>0</v>
      </c>
      <c r="FY59" s="331"/>
      <c r="FZ59" s="329">
        <v>0</v>
      </c>
      <c r="GA59" s="329">
        <v>0</v>
      </c>
      <c r="GB59" s="331"/>
      <c r="GC59" s="331"/>
      <c r="GD59" s="330">
        <v>78.47</v>
      </c>
      <c r="GE59" s="330">
        <v>151.86000000000001</v>
      </c>
      <c r="GF59" s="330">
        <v>93.32</v>
      </c>
      <c r="GG59" s="330">
        <v>93.32</v>
      </c>
      <c r="GH59" s="331"/>
      <c r="GI59" s="330">
        <v>86.37</v>
      </c>
      <c r="GJ59" s="330">
        <v>226.44</v>
      </c>
      <c r="GK59" s="331"/>
      <c r="GL59" s="330">
        <v>108.64</v>
      </c>
      <c r="GM59" s="330">
        <v>108.64</v>
      </c>
      <c r="GN59" s="331"/>
      <c r="GO59" s="331"/>
      <c r="GP59" s="330">
        <v>29.31</v>
      </c>
      <c r="GQ59" s="330">
        <v>51.31</v>
      </c>
      <c r="GR59" s="330">
        <v>18.59</v>
      </c>
      <c r="GS59" s="330">
        <v>18.59</v>
      </c>
      <c r="GT59" s="331"/>
      <c r="GU59" s="330">
        <v>20.02</v>
      </c>
      <c r="GV59" s="330">
        <v>115.6</v>
      </c>
      <c r="GW59" s="331"/>
      <c r="GX59" s="330">
        <v>51.36</v>
      </c>
      <c r="GY59" s="330">
        <v>51.36</v>
      </c>
      <c r="GZ59" s="331"/>
      <c r="HA59" s="331"/>
      <c r="HB59" s="330">
        <v>3.37</v>
      </c>
      <c r="HC59" s="330">
        <v>8.27</v>
      </c>
      <c r="HD59" s="330">
        <v>3.83</v>
      </c>
      <c r="HE59" s="330">
        <v>3.67</v>
      </c>
      <c r="HF59" s="331"/>
      <c r="HG59" s="330">
        <v>6.96</v>
      </c>
      <c r="HH59" s="330">
        <v>12.3</v>
      </c>
      <c r="HI59" s="331"/>
      <c r="HJ59" s="330">
        <v>6.15</v>
      </c>
      <c r="HK59" s="330">
        <v>5.08</v>
      </c>
      <c r="HL59" s="331"/>
      <c r="HM59" s="331"/>
      <c r="HN59" s="329">
        <v>0</v>
      </c>
      <c r="HO59" s="329">
        <v>0</v>
      </c>
      <c r="HP59" s="329">
        <v>0</v>
      </c>
      <c r="HQ59" s="329">
        <v>0</v>
      </c>
      <c r="HR59" s="331"/>
      <c r="HS59" s="329">
        <v>0</v>
      </c>
      <c r="HT59" s="329">
        <v>0</v>
      </c>
      <c r="HU59" s="331"/>
      <c r="HV59" s="329">
        <v>0</v>
      </c>
      <c r="HW59" s="329">
        <v>0</v>
      </c>
      <c r="HX59" s="331"/>
      <c r="HY59" s="331"/>
      <c r="HZ59" s="331"/>
      <c r="IA59" s="331"/>
      <c r="IB59" s="331"/>
      <c r="IC59" s="331"/>
      <c r="ID59" s="331"/>
      <c r="IE59" s="331"/>
      <c r="IF59" s="331"/>
      <c r="IG59" s="331"/>
      <c r="IH59" s="331"/>
      <c r="II59" s="331"/>
      <c r="IJ59" s="331"/>
      <c r="IK59" s="331"/>
      <c r="IL59" s="329">
        <v>0</v>
      </c>
      <c r="IM59" s="329">
        <v>0</v>
      </c>
      <c r="IN59" s="329">
        <v>0</v>
      </c>
      <c r="IO59" s="329">
        <v>0</v>
      </c>
      <c r="IP59" s="331"/>
      <c r="IQ59" s="329">
        <v>0</v>
      </c>
      <c r="IR59" s="329">
        <v>0</v>
      </c>
      <c r="IS59" s="331"/>
      <c r="IT59" s="329">
        <v>0</v>
      </c>
      <c r="IU59" s="329">
        <v>0</v>
      </c>
      <c r="IV59" s="331"/>
      <c r="IW59" s="331"/>
      <c r="IX59" s="329">
        <v>0</v>
      </c>
      <c r="IY59" s="329">
        <v>0</v>
      </c>
      <c r="IZ59" s="329">
        <v>0</v>
      </c>
      <c r="JA59" s="329">
        <v>0</v>
      </c>
      <c r="JB59" s="331"/>
      <c r="JC59" s="329">
        <v>0</v>
      </c>
      <c r="JD59" s="329">
        <v>0</v>
      </c>
      <c r="JE59" s="331"/>
      <c r="JF59" s="329">
        <v>0</v>
      </c>
      <c r="JG59" s="329">
        <v>0</v>
      </c>
      <c r="JH59" s="331"/>
      <c r="JI59" s="331"/>
      <c r="JJ59" s="331"/>
      <c r="JK59" s="330">
        <v>-0.54</v>
      </c>
      <c r="JL59" s="330">
        <v>-0.95</v>
      </c>
      <c r="JM59" s="330">
        <v>-0.34</v>
      </c>
      <c r="JN59" s="330">
        <v>-0.34</v>
      </c>
      <c r="JO59" s="331"/>
      <c r="JP59" s="330">
        <v>-0.38</v>
      </c>
      <c r="JQ59" s="330">
        <v>-2.2000000000000002</v>
      </c>
      <c r="JR59" s="331"/>
      <c r="JS59" s="330">
        <v>-0.98</v>
      </c>
      <c r="JT59" s="330">
        <v>-0.98</v>
      </c>
      <c r="JU59" s="331"/>
      <c r="JV59" s="331"/>
      <c r="JW59" s="331"/>
      <c r="JX59" s="331"/>
      <c r="JY59" s="331"/>
      <c r="JZ59" s="331"/>
      <c r="KA59" s="331"/>
      <c r="KB59" s="331"/>
      <c r="KC59" s="331"/>
      <c r="KD59" s="331"/>
      <c r="KE59" s="331"/>
      <c r="KF59" s="331"/>
      <c r="KG59" s="331"/>
      <c r="KH59" s="331"/>
      <c r="KI59" s="331"/>
      <c r="KJ59" s="331"/>
      <c r="KK59" s="331"/>
      <c r="KL59" s="331"/>
      <c r="KM59" s="331"/>
      <c r="KN59" s="331"/>
      <c r="KO59" s="331"/>
      <c r="KP59" s="331"/>
      <c r="KQ59" s="331"/>
      <c r="KR59" s="331"/>
      <c r="KS59" s="331"/>
      <c r="KT59" s="331"/>
      <c r="KU59" s="329">
        <v>0</v>
      </c>
      <c r="KV59" s="329">
        <v>0</v>
      </c>
      <c r="KW59" s="329">
        <v>0</v>
      </c>
      <c r="KX59" s="329">
        <v>0</v>
      </c>
      <c r="KY59" s="331"/>
      <c r="KZ59" s="329">
        <v>0</v>
      </c>
      <c r="LA59" s="329">
        <v>0</v>
      </c>
      <c r="LB59" s="331"/>
      <c r="LC59" s="329">
        <v>0</v>
      </c>
      <c r="LD59" s="329">
        <v>0</v>
      </c>
      <c r="LE59" s="331"/>
      <c r="LF59" s="331"/>
      <c r="LG59" s="329">
        <v>0</v>
      </c>
      <c r="LH59" s="329">
        <v>0</v>
      </c>
      <c r="LI59" s="329">
        <v>0</v>
      </c>
      <c r="LJ59" s="329">
        <v>0</v>
      </c>
      <c r="LK59" s="331"/>
      <c r="LL59" s="329">
        <v>0</v>
      </c>
      <c r="LM59" s="329">
        <v>0</v>
      </c>
      <c r="LN59" s="331"/>
      <c r="LO59" s="329">
        <v>0</v>
      </c>
      <c r="LP59" s="329">
        <v>0</v>
      </c>
      <c r="LQ59" s="331"/>
      <c r="LR59" s="331"/>
      <c r="LS59" s="331"/>
      <c r="LT59" s="331"/>
      <c r="LU59" s="331"/>
      <c r="LV59" s="331"/>
      <c r="LW59" s="331"/>
      <c r="LX59" s="331"/>
      <c r="LY59" s="331"/>
      <c r="LZ59" s="331"/>
      <c r="MA59" s="331"/>
      <c r="MB59" s="331"/>
      <c r="MC59" s="331"/>
      <c r="MD59" s="331"/>
      <c r="ME59" s="331"/>
      <c r="MF59" s="331"/>
      <c r="MG59" s="331"/>
      <c r="MH59" s="331"/>
      <c r="MI59" s="331"/>
      <c r="MJ59" s="331"/>
      <c r="MK59" s="331"/>
      <c r="ML59" s="331"/>
      <c r="MM59" s="331"/>
      <c r="MN59" s="331"/>
      <c r="MO59" s="331"/>
      <c r="MP59" s="331"/>
      <c r="MQ59" s="331"/>
      <c r="MR59" s="331"/>
      <c r="MS59" s="331"/>
      <c r="MT59" s="331"/>
      <c r="MU59" s="331"/>
      <c r="MV59" s="331"/>
      <c r="MW59" s="331"/>
      <c r="MX59" s="331"/>
      <c r="MY59" s="331"/>
      <c r="MZ59" s="331"/>
      <c r="NA59" s="331"/>
      <c r="NB59" s="331"/>
      <c r="NC59" s="331"/>
      <c r="ND59" s="331"/>
      <c r="NE59" s="331"/>
      <c r="NF59" s="331"/>
      <c r="NG59" s="331"/>
      <c r="NH59" s="331"/>
      <c r="NI59" s="331"/>
      <c r="NJ59" s="331"/>
      <c r="NK59" s="331"/>
      <c r="NL59" s="331"/>
      <c r="NM59" s="331"/>
      <c r="NN59" s="331"/>
      <c r="NO59" s="331"/>
      <c r="NP59" s="331"/>
      <c r="NQ59" s="331"/>
      <c r="NR59" s="331"/>
      <c r="NS59" s="331"/>
      <c r="NT59" s="331"/>
      <c r="NU59" s="331"/>
      <c r="NV59" s="331"/>
      <c r="NW59" s="331"/>
      <c r="NX59" s="331"/>
      <c r="NY59" s="331"/>
      <c r="NZ59" s="331"/>
      <c r="OA59" s="331"/>
      <c r="OB59" s="331"/>
      <c r="OC59" s="331"/>
      <c r="OD59" s="331"/>
      <c r="OE59" s="331"/>
      <c r="OF59" s="331"/>
      <c r="OG59" s="331"/>
      <c r="OH59" s="331"/>
      <c r="OI59" s="331"/>
      <c r="OJ59" s="331"/>
      <c r="OK59" s="331"/>
      <c r="OL59" s="332">
        <f t="shared" si="1"/>
        <v>4227.16</v>
      </c>
    </row>
    <row r="60" spans="1:402" s="337" customFormat="1" ht="13.5" thickBot="1">
      <c r="A60" s="333"/>
      <c r="B60" s="333"/>
      <c r="C60" s="333"/>
      <c r="D60" s="334" t="s">
        <v>465</v>
      </c>
      <c r="E60" s="335">
        <f>SUM(E3:E59)</f>
        <v>0</v>
      </c>
      <c r="F60" s="335">
        <f t="shared" ref="F60:BQ60" si="2">SUM(F3:F59)</f>
        <v>0</v>
      </c>
      <c r="G60" s="335">
        <f t="shared" si="2"/>
        <v>0</v>
      </c>
      <c r="H60" s="335">
        <f t="shared" si="2"/>
        <v>0</v>
      </c>
      <c r="I60" s="335">
        <f t="shared" si="2"/>
        <v>0</v>
      </c>
      <c r="J60" s="335">
        <f t="shared" si="2"/>
        <v>0</v>
      </c>
      <c r="K60" s="335">
        <f t="shared" si="2"/>
        <v>0</v>
      </c>
      <c r="L60" s="335">
        <f t="shared" si="2"/>
        <v>0</v>
      </c>
      <c r="M60" s="335">
        <f t="shared" si="2"/>
        <v>0</v>
      </c>
      <c r="N60" s="335">
        <f t="shared" si="2"/>
        <v>0</v>
      </c>
      <c r="O60" s="335">
        <f t="shared" si="2"/>
        <v>0</v>
      </c>
      <c r="P60" s="335">
        <f t="shared" si="2"/>
        <v>0</v>
      </c>
      <c r="Q60" s="335">
        <f t="shared" si="2"/>
        <v>0</v>
      </c>
      <c r="R60" s="335">
        <f t="shared" si="2"/>
        <v>0</v>
      </c>
      <c r="S60" s="335">
        <f t="shared" si="2"/>
        <v>0</v>
      </c>
      <c r="T60" s="335">
        <f t="shared" si="2"/>
        <v>0</v>
      </c>
      <c r="U60" s="335">
        <f t="shared" si="2"/>
        <v>0</v>
      </c>
      <c r="V60" s="335">
        <f t="shared" si="2"/>
        <v>0</v>
      </c>
      <c r="W60" s="335">
        <f t="shared" si="2"/>
        <v>0</v>
      </c>
      <c r="X60" s="335">
        <f t="shared" si="2"/>
        <v>0</v>
      </c>
      <c r="Y60" s="335">
        <f t="shared" si="2"/>
        <v>0</v>
      </c>
      <c r="Z60" s="335">
        <f t="shared" si="2"/>
        <v>0</v>
      </c>
      <c r="AA60" s="335">
        <f t="shared" si="2"/>
        <v>0</v>
      </c>
      <c r="AB60" s="335">
        <f t="shared" si="2"/>
        <v>0</v>
      </c>
      <c r="AC60" s="335">
        <f t="shared" si="2"/>
        <v>0</v>
      </c>
      <c r="AD60" s="335">
        <f t="shared" si="2"/>
        <v>0</v>
      </c>
      <c r="AE60" s="335">
        <f t="shared" si="2"/>
        <v>0</v>
      </c>
      <c r="AF60" s="335">
        <f t="shared" si="2"/>
        <v>0</v>
      </c>
      <c r="AG60" s="335">
        <f t="shared" si="2"/>
        <v>0</v>
      </c>
      <c r="AH60" s="335">
        <f t="shared" si="2"/>
        <v>0</v>
      </c>
      <c r="AI60" s="335">
        <f t="shared" si="2"/>
        <v>0</v>
      </c>
      <c r="AJ60" s="335">
        <f t="shared" si="2"/>
        <v>0</v>
      </c>
      <c r="AK60" s="335">
        <f t="shared" si="2"/>
        <v>0</v>
      </c>
      <c r="AL60" s="335">
        <f t="shared" si="2"/>
        <v>0</v>
      </c>
      <c r="AM60" s="335">
        <f t="shared" si="2"/>
        <v>0</v>
      </c>
      <c r="AN60" s="335">
        <f t="shared" si="2"/>
        <v>0</v>
      </c>
      <c r="AO60" s="335">
        <f t="shared" si="2"/>
        <v>565616.61000000022</v>
      </c>
      <c r="AP60" s="335">
        <f t="shared" si="2"/>
        <v>567230.82000000018</v>
      </c>
      <c r="AQ60" s="335">
        <f t="shared" si="2"/>
        <v>562691.17999999982</v>
      </c>
      <c r="AR60" s="335">
        <f t="shared" si="2"/>
        <v>568154.12999999989</v>
      </c>
      <c r="AS60" s="335">
        <f t="shared" si="2"/>
        <v>559184.61999999988</v>
      </c>
      <c r="AT60" s="335">
        <f t="shared" si="2"/>
        <v>564356.57999999996</v>
      </c>
      <c r="AU60" s="335">
        <f t="shared" si="2"/>
        <v>555709.57000000007</v>
      </c>
      <c r="AV60" s="335">
        <f t="shared" si="2"/>
        <v>543145.07000000007</v>
      </c>
      <c r="AW60" s="335">
        <f t="shared" si="2"/>
        <v>557977.04</v>
      </c>
      <c r="AX60" s="335">
        <f t="shared" si="2"/>
        <v>534694.30999999994</v>
      </c>
      <c r="AY60" s="335">
        <f t="shared" si="2"/>
        <v>535154.25</v>
      </c>
      <c r="AZ60" s="335">
        <f t="shared" si="2"/>
        <v>541098.16999999993</v>
      </c>
      <c r="BA60" s="335">
        <f t="shared" si="2"/>
        <v>0</v>
      </c>
      <c r="BB60" s="335">
        <f t="shared" si="2"/>
        <v>0</v>
      </c>
      <c r="BC60" s="335">
        <f t="shared" si="2"/>
        <v>0</v>
      </c>
      <c r="BD60" s="335">
        <f t="shared" si="2"/>
        <v>0</v>
      </c>
      <c r="BE60" s="335">
        <f t="shared" si="2"/>
        <v>0</v>
      </c>
      <c r="BF60" s="335">
        <f t="shared" si="2"/>
        <v>0</v>
      </c>
      <c r="BG60" s="335">
        <f t="shared" si="2"/>
        <v>0</v>
      </c>
      <c r="BH60" s="335">
        <f t="shared" si="2"/>
        <v>0</v>
      </c>
      <c r="BI60" s="335">
        <f t="shared" si="2"/>
        <v>0</v>
      </c>
      <c r="BJ60" s="335">
        <f t="shared" si="2"/>
        <v>0</v>
      </c>
      <c r="BK60" s="335">
        <f t="shared" si="2"/>
        <v>0</v>
      </c>
      <c r="BL60" s="335">
        <f t="shared" si="2"/>
        <v>0</v>
      </c>
      <c r="BM60" s="335">
        <f t="shared" si="2"/>
        <v>0</v>
      </c>
      <c r="BN60" s="335">
        <f t="shared" si="2"/>
        <v>0</v>
      </c>
      <c r="BO60" s="335">
        <f t="shared" si="2"/>
        <v>0</v>
      </c>
      <c r="BP60" s="335">
        <f t="shared" si="2"/>
        <v>0</v>
      </c>
      <c r="BQ60" s="335">
        <f t="shared" si="2"/>
        <v>0</v>
      </c>
      <c r="BR60" s="335">
        <f t="shared" ref="BR60:EC60" si="3">SUM(BR3:BR59)</f>
        <v>0</v>
      </c>
      <c r="BS60" s="335">
        <f t="shared" si="3"/>
        <v>0</v>
      </c>
      <c r="BT60" s="335">
        <f t="shared" si="3"/>
        <v>0</v>
      </c>
      <c r="BU60" s="335">
        <f t="shared" si="3"/>
        <v>0</v>
      </c>
      <c r="BV60" s="335">
        <f t="shared" si="3"/>
        <v>0</v>
      </c>
      <c r="BW60" s="335">
        <f t="shared" si="3"/>
        <v>0</v>
      </c>
      <c r="BX60" s="335">
        <f t="shared" si="3"/>
        <v>0</v>
      </c>
      <c r="BY60" s="335">
        <f t="shared" si="3"/>
        <v>0</v>
      </c>
      <c r="BZ60" s="335">
        <f t="shared" si="3"/>
        <v>0</v>
      </c>
      <c r="CA60" s="335">
        <f t="shared" si="3"/>
        <v>0</v>
      </c>
      <c r="CB60" s="335">
        <f t="shared" si="3"/>
        <v>0</v>
      </c>
      <c r="CC60" s="335">
        <f t="shared" si="3"/>
        <v>0</v>
      </c>
      <c r="CD60" s="335">
        <f t="shared" si="3"/>
        <v>0</v>
      </c>
      <c r="CE60" s="335">
        <f t="shared" si="3"/>
        <v>0</v>
      </c>
      <c r="CF60" s="335">
        <f t="shared" si="3"/>
        <v>0</v>
      </c>
      <c r="CG60" s="335">
        <f t="shared" si="3"/>
        <v>0</v>
      </c>
      <c r="CH60" s="335">
        <f t="shared" si="3"/>
        <v>0</v>
      </c>
      <c r="CI60" s="335">
        <f t="shared" si="3"/>
        <v>0</v>
      </c>
      <c r="CJ60" s="335">
        <f t="shared" si="3"/>
        <v>0</v>
      </c>
      <c r="CK60" s="335">
        <f t="shared" si="3"/>
        <v>0</v>
      </c>
      <c r="CL60" s="335">
        <f t="shared" si="3"/>
        <v>0</v>
      </c>
      <c r="CM60" s="335">
        <f t="shared" si="3"/>
        <v>0</v>
      </c>
      <c r="CN60" s="335">
        <f t="shared" si="3"/>
        <v>0</v>
      </c>
      <c r="CO60" s="335">
        <f t="shared" si="3"/>
        <v>0</v>
      </c>
      <c r="CP60" s="335">
        <f t="shared" si="3"/>
        <v>0</v>
      </c>
      <c r="CQ60" s="335">
        <f t="shared" si="3"/>
        <v>0</v>
      </c>
      <c r="CR60" s="335">
        <f t="shared" si="3"/>
        <v>0</v>
      </c>
      <c r="CS60" s="335">
        <f t="shared" si="3"/>
        <v>0</v>
      </c>
      <c r="CT60" s="335">
        <f t="shared" si="3"/>
        <v>0</v>
      </c>
      <c r="CU60" s="335">
        <f t="shared" si="3"/>
        <v>0</v>
      </c>
      <c r="CV60" s="335">
        <f t="shared" si="3"/>
        <v>0</v>
      </c>
      <c r="CW60" s="335">
        <f t="shared" si="3"/>
        <v>0</v>
      </c>
      <c r="CX60" s="335">
        <f t="shared" si="3"/>
        <v>0</v>
      </c>
      <c r="CY60" s="335">
        <f t="shared" si="3"/>
        <v>0</v>
      </c>
      <c r="CZ60" s="335">
        <f t="shared" si="3"/>
        <v>0</v>
      </c>
      <c r="DA60" s="335">
        <f t="shared" si="3"/>
        <v>0</v>
      </c>
      <c r="DB60" s="335">
        <f t="shared" si="3"/>
        <v>0</v>
      </c>
      <c r="DC60" s="335">
        <f t="shared" si="3"/>
        <v>0</v>
      </c>
      <c r="DD60" s="335">
        <f t="shared" si="3"/>
        <v>0</v>
      </c>
      <c r="DE60" s="335">
        <f t="shared" si="3"/>
        <v>0</v>
      </c>
      <c r="DF60" s="335">
        <f t="shared" si="3"/>
        <v>0</v>
      </c>
      <c r="DG60" s="335">
        <f t="shared" si="3"/>
        <v>0</v>
      </c>
      <c r="DH60" s="335">
        <f t="shared" si="3"/>
        <v>0</v>
      </c>
      <c r="DI60" s="335">
        <f t="shared" si="3"/>
        <v>16230.069999999998</v>
      </c>
      <c r="DJ60" s="335">
        <f t="shared" si="3"/>
        <v>16445.890000000003</v>
      </c>
      <c r="DK60" s="335">
        <f t="shared" si="3"/>
        <v>16158.789999999997</v>
      </c>
      <c r="DL60" s="335">
        <f t="shared" si="3"/>
        <v>16337.689999999997</v>
      </c>
      <c r="DM60" s="335">
        <f t="shared" si="3"/>
        <v>15991.619999999997</v>
      </c>
      <c r="DN60" s="335">
        <f t="shared" si="3"/>
        <v>16068.009999999998</v>
      </c>
      <c r="DO60" s="335">
        <f t="shared" si="3"/>
        <v>15859.83</v>
      </c>
      <c r="DP60" s="335">
        <f t="shared" si="3"/>
        <v>15936.000000000002</v>
      </c>
      <c r="DQ60" s="335">
        <f t="shared" si="3"/>
        <v>17173.889999999996</v>
      </c>
      <c r="DR60" s="335">
        <f t="shared" si="3"/>
        <v>15905.560000000003</v>
      </c>
      <c r="DS60" s="335">
        <f t="shared" si="3"/>
        <v>16023.7</v>
      </c>
      <c r="DT60" s="335">
        <f t="shared" si="3"/>
        <v>18406.239999999998</v>
      </c>
      <c r="DU60" s="335">
        <f t="shared" si="3"/>
        <v>7822.6299999999992</v>
      </c>
      <c r="DV60" s="335">
        <f t="shared" si="3"/>
        <v>7836.6699999999992</v>
      </c>
      <c r="DW60" s="335">
        <f t="shared" si="3"/>
        <v>7769.329999999999</v>
      </c>
      <c r="DX60" s="335">
        <f t="shared" si="3"/>
        <v>7849.6000000000013</v>
      </c>
      <c r="DY60" s="335">
        <f t="shared" si="3"/>
        <v>7725.8600000000006</v>
      </c>
      <c r="DZ60" s="335">
        <f t="shared" si="3"/>
        <v>7802.03</v>
      </c>
      <c r="EA60" s="335">
        <f t="shared" si="3"/>
        <v>7680.91</v>
      </c>
      <c r="EB60" s="335">
        <f t="shared" si="3"/>
        <v>7501.1699999999992</v>
      </c>
      <c r="EC60" s="335">
        <f t="shared" si="3"/>
        <v>7712.6500000000015</v>
      </c>
      <c r="ED60" s="335">
        <f t="shared" ref="ED60:GO60" si="4">SUM(ED3:ED59)</f>
        <v>7384.9100000000017</v>
      </c>
      <c r="EE60" s="335">
        <f t="shared" si="4"/>
        <v>7391.2099999999982</v>
      </c>
      <c r="EF60" s="335">
        <f t="shared" si="4"/>
        <v>7480.0399999999991</v>
      </c>
      <c r="EG60" s="335">
        <f t="shared" si="4"/>
        <v>0</v>
      </c>
      <c r="EH60" s="335">
        <f t="shared" si="4"/>
        <v>0</v>
      </c>
      <c r="EI60" s="335">
        <f t="shared" si="4"/>
        <v>0</v>
      </c>
      <c r="EJ60" s="335">
        <f t="shared" si="4"/>
        <v>0</v>
      </c>
      <c r="EK60" s="335">
        <f t="shared" si="4"/>
        <v>0</v>
      </c>
      <c r="EL60" s="335">
        <f t="shared" si="4"/>
        <v>0</v>
      </c>
      <c r="EM60" s="335">
        <f t="shared" si="4"/>
        <v>0</v>
      </c>
      <c r="EN60" s="335">
        <f t="shared" si="4"/>
        <v>0</v>
      </c>
      <c r="EO60" s="335">
        <f t="shared" si="4"/>
        <v>0</v>
      </c>
      <c r="EP60" s="335">
        <f t="shared" si="4"/>
        <v>0</v>
      </c>
      <c r="EQ60" s="335">
        <f t="shared" si="4"/>
        <v>0</v>
      </c>
      <c r="ER60" s="335">
        <f t="shared" si="4"/>
        <v>0</v>
      </c>
      <c r="ES60" s="335">
        <f t="shared" si="4"/>
        <v>0</v>
      </c>
      <c r="ET60" s="335">
        <f t="shared" si="4"/>
        <v>0</v>
      </c>
      <c r="EU60" s="335">
        <f t="shared" si="4"/>
        <v>0</v>
      </c>
      <c r="EV60" s="335">
        <f t="shared" si="4"/>
        <v>0</v>
      </c>
      <c r="EW60" s="335">
        <f t="shared" si="4"/>
        <v>0</v>
      </c>
      <c r="EX60" s="335">
        <f t="shared" si="4"/>
        <v>0</v>
      </c>
      <c r="EY60" s="335">
        <f t="shared" si="4"/>
        <v>0</v>
      </c>
      <c r="EZ60" s="335">
        <f t="shared" si="4"/>
        <v>0</v>
      </c>
      <c r="FA60" s="335">
        <f t="shared" si="4"/>
        <v>0</v>
      </c>
      <c r="FB60" s="335">
        <f t="shared" si="4"/>
        <v>0</v>
      </c>
      <c r="FC60" s="335">
        <f t="shared" si="4"/>
        <v>0</v>
      </c>
      <c r="FD60" s="335">
        <f t="shared" si="4"/>
        <v>0</v>
      </c>
      <c r="FE60" s="335">
        <f t="shared" si="4"/>
        <v>0</v>
      </c>
      <c r="FF60" s="335">
        <f t="shared" si="4"/>
        <v>0</v>
      </c>
      <c r="FG60" s="335">
        <f t="shared" si="4"/>
        <v>0</v>
      </c>
      <c r="FH60" s="335">
        <f t="shared" si="4"/>
        <v>0</v>
      </c>
      <c r="FI60" s="335">
        <f t="shared" si="4"/>
        <v>0</v>
      </c>
      <c r="FJ60" s="335">
        <f t="shared" si="4"/>
        <v>0</v>
      </c>
      <c r="FK60" s="335">
        <f t="shared" si="4"/>
        <v>0</v>
      </c>
      <c r="FL60" s="335">
        <f t="shared" si="4"/>
        <v>0</v>
      </c>
      <c r="FM60" s="335">
        <f t="shared" si="4"/>
        <v>0</v>
      </c>
      <c r="FN60" s="335">
        <f t="shared" si="4"/>
        <v>0</v>
      </c>
      <c r="FO60" s="335">
        <f t="shared" si="4"/>
        <v>0</v>
      </c>
      <c r="FP60" s="335">
        <f t="shared" si="4"/>
        <v>0</v>
      </c>
      <c r="FQ60" s="335">
        <f t="shared" si="4"/>
        <v>0</v>
      </c>
      <c r="FR60" s="335">
        <f t="shared" si="4"/>
        <v>0</v>
      </c>
      <c r="FS60" s="335">
        <f t="shared" si="4"/>
        <v>0</v>
      </c>
      <c r="FT60" s="335">
        <f t="shared" si="4"/>
        <v>0</v>
      </c>
      <c r="FU60" s="335">
        <f t="shared" si="4"/>
        <v>0</v>
      </c>
      <c r="FV60" s="335">
        <f t="shared" si="4"/>
        <v>0</v>
      </c>
      <c r="FW60" s="335">
        <f t="shared" si="4"/>
        <v>0</v>
      </c>
      <c r="FX60" s="335">
        <f t="shared" si="4"/>
        <v>0</v>
      </c>
      <c r="FY60" s="335">
        <f t="shared" si="4"/>
        <v>0</v>
      </c>
      <c r="FZ60" s="335">
        <f t="shared" si="4"/>
        <v>0</v>
      </c>
      <c r="GA60" s="335">
        <f t="shared" si="4"/>
        <v>0</v>
      </c>
      <c r="GB60" s="335">
        <f t="shared" si="4"/>
        <v>0</v>
      </c>
      <c r="GC60" s="335">
        <f t="shared" si="4"/>
        <v>815115.45000000007</v>
      </c>
      <c r="GD60" s="335">
        <f t="shared" si="4"/>
        <v>815092.86000000022</v>
      </c>
      <c r="GE60" s="335">
        <f t="shared" si="4"/>
        <v>812385.17000000016</v>
      </c>
      <c r="GF60" s="335">
        <f t="shared" si="4"/>
        <v>849785.92999999993</v>
      </c>
      <c r="GG60" s="335">
        <f t="shared" si="4"/>
        <v>846157.19</v>
      </c>
      <c r="GH60" s="335">
        <f t="shared" si="4"/>
        <v>769436.93</v>
      </c>
      <c r="GI60" s="335">
        <f t="shared" si="4"/>
        <v>768350.35999999975</v>
      </c>
      <c r="GJ60" s="335">
        <f t="shared" si="4"/>
        <v>734365.12999999989</v>
      </c>
      <c r="GK60" s="335">
        <f t="shared" si="4"/>
        <v>740452.65000000014</v>
      </c>
      <c r="GL60" s="335">
        <f t="shared" si="4"/>
        <v>734294.32000000007</v>
      </c>
      <c r="GM60" s="335">
        <f t="shared" si="4"/>
        <v>734577.9</v>
      </c>
      <c r="GN60" s="335">
        <f t="shared" si="4"/>
        <v>739999.29999999993</v>
      </c>
      <c r="GO60" s="335">
        <f t="shared" si="4"/>
        <v>57858.710000000006</v>
      </c>
      <c r="GP60" s="335">
        <f t="shared" ref="GP60:JA60" si="5">SUM(GP3:GP59)</f>
        <v>58628.17</v>
      </c>
      <c r="GQ60" s="335">
        <f t="shared" si="5"/>
        <v>57604.61</v>
      </c>
      <c r="GR60" s="335">
        <f t="shared" si="5"/>
        <v>58242.499999999993</v>
      </c>
      <c r="GS60" s="335">
        <f t="shared" si="5"/>
        <v>57008.679999999993</v>
      </c>
      <c r="GT60" s="335">
        <f t="shared" si="5"/>
        <v>55946.909999999996</v>
      </c>
      <c r="GU60" s="335">
        <f t="shared" si="5"/>
        <v>55221.999999999993</v>
      </c>
      <c r="GV60" s="335">
        <f t="shared" si="5"/>
        <v>55487.119999999981</v>
      </c>
      <c r="GW60" s="335">
        <f t="shared" si="5"/>
        <v>59797.4</v>
      </c>
      <c r="GX60" s="335">
        <f t="shared" si="5"/>
        <v>55381.290000000008</v>
      </c>
      <c r="GY60" s="335">
        <f t="shared" si="5"/>
        <v>55792.69</v>
      </c>
      <c r="GZ60" s="335">
        <f t="shared" si="5"/>
        <v>57151.789999999986</v>
      </c>
      <c r="HA60" s="335">
        <f t="shared" si="5"/>
        <v>17954.429999999997</v>
      </c>
      <c r="HB60" s="335">
        <f t="shared" si="5"/>
        <v>17183.320000000003</v>
      </c>
      <c r="HC60" s="335">
        <f t="shared" si="5"/>
        <v>17388.060000000001</v>
      </c>
      <c r="HD60" s="335">
        <f t="shared" si="5"/>
        <v>20034.709999999995</v>
      </c>
      <c r="HE60" s="335">
        <f t="shared" si="5"/>
        <v>18352.64</v>
      </c>
      <c r="HF60" s="335">
        <f t="shared" si="5"/>
        <v>30047.290000000015</v>
      </c>
      <c r="HG60" s="335">
        <f t="shared" si="5"/>
        <v>32730.329999999994</v>
      </c>
      <c r="HH60" s="335">
        <f t="shared" si="5"/>
        <v>28961.569999999978</v>
      </c>
      <c r="HI60" s="335">
        <f t="shared" si="5"/>
        <v>28725.279999999995</v>
      </c>
      <c r="HJ60" s="335">
        <f t="shared" si="5"/>
        <v>24326.930000000008</v>
      </c>
      <c r="HK60" s="335">
        <f t="shared" si="5"/>
        <v>25747.85</v>
      </c>
      <c r="HL60" s="335">
        <f t="shared" si="5"/>
        <v>26868.48</v>
      </c>
      <c r="HM60" s="335">
        <f t="shared" si="5"/>
        <v>0</v>
      </c>
      <c r="HN60" s="335">
        <f t="shared" si="5"/>
        <v>0</v>
      </c>
      <c r="HO60" s="335">
        <f t="shared" si="5"/>
        <v>0</v>
      </c>
      <c r="HP60" s="335">
        <f t="shared" si="5"/>
        <v>0</v>
      </c>
      <c r="HQ60" s="335">
        <f t="shared" si="5"/>
        <v>0</v>
      </c>
      <c r="HR60" s="335">
        <f t="shared" si="5"/>
        <v>0</v>
      </c>
      <c r="HS60" s="335">
        <f t="shared" si="5"/>
        <v>0</v>
      </c>
      <c r="HT60" s="335">
        <f t="shared" si="5"/>
        <v>0</v>
      </c>
      <c r="HU60" s="335">
        <f t="shared" si="5"/>
        <v>0</v>
      </c>
      <c r="HV60" s="335">
        <f t="shared" si="5"/>
        <v>0</v>
      </c>
      <c r="HW60" s="335">
        <f t="shared" si="5"/>
        <v>0</v>
      </c>
      <c r="HX60" s="335">
        <f t="shared" si="5"/>
        <v>0</v>
      </c>
      <c r="HY60" s="335">
        <f t="shared" si="5"/>
        <v>0</v>
      </c>
      <c r="HZ60" s="335">
        <f t="shared" si="5"/>
        <v>0</v>
      </c>
      <c r="IA60" s="335">
        <f t="shared" si="5"/>
        <v>0</v>
      </c>
      <c r="IB60" s="335">
        <f t="shared" si="5"/>
        <v>0</v>
      </c>
      <c r="IC60" s="335">
        <f t="shared" si="5"/>
        <v>0</v>
      </c>
      <c r="ID60" s="335">
        <f t="shared" si="5"/>
        <v>0</v>
      </c>
      <c r="IE60" s="335">
        <f t="shared" si="5"/>
        <v>0</v>
      </c>
      <c r="IF60" s="335">
        <f t="shared" si="5"/>
        <v>0</v>
      </c>
      <c r="IG60" s="335">
        <f t="shared" si="5"/>
        <v>0</v>
      </c>
      <c r="IH60" s="335">
        <f t="shared" si="5"/>
        <v>0</v>
      </c>
      <c r="II60" s="335">
        <f t="shared" si="5"/>
        <v>0</v>
      </c>
      <c r="IJ60" s="335">
        <f t="shared" si="5"/>
        <v>0</v>
      </c>
      <c r="IK60" s="335">
        <f t="shared" si="5"/>
        <v>0</v>
      </c>
      <c r="IL60" s="335">
        <f t="shared" si="5"/>
        <v>0</v>
      </c>
      <c r="IM60" s="335">
        <f t="shared" si="5"/>
        <v>0</v>
      </c>
      <c r="IN60" s="335">
        <f t="shared" si="5"/>
        <v>0</v>
      </c>
      <c r="IO60" s="335">
        <f t="shared" si="5"/>
        <v>0</v>
      </c>
      <c r="IP60" s="335">
        <f t="shared" si="5"/>
        <v>0</v>
      </c>
      <c r="IQ60" s="335">
        <f t="shared" si="5"/>
        <v>0</v>
      </c>
      <c r="IR60" s="335">
        <f t="shared" si="5"/>
        <v>0</v>
      </c>
      <c r="IS60" s="335">
        <f t="shared" si="5"/>
        <v>0</v>
      </c>
      <c r="IT60" s="335">
        <f t="shared" si="5"/>
        <v>0</v>
      </c>
      <c r="IU60" s="335">
        <f t="shared" si="5"/>
        <v>0</v>
      </c>
      <c r="IV60" s="335">
        <f t="shared" si="5"/>
        <v>0</v>
      </c>
      <c r="IW60" s="335">
        <f t="shared" si="5"/>
        <v>0</v>
      </c>
      <c r="IX60" s="335">
        <f t="shared" si="5"/>
        <v>0</v>
      </c>
      <c r="IY60" s="335">
        <f t="shared" si="5"/>
        <v>0</v>
      </c>
      <c r="IZ60" s="335">
        <f t="shared" si="5"/>
        <v>0</v>
      </c>
      <c r="JA60" s="335">
        <f t="shared" si="5"/>
        <v>0</v>
      </c>
      <c r="JB60" s="335">
        <f t="shared" ref="JB60:LM60" si="6">SUM(JB3:JB59)</f>
        <v>0</v>
      </c>
      <c r="JC60" s="335">
        <f t="shared" si="6"/>
        <v>0</v>
      </c>
      <c r="JD60" s="335">
        <f t="shared" si="6"/>
        <v>0</v>
      </c>
      <c r="JE60" s="335">
        <f t="shared" si="6"/>
        <v>0</v>
      </c>
      <c r="JF60" s="335">
        <f t="shared" si="6"/>
        <v>0</v>
      </c>
      <c r="JG60" s="335">
        <f t="shared" si="6"/>
        <v>0</v>
      </c>
      <c r="JH60" s="335">
        <f t="shared" si="6"/>
        <v>0</v>
      </c>
      <c r="JI60" s="335">
        <f t="shared" si="6"/>
        <v>16716.900000000005</v>
      </c>
      <c r="JJ60" s="335">
        <f t="shared" si="6"/>
        <v>-1072.8499999999999</v>
      </c>
      <c r="JK60" s="335">
        <f t="shared" si="6"/>
        <v>-1087.1400000000001</v>
      </c>
      <c r="JL60" s="335">
        <f t="shared" si="6"/>
        <v>-1068.1399999999999</v>
      </c>
      <c r="JM60" s="335">
        <f t="shared" si="6"/>
        <v>-1079.9599999999998</v>
      </c>
      <c r="JN60" s="335">
        <f t="shared" si="6"/>
        <v>-1057.0899999999999</v>
      </c>
      <c r="JO60" s="335">
        <f t="shared" si="6"/>
        <v>-1062.1499999999999</v>
      </c>
      <c r="JP60" s="335">
        <f t="shared" si="6"/>
        <v>-1048.3900000000001</v>
      </c>
      <c r="JQ60" s="335">
        <f t="shared" si="6"/>
        <v>-1053.4100000000001</v>
      </c>
      <c r="JR60" s="335">
        <f t="shared" si="6"/>
        <v>-1135.2400000000002</v>
      </c>
      <c r="JS60" s="335">
        <f t="shared" si="6"/>
        <v>-1051.3999999999999</v>
      </c>
      <c r="JT60" s="335">
        <f t="shared" si="6"/>
        <v>-1059.24</v>
      </c>
      <c r="JU60" s="335">
        <f t="shared" si="6"/>
        <v>-949.43</v>
      </c>
      <c r="JV60" s="335">
        <f t="shared" si="6"/>
        <v>0</v>
      </c>
      <c r="JW60" s="335">
        <f t="shared" si="6"/>
        <v>0</v>
      </c>
      <c r="JX60" s="335">
        <f t="shared" si="6"/>
        <v>0</v>
      </c>
      <c r="JY60" s="335">
        <f t="shared" si="6"/>
        <v>0</v>
      </c>
      <c r="JZ60" s="335">
        <f t="shared" si="6"/>
        <v>0</v>
      </c>
      <c r="KA60" s="335">
        <f t="shared" si="6"/>
        <v>0</v>
      </c>
      <c r="KB60" s="335">
        <f t="shared" si="6"/>
        <v>0</v>
      </c>
      <c r="KC60" s="335">
        <f t="shared" si="6"/>
        <v>0</v>
      </c>
      <c r="KD60" s="335">
        <f t="shared" si="6"/>
        <v>0</v>
      </c>
      <c r="KE60" s="335">
        <f t="shared" si="6"/>
        <v>0</v>
      </c>
      <c r="KF60" s="335">
        <f t="shared" si="6"/>
        <v>0</v>
      </c>
      <c r="KG60" s="335">
        <f t="shared" si="6"/>
        <v>0</v>
      </c>
      <c r="KH60" s="335">
        <f t="shared" si="6"/>
        <v>0</v>
      </c>
      <c r="KI60" s="335">
        <f t="shared" si="6"/>
        <v>0</v>
      </c>
      <c r="KJ60" s="335">
        <f t="shared" si="6"/>
        <v>0</v>
      </c>
      <c r="KK60" s="335">
        <f t="shared" si="6"/>
        <v>0</v>
      </c>
      <c r="KL60" s="335">
        <f t="shared" si="6"/>
        <v>0</v>
      </c>
      <c r="KM60" s="335">
        <f t="shared" si="6"/>
        <v>0</v>
      </c>
      <c r="KN60" s="335">
        <f t="shared" si="6"/>
        <v>0</v>
      </c>
      <c r="KO60" s="335">
        <f t="shared" si="6"/>
        <v>0</v>
      </c>
      <c r="KP60" s="335">
        <f t="shared" si="6"/>
        <v>0</v>
      </c>
      <c r="KQ60" s="335">
        <f t="shared" si="6"/>
        <v>0</v>
      </c>
      <c r="KR60" s="335">
        <f t="shared" si="6"/>
        <v>0</v>
      </c>
      <c r="KS60" s="335">
        <f t="shared" si="6"/>
        <v>0</v>
      </c>
      <c r="KT60" s="335">
        <f t="shared" si="6"/>
        <v>0</v>
      </c>
      <c r="KU60" s="335">
        <f t="shared" si="6"/>
        <v>0</v>
      </c>
      <c r="KV60" s="335">
        <f t="shared" si="6"/>
        <v>0</v>
      </c>
      <c r="KW60" s="335">
        <f t="shared" si="6"/>
        <v>0</v>
      </c>
      <c r="KX60" s="335">
        <f t="shared" si="6"/>
        <v>0</v>
      </c>
      <c r="KY60" s="335">
        <f t="shared" si="6"/>
        <v>0</v>
      </c>
      <c r="KZ60" s="335">
        <f t="shared" si="6"/>
        <v>0</v>
      </c>
      <c r="LA60" s="335">
        <f t="shared" si="6"/>
        <v>0</v>
      </c>
      <c r="LB60" s="335">
        <f t="shared" si="6"/>
        <v>0</v>
      </c>
      <c r="LC60" s="335">
        <f t="shared" si="6"/>
        <v>0</v>
      </c>
      <c r="LD60" s="335">
        <f t="shared" si="6"/>
        <v>0</v>
      </c>
      <c r="LE60" s="335">
        <f t="shared" si="6"/>
        <v>0</v>
      </c>
      <c r="LF60" s="335">
        <f t="shared" si="6"/>
        <v>0</v>
      </c>
      <c r="LG60" s="335">
        <f t="shared" si="6"/>
        <v>0</v>
      </c>
      <c r="LH60" s="335">
        <f t="shared" si="6"/>
        <v>0</v>
      </c>
      <c r="LI60" s="335">
        <f t="shared" si="6"/>
        <v>0</v>
      </c>
      <c r="LJ60" s="335">
        <f t="shared" si="6"/>
        <v>0</v>
      </c>
      <c r="LK60" s="335">
        <f t="shared" si="6"/>
        <v>0</v>
      </c>
      <c r="LL60" s="335">
        <f t="shared" si="6"/>
        <v>0</v>
      </c>
      <c r="LM60" s="335">
        <f t="shared" si="6"/>
        <v>0</v>
      </c>
      <c r="LN60" s="335">
        <f t="shared" ref="LN60:NY60" si="7">SUM(LN3:LN59)</f>
        <v>0</v>
      </c>
      <c r="LO60" s="335">
        <f t="shared" si="7"/>
        <v>0</v>
      </c>
      <c r="LP60" s="335">
        <f t="shared" si="7"/>
        <v>0</v>
      </c>
      <c r="LQ60" s="335">
        <f t="shared" si="7"/>
        <v>0</v>
      </c>
      <c r="LR60" s="335">
        <f t="shared" si="7"/>
        <v>0</v>
      </c>
      <c r="LS60" s="335">
        <f t="shared" si="7"/>
        <v>0</v>
      </c>
      <c r="LT60" s="335">
        <f t="shared" si="7"/>
        <v>0</v>
      </c>
      <c r="LU60" s="335">
        <f t="shared" si="7"/>
        <v>0</v>
      </c>
      <c r="LV60" s="335">
        <f t="shared" si="7"/>
        <v>0</v>
      </c>
      <c r="LW60" s="335">
        <f t="shared" si="7"/>
        <v>0</v>
      </c>
      <c r="LX60" s="335">
        <f t="shared" si="7"/>
        <v>0</v>
      </c>
      <c r="LY60" s="335">
        <f t="shared" si="7"/>
        <v>0</v>
      </c>
      <c r="LZ60" s="335">
        <f t="shared" si="7"/>
        <v>0</v>
      </c>
      <c r="MA60" s="335">
        <f t="shared" si="7"/>
        <v>0</v>
      </c>
      <c r="MB60" s="335">
        <f t="shared" si="7"/>
        <v>0</v>
      </c>
      <c r="MC60" s="335">
        <f t="shared" si="7"/>
        <v>0</v>
      </c>
      <c r="MD60" s="335">
        <f t="shared" si="7"/>
        <v>0</v>
      </c>
      <c r="ME60" s="335">
        <f t="shared" si="7"/>
        <v>0</v>
      </c>
      <c r="MF60" s="335">
        <f t="shared" si="7"/>
        <v>0</v>
      </c>
      <c r="MG60" s="335">
        <f t="shared" si="7"/>
        <v>0</v>
      </c>
      <c r="MH60" s="335">
        <f t="shared" si="7"/>
        <v>0</v>
      </c>
      <c r="MI60" s="335">
        <f t="shared" si="7"/>
        <v>0</v>
      </c>
      <c r="MJ60" s="335">
        <f t="shared" si="7"/>
        <v>0</v>
      </c>
      <c r="MK60" s="335">
        <f t="shared" si="7"/>
        <v>0</v>
      </c>
      <c r="ML60" s="335">
        <f t="shared" si="7"/>
        <v>0</v>
      </c>
      <c r="MM60" s="335">
        <f t="shared" si="7"/>
        <v>0</v>
      </c>
      <c r="MN60" s="335">
        <f t="shared" si="7"/>
        <v>0</v>
      </c>
      <c r="MO60" s="335">
        <f t="shared" si="7"/>
        <v>0</v>
      </c>
      <c r="MP60" s="335">
        <f t="shared" si="7"/>
        <v>0</v>
      </c>
      <c r="MQ60" s="335">
        <f t="shared" si="7"/>
        <v>0</v>
      </c>
      <c r="MR60" s="335">
        <f t="shared" si="7"/>
        <v>0</v>
      </c>
      <c r="MS60" s="335">
        <f t="shared" si="7"/>
        <v>0</v>
      </c>
      <c r="MT60" s="335">
        <f t="shared" si="7"/>
        <v>0</v>
      </c>
      <c r="MU60" s="335">
        <f t="shared" si="7"/>
        <v>0</v>
      </c>
      <c r="MV60" s="335">
        <f t="shared" si="7"/>
        <v>0</v>
      </c>
      <c r="MW60" s="335">
        <f t="shared" si="7"/>
        <v>0</v>
      </c>
      <c r="MX60" s="335">
        <f t="shared" si="7"/>
        <v>0</v>
      </c>
      <c r="MY60" s="335">
        <f t="shared" si="7"/>
        <v>0</v>
      </c>
      <c r="MZ60" s="335">
        <f t="shared" si="7"/>
        <v>0</v>
      </c>
      <c r="NA60" s="335">
        <f t="shared" si="7"/>
        <v>0</v>
      </c>
      <c r="NB60" s="335">
        <f t="shared" si="7"/>
        <v>0</v>
      </c>
      <c r="NC60" s="335">
        <f t="shared" si="7"/>
        <v>0</v>
      </c>
      <c r="ND60" s="335">
        <f t="shared" si="7"/>
        <v>0</v>
      </c>
      <c r="NE60" s="335">
        <f t="shared" si="7"/>
        <v>0</v>
      </c>
      <c r="NF60" s="335">
        <f t="shared" si="7"/>
        <v>0</v>
      </c>
      <c r="NG60" s="335">
        <f t="shared" si="7"/>
        <v>0</v>
      </c>
      <c r="NH60" s="335">
        <f t="shared" si="7"/>
        <v>0</v>
      </c>
      <c r="NI60" s="335">
        <f t="shared" si="7"/>
        <v>0</v>
      </c>
      <c r="NJ60" s="335">
        <f t="shared" si="7"/>
        <v>0</v>
      </c>
      <c r="NK60" s="335">
        <f t="shared" si="7"/>
        <v>0</v>
      </c>
      <c r="NL60" s="335">
        <f t="shared" si="7"/>
        <v>0</v>
      </c>
      <c r="NM60" s="335">
        <f t="shared" si="7"/>
        <v>0</v>
      </c>
      <c r="NN60" s="335">
        <f t="shared" si="7"/>
        <v>0</v>
      </c>
      <c r="NO60" s="335">
        <f t="shared" si="7"/>
        <v>0</v>
      </c>
      <c r="NP60" s="335">
        <f t="shared" si="7"/>
        <v>0</v>
      </c>
      <c r="NQ60" s="335">
        <f t="shared" si="7"/>
        <v>0</v>
      </c>
      <c r="NR60" s="335">
        <f t="shared" si="7"/>
        <v>0</v>
      </c>
      <c r="NS60" s="335">
        <f t="shared" si="7"/>
        <v>0</v>
      </c>
      <c r="NT60" s="335">
        <f t="shared" si="7"/>
        <v>0</v>
      </c>
      <c r="NU60" s="335">
        <f t="shared" si="7"/>
        <v>0</v>
      </c>
      <c r="NV60" s="335">
        <f t="shared" si="7"/>
        <v>0</v>
      </c>
      <c r="NW60" s="335">
        <f t="shared" si="7"/>
        <v>0</v>
      </c>
      <c r="NX60" s="335">
        <f t="shared" si="7"/>
        <v>0</v>
      </c>
      <c r="NY60" s="335">
        <f t="shared" si="7"/>
        <v>0</v>
      </c>
      <c r="NZ60" s="335">
        <f t="shared" ref="NZ60:OK60" si="8">SUM(NZ3:NZ59)</f>
        <v>0</v>
      </c>
      <c r="OA60" s="335">
        <f t="shared" si="8"/>
        <v>0</v>
      </c>
      <c r="OB60" s="335">
        <f t="shared" si="8"/>
        <v>0</v>
      </c>
      <c r="OC60" s="335">
        <f t="shared" si="8"/>
        <v>0</v>
      </c>
      <c r="OD60" s="335">
        <f t="shared" si="8"/>
        <v>0</v>
      </c>
      <c r="OE60" s="335">
        <f t="shared" si="8"/>
        <v>0</v>
      </c>
      <c r="OF60" s="335">
        <f t="shared" si="8"/>
        <v>0</v>
      </c>
      <c r="OG60" s="335">
        <f t="shared" si="8"/>
        <v>0</v>
      </c>
      <c r="OH60" s="335">
        <f t="shared" si="8"/>
        <v>0</v>
      </c>
      <c r="OI60" s="335">
        <f t="shared" si="8"/>
        <v>0</v>
      </c>
      <c r="OJ60" s="335">
        <f t="shared" si="8"/>
        <v>0</v>
      </c>
      <c r="OK60" s="335">
        <f t="shared" si="8"/>
        <v>0</v>
      </c>
      <c r="OL60" s="336">
        <f t="shared" si="1"/>
        <v>17279955.059999999</v>
      </c>
    </row>
    <row r="61" spans="1:402" ht="13.5" thickBot="1">
      <c r="A61" s="328" t="s">
        <v>466</v>
      </c>
      <c r="B61" s="328" t="s">
        <v>467</v>
      </c>
      <c r="C61" s="328" t="s">
        <v>208</v>
      </c>
      <c r="D61" s="328" t="s">
        <v>468</v>
      </c>
      <c r="E61" s="329">
        <v>0</v>
      </c>
      <c r="F61" s="329">
        <v>0</v>
      </c>
      <c r="G61" s="329">
        <v>0</v>
      </c>
      <c r="H61" s="329">
        <v>0</v>
      </c>
      <c r="I61" s="329">
        <v>0</v>
      </c>
      <c r="J61" s="329">
        <v>0</v>
      </c>
      <c r="K61" s="329">
        <v>0</v>
      </c>
      <c r="L61" s="329">
        <v>0</v>
      </c>
      <c r="M61" s="329">
        <v>0</v>
      </c>
      <c r="N61" s="329">
        <v>0</v>
      </c>
      <c r="O61" s="329">
        <v>0</v>
      </c>
      <c r="P61" s="329">
        <v>0</v>
      </c>
      <c r="Q61" s="329">
        <v>0</v>
      </c>
      <c r="R61" s="329">
        <v>0</v>
      </c>
      <c r="S61" s="329">
        <v>0</v>
      </c>
      <c r="T61" s="329">
        <v>0</v>
      </c>
      <c r="U61" s="329">
        <v>0</v>
      </c>
      <c r="V61" s="329">
        <v>0</v>
      </c>
      <c r="W61" s="329">
        <v>0</v>
      </c>
      <c r="X61" s="329">
        <v>0</v>
      </c>
      <c r="Y61" s="329">
        <v>0</v>
      </c>
      <c r="Z61" s="329">
        <v>0</v>
      </c>
      <c r="AA61" s="329">
        <v>0</v>
      </c>
      <c r="AB61" s="329">
        <v>0</v>
      </c>
      <c r="AC61" s="329">
        <v>0</v>
      </c>
      <c r="AD61" s="329">
        <v>0</v>
      </c>
      <c r="AE61" s="329">
        <v>0</v>
      </c>
      <c r="AF61" s="329">
        <v>0</v>
      </c>
      <c r="AG61" s="329">
        <v>0</v>
      </c>
      <c r="AH61" s="329">
        <v>0</v>
      </c>
      <c r="AI61" s="329">
        <v>0</v>
      </c>
      <c r="AJ61" s="329">
        <v>0</v>
      </c>
      <c r="AK61" s="329">
        <v>0</v>
      </c>
      <c r="AL61" s="329">
        <v>0</v>
      </c>
      <c r="AM61" s="329">
        <v>0</v>
      </c>
      <c r="AN61" s="329">
        <v>0</v>
      </c>
      <c r="AO61" s="330">
        <v>1363.15</v>
      </c>
      <c r="AP61" s="330">
        <v>1374.97</v>
      </c>
      <c r="AQ61" s="330">
        <v>134.22</v>
      </c>
      <c r="AR61" s="330">
        <v>134.22</v>
      </c>
      <c r="AS61" s="330">
        <v>134.22</v>
      </c>
      <c r="AT61" s="330">
        <v>134.22</v>
      </c>
      <c r="AU61" s="330">
        <v>779.65</v>
      </c>
      <c r="AV61" s="330">
        <v>739.82</v>
      </c>
      <c r="AW61" s="330">
        <v>1353.19</v>
      </c>
      <c r="AX61" s="330">
        <v>1352.26</v>
      </c>
      <c r="AY61" s="330">
        <v>1368.13</v>
      </c>
      <c r="AZ61" s="330">
        <v>1363.15</v>
      </c>
      <c r="BA61" s="331"/>
      <c r="BB61" s="331"/>
      <c r="BC61" s="331"/>
      <c r="BD61" s="331"/>
      <c r="BE61" s="331"/>
      <c r="BF61" s="331"/>
      <c r="BG61" s="331"/>
      <c r="BH61" s="331"/>
      <c r="BI61" s="331"/>
      <c r="BJ61" s="331"/>
      <c r="BK61" s="331"/>
      <c r="BL61" s="331"/>
      <c r="BM61" s="329">
        <v>0</v>
      </c>
      <c r="BN61" s="329">
        <v>0</v>
      </c>
      <c r="BO61" s="329">
        <v>0</v>
      </c>
      <c r="BP61" s="329">
        <v>0</v>
      </c>
      <c r="BQ61" s="329">
        <v>0</v>
      </c>
      <c r="BR61" s="329">
        <v>0</v>
      </c>
      <c r="BS61" s="329">
        <v>0</v>
      </c>
      <c r="BT61" s="329">
        <v>0</v>
      </c>
      <c r="BU61" s="329">
        <v>0</v>
      </c>
      <c r="BV61" s="329">
        <v>0</v>
      </c>
      <c r="BW61" s="329">
        <v>0</v>
      </c>
      <c r="BX61" s="329">
        <v>0</v>
      </c>
      <c r="BY61" s="329">
        <v>0</v>
      </c>
      <c r="BZ61" s="329">
        <v>0</v>
      </c>
      <c r="CA61" s="329">
        <v>0</v>
      </c>
      <c r="CB61" s="329">
        <v>0</v>
      </c>
      <c r="CC61" s="329">
        <v>0</v>
      </c>
      <c r="CD61" s="329">
        <v>0</v>
      </c>
      <c r="CE61" s="329">
        <v>0</v>
      </c>
      <c r="CF61" s="329">
        <v>0</v>
      </c>
      <c r="CG61" s="329">
        <v>0</v>
      </c>
      <c r="CH61" s="329">
        <v>0</v>
      </c>
      <c r="CI61" s="329">
        <v>0</v>
      </c>
      <c r="CJ61" s="329">
        <v>0</v>
      </c>
      <c r="CK61" s="331"/>
      <c r="CL61" s="331"/>
      <c r="CM61" s="331"/>
      <c r="CN61" s="331"/>
      <c r="CO61" s="331"/>
      <c r="CP61" s="331"/>
      <c r="CQ61" s="331"/>
      <c r="CR61" s="331"/>
      <c r="CS61" s="331"/>
      <c r="CT61" s="331"/>
      <c r="CU61" s="331"/>
      <c r="CV61" s="331"/>
      <c r="CW61" s="329">
        <v>0</v>
      </c>
      <c r="CX61" s="329">
        <v>0</v>
      </c>
      <c r="CY61" s="329">
        <v>0</v>
      </c>
      <c r="CZ61" s="329">
        <v>0</v>
      </c>
      <c r="DA61" s="329">
        <v>0</v>
      </c>
      <c r="DB61" s="329">
        <v>0</v>
      </c>
      <c r="DC61" s="329">
        <v>0</v>
      </c>
      <c r="DD61" s="329">
        <v>0</v>
      </c>
      <c r="DE61" s="329">
        <v>0</v>
      </c>
      <c r="DF61" s="329">
        <v>0</v>
      </c>
      <c r="DG61" s="329">
        <v>0</v>
      </c>
      <c r="DH61" s="329">
        <v>0</v>
      </c>
      <c r="DI61" s="329">
        <v>88</v>
      </c>
      <c r="DJ61" s="330">
        <v>88.84</v>
      </c>
      <c r="DK61" s="329">
        <v>0</v>
      </c>
      <c r="DL61" s="329">
        <v>0</v>
      </c>
      <c r="DM61" s="329">
        <v>0</v>
      </c>
      <c r="DN61" s="329">
        <v>0</v>
      </c>
      <c r="DO61" s="330">
        <v>46.22</v>
      </c>
      <c r="DP61" s="330">
        <v>43.36</v>
      </c>
      <c r="DQ61" s="330">
        <v>87.28</v>
      </c>
      <c r="DR61" s="330">
        <v>87.22</v>
      </c>
      <c r="DS61" s="330">
        <v>88.35</v>
      </c>
      <c r="DT61" s="330">
        <v>98.68</v>
      </c>
      <c r="DU61" s="330">
        <v>17.21</v>
      </c>
      <c r="DV61" s="330">
        <v>17.38</v>
      </c>
      <c r="DW61" s="329">
        <v>0</v>
      </c>
      <c r="DX61" s="329">
        <v>0</v>
      </c>
      <c r="DY61" s="329">
        <v>0</v>
      </c>
      <c r="DZ61" s="329">
        <v>0</v>
      </c>
      <c r="EA61" s="330">
        <v>9.0399999999999991</v>
      </c>
      <c r="EB61" s="330">
        <v>8.48</v>
      </c>
      <c r="EC61" s="330">
        <v>17.07</v>
      </c>
      <c r="ED61" s="330">
        <v>17.059999999999999</v>
      </c>
      <c r="EE61" s="330">
        <v>17.28</v>
      </c>
      <c r="EF61" s="330">
        <v>17.21</v>
      </c>
      <c r="EG61" s="329">
        <v>0</v>
      </c>
      <c r="EH61" s="329">
        <v>0</v>
      </c>
      <c r="EI61" s="329">
        <v>0</v>
      </c>
      <c r="EJ61" s="329">
        <v>0</v>
      </c>
      <c r="EK61" s="329">
        <v>0</v>
      </c>
      <c r="EL61" s="329">
        <v>0</v>
      </c>
      <c r="EM61" s="329">
        <v>0</v>
      </c>
      <c r="EN61" s="329">
        <v>0</v>
      </c>
      <c r="EO61" s="329">
        <v>0</v>
      </c>
      <c r="EP61" s="329">
        <v>0</v>
      </c>
      <c r="EQ61" s="329">
        <v>0</v>
      </c>
      <c r="ER61" s="329">
        <v>0</v>
      </c>
      <c r="ES61" s="329">
        <v>0</v>
      </c>
      <c r="ET61" s="329">
        <v>0</v>
      </c>
      <c r="EU61" s="329">
        <v>0</v>
      </c>
      <c r="EV61" s="329">
        <v>0</v>
      </c>
      <c r="EW61" s="329">
        <v>0</v>
      </c>
      <c r="EX61" s="329">
        <v>0</v>
      </c>
      <c r="EY61" s="329">
        <v>0</v>
      </c>
      <c r="EZ61" s="329">
        <v>0</v>
      </c>
      <c r="FA61" s="329">
        <v>0</v>
      </c>
      <c r="FB61" s="329">
        <v>0</v>
      </c>
      <c r="FC61" s="329">
        <v>0</v>
      </c>
      <c r="FD61" s="329">
        <v>0</v>
      </c>
      <c r="FE61" s="331"/>
      <c r="FF61" s="331"/>
      <c r="FG61" s="331"/>
      <c r="FH61" s="331"/>
      <c r="FI61" s="331"/>
      <c r="FJ61" s="331"/>
      <c r="FK61" s="331"/>
      <c r="FL61" s="331"/>
      <c r="FM61" s="331"/>
      <c r="FN61" s="331"/>
      <c r="FO61" s="331"/>
      <c r="FP61" s="331"/>
      <c r="FQ61" s="329">
        <v>0</v>
      </c>
      <c r="FR61" s="329">
        <v>0</v>
      </c>
      <c r="FS61" s="329">
        <v>0</v>
      </c>
      <c r="FT61" s="329">
        <v>0</v>
      </c>
      <c r="FU61" s="329">
        <v>0</v>
      </c>
      <c r="FV61" s="329">
        <v>0</v>
      </c>
      <c r="FW61" s="329">
        <v>0</v>
      </c>
      <c r="FX61" s="329">
        <v>0</v>
      </c>
      <c r="FY61" s="329">
        <v>0</v>
      </c>
      <c r="FZ61" s="329">
        <v>0</v>
      </c>
      <c r="GA61" s="329">
        <v>0</v>
      </c>
      <c r="GB61" s="329">
        <v>0</v>
      </c>
      <c r="GC61" s="330">
        <v>1534.87</v>
      </c>
      <c r="GD61" s="330">
        <v>1536.96</v>
      </c>
      <c r="GE61" s="330">
        <v>1317.11</v>
      </c>
      <c r="GF61" s="330">
        <v>1323.2</v>
      </c>
      <c r="GG61" s="330">
        <v>1323.2</v>
      </c>
      <c r="GH61" s="330">
        <v>1186.92</v>
      </c>
      <c r="GI61" s="330">
        <v>1301.28</v>
      </c>
      <c r="GJ61" s="330">
        <v>1294.23</v>
      </c>
      <c r="GK61" s="330">
        <v>1402.91</v>
      </c>
      <c r="GL61" s="330">
        <v>1402.75</v>
      </c>
      <c r="GM61" s="330">
        <v>1405.56</v>
      </c>
      <c r="GN61" s="330">
        <v>1431.85</v>
      </c>
      <c r="GO61" s="331"/>
      <c r="GP61" s="331"/>
      <c r="GQ61" s="331"/>
      <c r="GR61" s="331"/>
      <c r="GS61" s="331"/>
      <c r="GT61" s="331"/>
      <c r="GU61" s="331"/>
      <c r="GV61" s="331"/>
      <c r="GW61" s="331"/>
      <c r="GX61" s="331"/>
      <c r="GY61" s="331"/>
      <c r="GZ61" s="331"/>
      <c r="HA61" s="330">
        <v>34.58</v>
      </c>
      <c r="HB61" s="330">
        <v>8.26</v>
      </c>
      <c r="HC61" s="329">
        <v>0</v>
      </c>
      <c r="HD61" s="329">
        <v>0</v>
      </c>
      <c r="HE61" s="329">
        <v>0</v>
      </c>
      <c r="HF61" s="329">
        <v>0</v>
      </c>
      <c r="HG61" s="329">
        <v>5</v>
      </c>
      <c r="HH61" s="330">
        <v>13.02</v>
      </c>
      <c r="HI61" s="330">
        <v>38.71</v>
      </c>
      <c r="HJ61" s="330">
        <v>65.650000000000006</v>
      </c>
      <c r="HK61" s="330">
        <v>61.9</v>
      </c>
      <c r="HL61" s="330">
        <v>75.28</v>
      </c>
      <c r="HM61" s="331"/>
      <c r="HN61" s="331"/>
      <c r="HO61" s="331"/>
      <c r="HP61" s="331"/>
      <c r="HQ61" s="331"/>
      <c r="HR61" s="331"/>
      <c r="HS61" s="331"/>
      <c r="HT61" s="331"/>
      <c r="HU61" s="331"/>
      <c r="HV61" s="331"/>
      <c r="HW61" s="331"/>
      <c r="HX61" s="331"/>
      <c r="HY61" s="331"/>
      <c r="HZ61" s="331"/>
      <c r="IA61" s="331"/>
      <c r="IB61" s="331"/>
      <c r="IC61" s="331"/>
      <c r="ID61" s="331"/>
      <c r="IE61" s="331"/>
      <c r="IF61" s="331"/>
      <c r="IG61" s="331"/>
      <c r="IH61" s="331"/>
      <c r="II61" s="331"/>
      <c r="IJ61" s="331"/>
      <c r="IK61" s="329">
        <v>0</v>
      </c>
      <c r="IL61" s="329">
        <v>0</v>
      </c>
      <c r="IM61" s="329">
        <v>0</v>
      </c>
      <c r="IN61" s="329">
        <v>0</v>
      </c>
      <c r="IO61" s="329">
        <v>0</v>
      </c>
      <c r="IP61" s="329">
        <v>0</v>
      </c>
      <c r="IQ61" s="329">
        <v>0</v>
      </c>
      <c r="IR61" s="329">
        <v>0</v>
      </c>
      <c r="IS61" s="329">
        <v>0</v>
      </c>
      <c r="IT61" s="329">
        <v>0</v>
      </c>
      <c r="IU61" s="329">
        <v>0</v>
      </c>
      <c r="IV61" s="329">
        <v>0</v>
      </c>
      <c r="IW61" s="331"/>
      <c r="IX61" s="331"/>
      <c r="IY61" s="331"/>
      <c r="IZ61" s="331"/>
      <c r="JA61" s="331"/>
      <c r="JB61" s="331"/>
      <c r="JC61" s="331"/>
      <c r="JD61" s="331"/>
      <c r="JE61" s="331"/>
      <c r="JF61" s="331"/>
      <c r="JG61" s="331"/>
      <c r="JH61" s="331"/>
      <c r="JI61" s="330">
        <v>46.95</v>
      </c>
      <c r="JJ61" s="330">
        <v>-5.82</v>
      </c>
      <c r="JK61" s="330">
        <v>-5.87</v>
      </c>
      <c r="JL61" s="329">
        <v>0</v>
      </c>
      <c r="JM61" s="329">
        <v>0</v>
      </c>
      <c r="JN61" s="329">
        <v>0</v>
      </c>
      <c r="JO61" s="329">
        <v>0</v>
      </c>
      <c r="JP61" s="330">
        <v>-3.06</v>
      </c>
      <c r="JQ61" s="330">
        <v>-2.87</v>
      </c>
      <c r="JR61" s="330">
        <v>-5.77</v>
      </c>
      <c r="JS61" s="330">
        <v>-5.77</v>
      </c>
      <c r="JT61" s="330">
        <v>-5.84</v>
      </c>
      <c r="JU61" s="330">
        <v>-5.09</v>
      </c>
      <c r="JV61" s="331"/>
      <c r="JW61" s="331"/>
      <c r="JX61" s="331"/>
      <c r="JY61" s="331"/>
      <c r="JZ61" s="331"/>
      <c r="KA61" s="331"/>
      <c r="KB61" s="331"/>
      <c r="KC61" s="331"/>
      <c r="KD61" s="331"/>
      <c r="KE61" s="331"/>
      <c r="KF61" s="331"/>
      <c r="KG61" s="331"/>
      <c r="KH61" s="331"/>
      <c r="KI61" s="331"/>
      <c r="KJ61" s="331"/>
      <c r="KK61" s="331"/>
      <c r="KL61" s="331"/>
      <c r="KM61" s="331"/>
      <c r="KN61" s="331"/>
      <c r="KO61" s="331"/>
      <c r="KP61" s="331"/>
      <c r="KQ61" s="331"/>
      <c r="KR61" s="331"/>
      <c r="KS61" s="331"/>
      <c r="KT61" s="331"/>
      <c r="KU61" s="331"/>
      <c r="KV61" s="331"/>
      <c r="KW61" s="331"/>
      <c r="KX61" s="331"/>
      <c r="KY61" s="331"/>
      <c r="KZ61" s="331"/>
      <c r="LA61" s="331"/>
      <c r="LB61" s="331"/>
      <c r="LC61" s="331"/>
      <c r="LD61" s="331"/>
      <c r="LE61" s="331"/>
      <c r="LF61" s="331"/>
      <c r="LG61" s="331"/>
      <c r="LH61" s="331"/>
      <c r="LI61" s="331"/>
      <c r="LJ61" s="331"/>
      <c r="LK61" s="331"/>
      <c r="LL61" s="331"/>
      <c r="LM61" s="331"/>
      <c r="LN61" s="331"/>
      <c r="LO61" s="331"/>
      <c r="LP61" s="331"/>
      <c r="LQ61" s="331"/>
      <c r="LR61" s="329">
        <v>0</v>
      </c>
      <c r="LS61" s="329">
        <v>0</v>
      </c>
      <c r="LT61" s="329">
        <v>0</v>
      </c>
      <c r="LU61" s="329">
        <v>0</v>
      </c>
      <c r="LV61" s="329">
        <v>0</v>
      </c>
      <c r="LW61" s="329">
        <v>0</v>
      </c>
      <c r="LX61" s="329">
        <v>0</v>
      </c>
      <c r="LY61" s="329">
        <v>0</v>
      </c>
      <c r="LZ61" s="329">
        <v>0</v>
      </c>
      <c r="MA61" s="329">
        <v>0</v>
      </c>
      <c r="MB61" s="329">
        <v>0</v>
      </c>
      <c r="MC61" s="329">
        <v>0</v>
      </c>
      <c r="MD61" s="331"/>
      <c r="ME61" s="331"/>
      <c r="MF61" s="331"/>
      <c r="MG61" s="331"/>
      <c r="MH61" s="331"/>
      <c r="MI61" s="331"/>
      <c r="MJ61" s="331"/>
      <c r="MK61" s="331"/>
      <c r="ML61" s="331"/>
      <c r="MM61" s="331"/>
      <c r="MN61" s="331"/>
      <c r="MO61" s="331"/>
      <c r="MP61" s="330">
        <v>1131.04</v>
      </c>
      <c r="MQ61" s="330">
        <v>270.25</v>
      </c>
      <c r="MR61" s="329">
        <v>0</v>
      </c>
      <c r="MS61" s="329">
        <v>0</v>
      </c>
      <c r="MT61" s="329">
        <v>0</v>
      </c>
      <c r="MU61" s="329">
        <v>0</v>
      </c>
      <c r="MV61" s="330">
        <v>106.41</v>
      </c>
      <c r="MW61" s="330">
        <v>277.43</v>
      </c>
      <c r="MX61" s="330">
        <v>824.69</v>
      </c>
      <c r="MY61" s="330">
        <v>1398.55</v>
      </c>
      <c r="MZ61" s="330">
        <v>1318.74</v>
      </c>
      <c r="NA61" s="330">
        <v>1603.77</v>
      </c>
      <c r="NB61" s="329">
        <v>0</v>
      </c>
      <c r="NC61" s="329">
        <v>0</v>
      </c>
      <c r="ND61" s="329">
        <v>0</v>
      </c>
      <c r="NE61" s="329">
        <v>0</v>
      </c>
      <c r="NF61" s="329">
        <v>0</v>
      </c>
      <c r="NG61" s="329">
        <v>0</v>
      </c>
      <c r="NH61" s="329">
        <v>0</v>
      </c>
      <c r="NI61" s="329">
        <v>0</v>
      </c>
      <c r="NJ61" s="329">
        <v>0</v>
      </c>
      <c r="NK61" s="329">
        <v>0</v>
      </c>
      <c r="NL61" s="329">
        <v>0</v>
      </c>
      <c r="NM61" s="329">
        <v>0</v>
      </c>
      <c r="NN61" s="329">
        <v>0</v>
      </c>
      <c r="NO61" s="329">
        <v>0</v>
      </c>
      <c r="NP61" s="329">
        <v>0</v>
      </c>
      <c r="NQ61" s="329">
        <v>0</v>
      </c>
      <c r="NR61" s="329">
        <v>0</v>
      </c>
      <c r="NS61" s="329">
        <v>0</v>
      </c>
      <c r="NT61" s="329">
        <v>0</v>
      </c>
      <c r="NU61" s="329">
        <v>0</v>
      </c>
      <c r="NV61" s="329">
        <v>0</v>
      </c>
      <c r="NW61" s="329">
        <v>0</v>
      </c>
      <c r="NX61" s="329">
        <v>0</v>
      </c>
      <c r="NY61" s="329">
        <v>0</v>
      </c>
      <c r="NZ61" s="329">
        <v>0</v>
      </c>
      <c r="OA61" s="329">
        <v>0</v>
      </c>
      <c r="OB61" s="329">
        <v>0</v>
      </c>
      <c r="OC61" s="329">
        <v>0</v>
      </c>
      <c r="OD61" s="329">
        <v>0</v>
      </c>
      <c r="OE61" s="329">
        <v>0</v>
      </c>
      <c r="OF61" s="329">
        <v>0</v>
      </c>
      <c r="OG61" s="329">
        <v>0</v>
      </c>
      <c r="OH61" s="329">
        <v>0</v>
      </c>
      <c r="OI61" s="329">
        <v>0</v>
      </c>
      <c r="OJ61" s="329">
        <v>0</v>
      </c>
      <c r="OK61" s="329">
        <v>0</v>
      </c>
      <c r="OL61" s="332">
        <f t="shared" si="1"/>
        <v>34680.859999999993</v>
      </c>
    </row>
    <row r="62" spans="1:402" s="337" customFormat="1" ht="13.5" thickBot="1">
      <c r="A62" s="333"/>
      <c r="B62" s="333"/>
      <c r="C62" s="333"/>
      <c r="D62" s="334" t="s">
        <v>469</v>
      </c>
      <c r="E62" s="338">
        <f>SUM(E61)</f>
        <v>0</v>
      </c>
      <c r="F62" s="338">
        <f t="shared" ref="F62:BQ62" si="9">SUM(F61)</f>
        <v>0</v>
      </c>
      <c r="G62" s="338">
        <f t="shared" si="9"/>
        <v>0</v>
      </c>
      <c r="H62" s="338">
        <f t="shared" si="9"/>
        <v>0</v>
      </c>
      <c r="I62" s="338">
        <f t="shared" si="9"/>
        <v>0</v>
      </c>
      <c r="J62" s="338">
        <f t="shared" si="9"/>
        <v>0</v>
      </c>
      <c r="K62" s="338">
        <f t="shared" si="9"/>
        <v>0</v>
      </c>
      <c r="L62" s="338">
        <f t="shared" si="9"/>
        <v>0</v>
      </c>
      <c r="M62" s="338">
        <f t="shared" si="9"/>
        <v>0</v>
      </c>
      <c r="N62" s="338">
        <f t="shared" si="9"/>
        <v>0</v>
      </c>
      <c r="O62" s="338">
        <f t="shared" si="9"/>
        <v>0</v>
      </c>
      <c r="P62" s="338">
        <f t="shared" si="9"/>
        <v>0</v>
      </c>
      <c r="Q62" s="338">
        <f t="shared" si="9"/>
        <v>0</v>
      </c>
      <c r="R62" s="338">
        <f t="shared" si="9"/>
        <v>0</v>
      </c>
      <c r="S62" s="338">
        <f t="shared" si="9"/>
        <v>0</v>
      </c>
      <c r="T62" s="338">
        <f t="shared" si="9"/>
        <v>0</v>
      </c>
      <c r="U62" s="338">
        <f t="shared" si="9"/>
        <v>0</v>
      </c>
      <c r="V62" s="338">
        <f t="shared" si="9"/>
        <v>0</v>
      </c>
      <c r="W62" s="338">
        <f t="shared" si="9"/>
        <v>0</v>
      </c>
      <c r="X62" s="338">
        <f t="shared" si="9"/>
        <v>0</v>
      </c>
      <c r="Y62" s="338">
        <f t="shared" si="9"/>
        <v>0</v>
      </c>
      <c r="Z62" s="338">
        <f t="shared" si="9"/>
        <v>0</v>
      </c>
      <c r="AA62" s="338">
        <f t="shared" si="9"/>
        <v>0</v>
      </c>
      <c r="AB62" s="338">
        <f t="shared" si="9"/>
        <v>0</v>
      </c>
      <c r="AC62" s="338">
        <f t="shared" si="9"/>
        <v>0</v>
      </c>
      <c r="AD62" s="338">
        <f t="shared" si="9"/>
        <v>0</v>
      </c>
      <c r="AE62" s="338">
        <f t="shared" si="9"/>
        <v>0</v>
      </c>
      <c r="AF62" s="338">
        <f t="shared" si="9"/>
        <v>0</v>
      </c>
      <c r="AG62" s="338">
        <f t="shared" si="9"/>
        <v>0</v>
      </c>
      <c r="AH62" s="338">
        <f t="shared" si="9"/>
        <v>0</v>
      </c>
      <c r="AI62" s="338">
        <f t="shared" si="9"/>
        <v>0</v>
      </c>
      <c r="AJ62" s="338">
        <f t="shared" si="9"/>
        <v>0</v>
      </c>
      <c r="AK62" s="338">
        <f t="shared" si="9"/>
        <v>0</v>
      </c>
      <c r="AL62" s="338">
        <f t="shared" si="9"/>
        <v>0</v>
      </c>
      <c r="AM62" s="338">
        <f t="shared" si="9"/>
        <v>0</v>
      </c>
      <c r="AN62" s="338">
        <f t="shared" si="9"/>
        <v>0</v>
      </c>
      <c r="AO62" s="338">
        <f t="shared" si="9"/>
        <v>1363.15</v>
      </c>
      <c r="AP62" s="338">
        <f t="shared" si="9"/>
        <v>1374.97</v>
      </c>
      <c r="AQ62" s="338">
        <f t="shared" si="9"/>
        <v>134.22</v>
      </c>
      <c r="AR62" s="338">
        <f t="shared" si="9"/>
        <v>134.22</v>
      </c>
      <c r="AS62" s="338">
        <f t="shared" si="9"/>
        <v>134.22</v>
      </c>
      <c r="AT62" s="338">
        <f t="shared" si="9"/>
        <v>134.22</v>
      </c>
      <c r="AU62" s="338">
        <f t="shared" si="9"/>
        <v>779.65</v>
      </c>
      <c r="AV62" s="338">
        <f t="shared" si="9"/>
        <v>739.82</v>
      </c>
      <c r="AW62" s="338">
        <f t="shared" si="9"/>
        <v>1353.19</v>
      </c>
      <c r="AX62" s="338">
        <f t="shared" si="9"/>
        <v>1352.26</v>
      </c>
      <c r="AY62" s="338">
        <f t="shared" si="9"/>
        <v>1368.13</v>
      </c>
      <c r="AZ62" s="338">
        <f t="shared" si="9"/>
        <v>1363.15</v>
      </c>
      <c r="BA62" s="338">
        <f t="shared" si="9"/>
        <v>0</v>
      </c>
      <c r="BB62" s="338">
        <f t="shared" si="9"/>
        <v>0</v>
      </c>
      <c r="BC62" s="338">
        <f t="shared" si="9"/>
        <v>0</v>
      </c>
      <c r="BD62" s="338">
        <f t="shared" si="9"/>
        <v>0</v>
      </c>
      <c r="BE62" s="338">
        <f t="shared" si="9"/>
        <v>0</v>
      </c>
      <c r="BF62" s="338">
        <f t="shared" si="9"/>
        <v>0</v>
      </c>
      <c r="BG62" s="338">
        <f t="shared" si="9"/>
        <v>0</v>
      </c>
      <c r="BH62" s="338">
        <f t="shared" si="9"/>
        <v>0</v>
      </c>
      <c r="BI62" s="338">
        <f t="shared" si="9"/>
        <v>0</v>
      </c>
      <c r="BJ62" s="338">
        <f t="shared" si="9"/>
        <v>0</v>
      </c>
      <c r="BK62" s="338">
        <f t="shared" si="9"/>
        <v>0</v>
      </c>
      <c r="BL62" s="338">
        <f t="shared" si="9"/>
        <v>0</v>
      </c>
      <c r="BM62" s="338">
        <f t="shared" si="9"/>
        <v>0</v>
      </c>
      <c r="BN62" s="338">
        <f t="shared" si="9"/>
        <v>0</v>
      </c>
      <c r="BO62" s="338">
        <f t="shared" si="9"/>
        <v>0</v>
      </c>
      <c r="BP62" s="338">
        <f t="shared" si="9"/>
        <v>0</v>
      </c>
      <c r="BQ62" s="338">
        <f t="shared" si="9"/>
        <v>0</v>
      </c>
      <c r="BR62" s="338">
        <f t="shared" ref="BR62:EC62" si="10">SUM(BR61)</f>
        <v>0</v>
      </c>
      <c r="BS62" s="338">
        <f t="shared" si="10"/>
        <v>0</v>
      </c>
      <c r="BT62" s="338">
        <f t="shared" si="10"/>
        <v>0</v>
      </c>
      <c r="BU62" s="338">
        <f t="shared" si="10"/>
        <v>0</v>
      </c>
      <c r="BV62" s="338">
        <f t="shared" si="10"/>
        <v>0</v>
      </c>
      <c r="BW62" s="338">
        <f t="shared" si="10"/>
        <v>0</v>
      </c>
      <c r="BX62" s="338">
        <f t="shared" si="10"/>
        <v>0</v>
      </c>
      <c r="BY62" s="338">
        <f t="shared" si="10"/>
        <v>0</v>
      </c>
      <c r="BZ62" s="338">
        <f t="shared" si="10"/>
        <v>0</v>
      </c>
      <c r="CA62" s="338">
        <f t="shared" si="10"/>
        <v>0</v>
      </c>
      <c r="CB62" s="338">
        <f t="shared" si="10"/>
        <v>0</v>
      </c>
      <c r="CC62" s="338">
        <f t="shared" si="10"/>
        <v>0</v>
      </c>
      <c r="CD62" s="338">
        <f t="shared" si="10"/>
        <v>0</v>
      </c>
      <c r="CE62" s="338">
        <f t="shared" si="10"/>
        <v>0</v>
      </c>
      <c r="CF62" s="338">
        <f t="shared" si="10"/>
        <v>0</v>
      </c>
      <c r="CG62" s="338">
        <f t="shared" si="10"/>
        <v>0</v>
      </c>
      <c r="CH62" s="338">
        <f t="shared" si="10"/>
        <v>0</v>
      </c>
      <c r="CI62" s="338">
        <f t="shared" si="10"/>
        <v>0</v>
      </c>
      <c r="CJ62" s="338">
        <f t="shared" si="10"/>
        <v>0</v>
      </c>
      <c r="CK62" s="338">
        <f t="shared" si="10"/>
        <v>0</v>
      </c>
      <c r="CL62" s="338">
        <f t="shared" si="10"/>
        <v>0</v>
      </c>
      <c r="CM62" s="338">
        <f t="shared" si="10"/>
        <v>0</v>
      </c>
      <c r="CN62" s="338">
        <f t="shared" si="10"/>
        <v>0</v>
      </c>
      <c r="CO62" s="338">
        <f t="shared" si="10"/>
        <v>0</v>
      </c>
      <c r="CP62" s="338">
        <f t="shared" si="10"/>
        <v>0</v>
      </c>
      <c r="CQ62" s="338">
        <f t="shared" si="10"/>
        <v>0</v>
      </c>
      <c r="CR62" s="338">
        <f t="shared" si="10"/>
        <v>0</v>
      </c>
      <c r="CS62" s="338">
        <f t="shared" si="10"/>
        <v>0</v>
      </c>
      <c r="CT62" s="338">
        <f t="shared" si="10"/>
        <v>0</v>
      </c>
      <c r="CU62" s="338">
        <f t="shared" si="10"/>
        <v>0</v>
      </c>
      <c r="CV62" s="338">
        <f t="shared" si="10"/>
        <v>0</v>
      </c>
      <c r="CW62" s="338">
        <f t="shared" si="10"/>
        <v>0</v>
      </c>
      <c r="CX62" s="338">
        <f t="shared" si="10"/>
        <v>0</v>
      </c>
      <c r="CY62" s="338">
        <f t="shared" si="10"/>
        <v>0</v>
      </c>
      <c r="CZ62" s="338">
        <f t="shared" si="10"/>
        <v>0</v>
      </c>
      <c r="DA62" s="338">
        <f t="shared" si="10"/>
        <v>0</v>
      </c>
      <c r="DB62" s="338">
        <f t="shared" si="10"/>
        <v>0</v>
      </c>
      <c r="DC62" s="338">
        <f t="shared" si="10"/>
        <v>0</v>
      </c>
      <c r="DD62" s="338">
        <f t="shared" si="10"/>
        <v>0</v>
      </c>
      <c r="DE62" s="338">
        <f t="shared" si="10"/>
        <v>0</v>
      </c>
      <c r="DF62" s="338">
        <f t="shared" si="10"/>
        <v>0</v>
      </c>
      <c r="DG62" s="338">
        <f t="shared" si="10"/>
        <v>0</v>
      </c>
      <c r="DH62" s="338">
        <f t="shared" si="10"/>
        <v>0</v>
      </c>
      <c r="DI62" s="338">
        <f t="shared" si="10"/>
        <v>88</v>
      </c>
      <c r="DJ62" s="338">
        <f t="shared" si="10"/>
        <v>88.84</v>
      </c>
      <c r="DK62" s="338">
        <f t="shared" si="10"/>
        <v>0</v>
      </c>
      <c r="DL62" s="338">
        <f t="shared" si="10"/>
        <v>0</v>
      </c>
      <c r="DM62" s="338">
        <f t="shared" si="10"/>
        <v>0</v>
      </c>
      <c r="DN62" s="338">
        <f t="shared" si="10"/>
        <v>0</v>
      </c>
      <c r="DO62" s="338">
        <f t="shared" si="10"/>
        <v>46.22</v>
      </c>
      <c r="DP62" s="338">
        <f t="shared" si="10"/>
        <v>43.36</v>
      </c>
      <c r="DQ62" s="338">
        <f t="shared" si="10"/>
        <v>87.28</v>
      </c>
      <c r="DR62" s="338">
        <f t="shared" si="10"/>
        <v>87.22</v>
      </c>
      <c r="DS62" s="338">
        <f t="shared" si="10"/>
        <v>88.35</v>
      </c>
      <c r="DT62" s="338">
        <f t="shared" si="10"/>
        <v>98.68</v>
      </c>
      <c r="DU62" s="338">
        <f t="shared" si="10"/>
        <v>17.21</v>
      </c>
      <c r="DV62" s="338">
        <f t="shared" si="10"/>
        <v>17.38</v>
      </c>
      <c r="DW62" s="338">
        <f t="shared" si="10"/>
        <v>0</v>
      </c>
      <c r="DX62" s="338">
        <f t="shared" si="10"/>
        <v>0</v>
      </c>
      <c r="DY62" s="338">
        <f t="shared" si="10"/>
        <v>0</v>
      </c>
      <c r="DZ62" s="338">
        <f t="shared" si="10"/>
        <v>0</v>
      </c>
      <c r="EA62" s="338">
        <f t="shared" si="10"/>
        <v>9.0399999999999991</v>
      </c>
      <c r="EB62" s="338">
        <f t="shared" si="10"/>
        <v>8.48</v>
      </c>
      <c r="EC62" s="338">
        <f t="shared" si="10"/>
        <v>17.07</v>
      </c>
      <c r="ED62" s="338">
        <f t="shared" ref="ED62:GO62" si="11">SUM(ED61)</f>
        <v>17.059999999999999</v>
      </c>
      <c r="EE62" s="338">
        <f t="shared" si="11"/>
        <v>17.28</v>
      </c>
      <c r="EF62" s="338">
        <f t="shared" si="11"/>
        <v>17.21</v>
      </c>
      <c r="EG62" s="338">
        <f t="shared" si="11"/>
        <v>0</v>
      </c>
      <c r="EH62" s="338">
        <f t="shared" si="11"/>
        <v>0</v>
      </c>
      <c r="EI62" s="338">
        <f t="shared" si="11"/>
        <v>0</v>
      </c>
      <c r="EJ62" s="338">
        <f t="shared" si="11"/>
        <v>0</v>
      </c>
      <c r="EK62" s="338">
        <f t="shared" si="11"/>
        <v>0</v>
      </c>
      <c r="EL62" s="338">
        <f t="shared" si="11"/>
        <v>0</v>
      </c>
      <c r="EM62" s="338">
        <f t="shared" si="11"/>
        <v>0</v>
      </c>
      <c r="EN62" s="338">
        <f t="shared" si="11"/>
        <v>0</v>
      </c>
      <c r="EO62" s="338">
        <f t="shared" si="11"/>
        <v>0</v>
      </c>
      <c r="EP62" s="338">
        <f t="shared" si="11"/>
        <v>0</v>
      </c>
      <c r="EQ62" s="338">
        <f t="shared" si="11"/>
        <v>0</v>
      </c>
      <c r="ER62" s="338">
        <f t="shared" si="11"/>
        <v>0</v>
      </c>
      <c r="ES62" s="338">
        <f t="shared" si="11"/>
        <v>0</v>
      </c>
      <c r="ET62" s="338">
        <f t="shared" si="11"/>
        <v>0</v>
      </c>
      <c r="EU62" s="338">
        <f t="shared" si="11"/>
        <v>0</v>
      </c>
      <c r="EV62" s="338">
        <f t="shared" si="11"/>
        <v>0</v>
      </c>
      <c r="EW62" s="338">
        <f t="shared" si="11"/>
        <v>0</v>
      </c>
      <c r="EX62" s="338">
        <f t="shared" si="11"/>
        <v>0</v>
      </c>
      <c r="EY62" s="338">
        <f t="shared" si="11"/>
        <v>0</v>
      </c>
      <c r="EZ62" s="338">
        <f t="shared" si="11"/>
        <v>0</v>
      </c>
      <c r="FA62" s="338">
        <f t="shared" si="11"/>
        <v>0</v>
      </c>
      <c r="FB62" s="338">
        <f t="shared" si="11"/>
        <v>0</v>
      </c>
      <c r="FC62" s="338">
        <f t="shared" si="11"/>
        <v>0</v>
      </c>
      <c r="FD62" s="338">
        <f t="shared" si="11"/>
        <v>0</v>
      </c>
      <c r="FE62" s="338">
        <f t="shared" si="11"/>
        <v>0</v>
      </c>
      <c r="FF62" s="338">
        <f t="shared" si="11"/>
        <v>0</v>
      </c>
      <c r="FG62" s="338">
        <f t="shared" si="11"/>
        <v>0</v>
      </c>
      <c r="FH62" s="338">
        <f t="shared" si="11"/>
        <v>0</v>
      </c>
      <c r="FI62" s="338">
        <f t="shared" si="11"/>
        <v>0</v>
      </c>
      <c r="FJ62" s="338">
        <f t="shared" si="11"/>
        <v>0</v>
      </c>
      <c r="FK62" s="338">
        <f t="shared" si="11"/>
        <v>0</v>
      </c>
      <c r="FL62" s="338">
        <f t="shared" si="11"/>
        <v>0</v>
      </c>
      <c r="FM62" s="338">
        <f t="shared" si="11"/>
        <v>0</v>
      </c>
      <c r="FN62" s="338">
        <f t="shared" si="11"/>
        <v>0</v>
      </c>
      <c r="FO62" s="338">
        <f t="shared" si="11"/>
        <v>0</v>
      </c>
      <c r="FP62" s="338">
        <f t="shared" si="11"/>
        <v>0</v>
      </c>
      <c r="FQ62" s="338">
        <f t="shared" si="11"/>
        <v>0</v>
      </c>
      <c r="FR62" s="338">
        <f t="shared" si="11"/>
        <v>0</v>
      </c>
      <c r="FS62" s="338">
        <f t="shared" si="11"/>
        <v>0</v>
      </c>
      <c r="FT62" s="338">
        <f t="shared" si="11"/>
        <v>0</v>
      </c>
      <c r="FU62" s="338">
        <f t="shared" si="11"/>
        <v>0</v>
      </c>
      <c r="FV62" s="338">
        <f t="shared" si="11"/>
        <v>0</v>
      </c>
      <c r="FW62" s="338">
        <f t="shared" si="11"/>
        <v>0</v>
      </c>
      <c r="FX62" s="338">
        <f t="shared" si="11"/>
        <v>0</v>
      </c>
      <c r="FY62" s="338">
        <f t="shared" si="11"/>
        <v>0</v>
      </c>
      <c r="FZ62" s="338">
        <f t="shared" si="11"/>
        <v>0</v>
      </c>
      <c r="GA62" s="338">
        <f t="shared" si="11"/>
        <v>0</v>
      </c>
      <c r="GB62" s="338">
        <f t="shared" si="11"/>
        <v>0</v>
      </c>
      <c r="GC62" s="338">
        <f t="shared" si="11"/>
        <v>1534.87</v>
      </c>
      <c r="GD62" s="338">
        <f t="shared" si="11"/>
        <v>1536.96</v>
      </c>
      <c r="GE62" s="338">
        <f t="shared" si="11"/>
        <v>1317.11</v>
      </c>
      <c r="GF62" s="338">
        <f t="shared" si="11"/>
        <v>1323.2</v>
      </c>
      <c r="GG62" s="338">
        <f t="shared" si="11"/>
        <v>1323.2</v>
      </c>
      <c r="GH62" s="338">
        <f t="shared" si="11"/>
        <v>1186.92</v>
      </c>
      <c r="GI62" s="338">
        <f t="shared" si="11"/>
        <v>1301.28</v>
      </c>
      <c r="GJ62" s="338">
        <f t="shared" si="11"/>
        <v>1294.23</v>
      </c>
      <c r="GK62" s="338">
        <f t="shared" si="11"/>
        <v>1402.91</v>
      </c>
      <c r="GL62" s="338">
        <f t="shared" si="11"/>
        <v>1402.75</v>
      </c>
      <c r="GM62" s="338">
        <f t="shared" si="11"/>
        <v>1405.56</v>
      </c>
      <c r="GN62" s="338">
        <f t="shared" si="11"/>
        <v>1431.85</v>
      </c>
      <c r="GO62" s="338">
        <f t="shared" si="11"/>
        <v>0</v>
      </c>
      <c r="GP62" s="338">
        <f t="shared" ref="GP62:JA62" si="12">SUM(GP61)</f>
        <v>0</v>
      </c>
      <c r="GQ62" s="338">
        <f t="shared" si="12"/>
        <v>0</v>
      </c>
      <c r="GR62" s="338">
        <f t="shared" si="12"/>
        <v>0</v>
      </c>
      <c r="GS62" s="338">
        <f t="shared" si="12"/>
        <v>0</v>
      </c>
      <c r="GT62" s="338">
        <f t="shared" si="12"/>
        <v>0</v>
      </c>
      <c r="GU62" s="338">
        <f t="shared" si="12"/>
        <v>0</v>
      </c>
      <c r="GV62" s="338">
        <f t="shared" si="12"/>
        <v>0</v>
      </c>
      <c r="GW62" s="338">
        <f t="shared" si="12"/>
        <v>0</v>
      </c>
      <c r="GX62" s="338">
        <f t="shared" si="12"/>
        <v>0</v>
      </c>
      <c r="GY62" s="338">
        <f t="shared" si="12"/>
        <v>0</v>
      </c>
      <c r="GZ62" s="338">
        <f t="shared" si="12"/>
        <v>0</v>
      </c>
      <c r="HA62" s="338">
        <f t="shared" si="12"/>
        <v>34.58</v>
      </c>
      <c r="HB62" s="338">
        <f t="shared" si="12"/>
        <v>8.26</v>
      </c>
      <c r="HC62" s="338">
        <f t="shared" si="12"/>
        <v>0</v>
      </c>
      <c r="HD62" s="338">
        <f t="shared" si="12"/>
        <v>0</v>
      </c>
      <c r="HE62" s="338">
        <f t="shared" si="12"/>
        <v>0</v>
      </c>
      <c r="HF62" s="338">
        <f t="shared" si="12"/>
        <v>0</v>
      </c>
      <c r="HG62" s="338">
        <f t="shared" si="12"/>
        <v>5</v>
      </c>
      <c r="HH62" s="338">
        <f t="shared" si="12"/>
        <v>13.02</v>
      </c>
      <c r="HI62" s="338">
        <f t="shared" si="12"/>
        <v>38.71</v>
      </c>
      <c r="HJ62" s="338">
        <f t="shared" si="12"/>
        <v>65.650000000000006</v>
      </c>
      <c r="HK62" s="338">
        <f t="shared" si="12"/>
        <v>61.9</v>
      </c>
      <c r="HL62" s="338">
        <f t="shared" si="12"/>
        <v>75.28</v>
      </c>
      <c r="HM62" s="338">
        <f t="shared" si="12"/>
        <v>0</v>
      </c>
      <c r="HN62" s="338">
        <f t="shared" si="12"/>
        <v>0</v>
      </c>
      <c r="HO62" s="338">
        <f t="shared" si="12"/>
        <v>0</v>
      </c>
      <c r="HP62" s="338">
        <f t="shared" si="12"/>
        <v>0</v>
      </c>
      <c r="HQ62" s="338">
        <f t="shared" si="12"/>
        <v>0</v>
      </c>
      <c r="HR62" s="338">
        <f t="shared" si="12"/>
        <v>0</v>
      </c>
      <c r="HS62" s="338">
        <f t="shared" si="12"/>
        <v>0</v>
      </c>
      <c r="HT62" s="338">
        <f t="shared" si="12"/>
        <v>0</v>
      </c>
      <c r="HU62" s="338">
        <f t="shared" si="12"/>
        <v>0</v>
      </c>
      <c r="HV62" s="338">
        <f t="shared" si="12"/>
        <v>0</v>
      </c>
      <c r="HW62" s="338">
        <f t="shared" si="12"/>
        <v>0</v>
      </c>
      <c r="HX62" s="338">
        <f t="shared" si="12"/>
        <v>0</v>
      </c>
      <c r="HY62" s="338">
        <f t="shared" si="12"/>
        <v>0</v>
      </c>
      <c r="HZ62" s="338">
        <f t="shared" si="12"/>
        <v>0</v>
      </c>
      <c r="IA62" s="338">
        <f t="shared" si="12"/>
        <v>0</v>
      </c>
      <c r="IB62" s="338">
        <f t="shared" si="12"/>
        <v>0</v>
      </c>
      <c r="IC62" s="338">
        <f t="shared" si="12"/>
        <v>0</v>
      </c>
      <c r="ID62" s="338">
        <f t="shared" si="12"/>
        <v>0</v>
      </c>
      <c r="IE62" s="338">
        <f t="shared" si="12"/>
        <v>0</v>
      </c>
      <c r="IF62" s="338">
        <f t="shared" si="12"/>
        <v>0</v>
      </c>
      <c r="IG62" s="338">
        <f t="shared" si="12"/>
        <v>0</v>
      </c>
      <c r="IH62" s="338">
        <f t="shared" si="12"/>
        <v>0</v>
      </c>
      <c r="II62" s="338">
        <f t="shared" si="12"/>
        <v>0</v>
      </c>
      <c r="IJ62" s="338">
        <f t="shared" si="12"/>
        <v>0</v>
      </c>
      <c r="IK62" s="338">
        <f t="shared" si="12"/>
        <v>0</v>
      </c>
      <c r="IL62" s="338">
        <f t="shared" si="12"/>
        <v>0</v>
      </c>
      <c r="IM62" s="338">
        <f t="shared" si="12"/>
        <v>0</v>
      </c>
      <c r="IN62" s="338">
        <f t="shared" si="12"/>
        <v>0</v>
      </c>
      <c r="IO62" s="338">
        <f t="shared" si="12"/>
        <v>0</v>
      </c>
      <c r="IP62" s="338">
        <f t="shared" si="12"/>
        <v>0</v>
      </c>
      <c r="IQ62" s="338">
        <f t="shared" si="12"/>
        <v>0</v>
      </c>
      <c r="IR62" s="338">
        <f t="shared" si="12"/>
        <v>0</v>
      </c>
      <c r="IS62" s="338">
        <f t="shared" si="12"/>
        <v>0</v>
      </c>
      <c r="IT62" s="338">
        <f t="shared" si="12"/>
        <v>0</v>
      </c>
      <c r="IU62" s="338">
        <f t="shared" si="12"/>
        <v>0</v>
      </c>
      <c r="IV62" s="338">
        <f t="shared" si="12"/>
        <v>0</v>
      </c>
      <c r="IW62" s="338">
        <f t="shared" si="12"/>
        <v>0</v>
      </c>
      <c r="IX62" s="338">
        <f t="shared" si="12"/>
        <v>0</v>
      </c>
      <c r="IY62" s="338">
        <f t="shared" si="12"/>
        <v>0</v>
      </c>
      <c r="IZ62" s="338">
        <f t="shared" si="12"/>
        <v>0</v>
      </c>
      <c r="JA62" s="338">
        <f t="shared" si="12"/>
        <v>0</v>
      </c>
      <c r="JB62" s="338">
        <f t="shared" ref="JB62:LM62" si="13">SUM(JB61)</f>
        <v>0</v>
      </c>
      <c r="JC62" s="338">
        <f t="shared" si="13"/>
        <v>0</v>
      </c>
      <c r="JD62" s="338">
        <f t="shared" si="13"/>
        <v>0</v>
      </c>
      <c r="JE62" s="338">
        <f t="shared" si="13"/>
        <v>0</v>
      </c>
      <c r="JF62" s="338">
        <f t="shared" si="13"/>
        <v>0</v>
      </c>
      <c r="JG62" s="338">
        <f t="shared" si="13"/>
        <v>0</v>
      </c>
      <c r="JH62" s="338">
        <f t="shared" si="13"/>
        <v>0</v>
      </c>
      <c r="JI62" s="338">
        <f t="shared" si="13"/>
        <v>46.95</v>
      </c>
      <c r="JJ62" s="338">
        <f t="shared" si="13"/>
        <v>-5.82</v>
      </c>
      <c r="JK62" s="338">
        <f t="shared" si="13"/>
        <v>-5.87</v>
      </c>
      <c r="JL62" s="338">
        <f t="shared" si="13"/>
        <v>0</v>
      </c>
      <c r="JM62" s="338">
        <f t="shared" si="13"/>
        <v>0</v>
      </c>
      <c r="JN62" s="338">
        <f t="shared" si="13"/>
        <v>0</v>
      </c>
      <c r="JO62" s="338">
        <f t="shared" si="13"/>
        <v>0</v>
      </c>
      <c r="JP62" s="338">
        <f t="shared" si="13"/>
        <v>-3.06</v>
      </c>
      <c r="JQ62" s="338">
        <f t="shared" si="13"/>
        <v>-2.87</v>
      </c>
      <c r="JR62" s="338">
        <f t="shared" si="13"/>
        <v>-5.77</v>
      </c>
      <c r="JS62" s="338">
        <f t="shared" si="13"/>
        <v>-5.77</v>
      </c>
      <c r="JT62" s="338">
        <f t="shared" si="13"/>
        <v>-5.84</v>
      </c>
      <c r="JU62" s="338">
        <f t="shared" si="13"/>
        <v>-5.09</v>
      </c>
      <c r="JV62" s="338">
        <f t="shared" si="13"/>
        <v>0</v>
      </c>
      <c r="JW62" s="338">
        <f t="shared" si="13"/>
        <v>0</v>
      </c>
      <c r="JX62" s="338">
        <f t="shared" si="13"/>
        <v>0</v>
      </c>
      <c r="JY62" s="338">
        <f t="shared" si="13"/>
        <v>0</v>
      </c>
      <c r="JZ62" s="338">
        <f t="shared" si="13"/>
        <v>0</v>
      </c>
      <c r="KA62" s="338">
        <f t="shared" si="13"/>
        <v>0</v>
      </c>
      <c r="KB62" s="338">
        <f t="shared" si="13"/>
        <v>0</v>
      </c>
      <c r="KC62" s="338">
        <f t="shared" si="13"/>
        <v>0</v>
      </c>
      <c r="KD62" s="338">
        <f t="shared" si="13"/>
        <v>0</v>
      </c>
      <c r="KE62" s="338">
        <f t="shared" si="13"/>
        <v>0</v>
      </c>
      <c r="KF62" s="338">
        <f t="shared" si="13"/>
        <v>0</v>
      </c>
      <c r="KG62" s="338">
        <f t="shared" si="13"/>
        <v>0</v>
      </c>
      <c r="KH62" s="338">
        <f t="shared" si="13"/>
        <v>0</v>
      </c>
      <c r="KI62" s="338">
        <f t="shared" si="13"/>
        <v>0</v>
      </c>
      <c r="KJ62" s="338">
        <f t="shared" si="13"/>
        <v>0</v>
      </c>
      <c r="KK62" s="338">
        <f t="shared" si="13"/>
        <v>0</v>
      </c>
      <c r="KL62" s="338">
        <f t="shared" si="13"/>
        <v>0</v>
      </c>
      <c r="KM62" s="338">
        <f t="shared" si="13"/>
        <v>0</v>
      </c>
      <c r="KN62" s="338">
        <f t="shared" si="13"/>
        <v>0</v>
      </c>
      <c r="KO62" s="338">
        <f t="shared" si="13"/>
        <v>0</v>
      </c>
      <c r="KP62" s="338">
        <f t="shared" si="13"/>
        <v>0</v>
      </c>
      <c r="KQ62" s="338">
        <f t="shared" si="13"/>
        <v>0</v>
      </c>
      <c r="KR62" s="338">
        <f t="shared" si="13"/>
        <v>0</v>
      </c>
      <c r="KS62" s="338">
        <f t="shared" si="13"/>
        <v>0</v>
      </c>
      <c r="KT62" s="338">
        <f t="shared" si="13"/>
        <v>0</v>
      </c>
      <c r="KU62" s="338">
        <f t="shared" si="13"/>
        <v>0</v>
      </c>
      <c r="KV62" s="338">
        <f t="shared" si="13"/>
        <v>0</v>
      </c>
      <c r="KW62" s="338">
        <f t="shared" si="13"/>
        <v>0</v>
      </c>
      <c r="KX62" s="338">
        <f t="shared" si="13"/>
        <v>0</v>
      </c>
      <c r="KY62" s="338">
        <f t="shared" si="13"/>
        <v>0</v>
      </c>
      <c r="KZ62" s="338">
        <f t="shared" si="13"/>
        <v>0</v>
      </c>
      <c r="LA62" s="338">
        <f t="shared" si="13"/>
        <v>0</v>
      </c>
      <c r="LB62" s="338">
        <f t="shared" si="13"/>
        <v>0</v>
      </c>
      <c r="LC62" s="338">
        <f t="shared" si="13"/>
        <v>0</v>
      </c>
      <c r="LD62" s="338">
        <f t="shared" si="13"/>
        <v>0</v>
      </c>
      <c r="LE62" s="338">
        <f t="shared" si="13"/>
        <v>0</v>
      </c>
      <c r="LF62" s="338">
        <f t="shared" si="13"/>
        <v>0</v>
      </c>
      <c r="LG62" s="338">
        <f t="shared" si="13"/>
        <v>0</v>
      </c>
      <c r="LH62" s="338">
        <f t="shared" si="13"/>
        <v>0</v>
      </c>
      <c r="LI62" s="338">
        <f t="shared" si="13"/>
        <v>0</v>
      </c>
      <c r="LJ62" s="338">
        <f t="shared" si="13"/>
        <v>0</v>
      </c>
      <c r="LK62" s="338">
        <f t="shared" si="13"/>
        <v>0</v>
      </c>
      <c r="LL62" s="338">
        <f t="shared" si="13"/>
        <v>0</v>
      </c>
      <c r="LM62" s="338">
        <f t="shared" si="13"/>
        <v>0</v>
      </c>
      <c r="LN62" s="338">
        <f t="shared" ref="LN62:NY62" si="14">SUM(LN61)</f>
        <v>0</v>
      </c>
      <c r="LO62" s="338">
        <f t="shared" si="14"/>
        <v>0</v>
      </c>
      <c r="LP62" s="338">
        <f t="shared" si="14"/>
        <v>0</v>
      </c>
      <c r="LQ62" s="338">
        <f t="shared" si="14"/>
        <v>0</v>
      </c>
      <c r="LR62" s="338">
        <f t="shared" si="14"/>
        <v>0</v>
      </c>
      <c r="LS62" s="338">
        <f t="shared" si="14"/>
        <v>0</v>
      </c>
      <c r="LT62" s="338">
        <f t="shared" si="14"/>
        <v>0</v>
      </c>
      <c r="LU62" s="338">
        <f t="shared" si="14"/>
        <v>0</v>
      </c>
      <c r="LV62" s="338">
        <f t="shared" si="14"/>
        <v>0</v>
      </c>
      <c r="LW62" s="338">
        <f t="shared" si="14"/>
        <v>0</v>
      </c>
      <c r="LX62" s="338">
        <f t="shared" si="14"/>
        <v>0</v>
      </c>
      <c r="LY62" s="338">
        <f t="shared" si="14"/>
        <v>0</v>
      </c>
      <c r="LZ62" s="338">
        <f t="shared" si="14"/>
        <v>0</v>
      </c>
      <c r="MA62" s="338">
        <f t="shared" si="14"/>
        <v>0</v>
      </c>
      <c r="MB62" s="338">
        <f t="shared" si="14"/>
        <v>0</v>
      </c>
      <c r="MC62" s="338">
        <f t="shared" si="14"/>
        <v>0</v>
      </c>
      <c r="MD62" s="338">
        <f t="shared" si="14"/>
        <v>0</v>
      </c>
      <c r="ME62" s="338">
        <f t="shared" si="14"/>
        <v>0</v>
      </c>
      <c r="MF62" s="338">
        <f t="shared" si="14"/>
        <v>0</v>
      </c>
      <c r="MG62" s="338">
        <f t="shared" si="14"/>
        <v>0</v>
      </c>
      <c r="MH62" s="338">
        <f t="shared" si="14"/>
        <v>0</v>
      </c>
      <c r="MI62" s="338">
        <f t="shared" si="14"/>
        <v>0</v>
      </c>
      <c r="MJ62" s="338">
        <f t="shared" si="14"/>
        <v>0</v>
      </c>
      <c r="MK62" s="338">
        <f t="shared" si="14"/>
        <v>0</v>
      </c>
      <c r="ML62" s="338">
        <f t="shared" si="14"/>
        <v>0</v>
      </c>
      <c r="MM62" s="338">
        <f t="shared" si="14"/>
        <v>0</v>
      </c>
      <c r="MN62" s="338">
        <f t="shared" si="14"/>
        <v>0</v>
      </c>
      <c r="MO62" s="338">
        <f t="shared" si="14"/>
        <v>0</v>
      </c>
      <c r="MP62" s="338">
        <f t="shared" si="14"/>
        <v>1131.04</v>
      </c>
      <c r="MQ62" s="338">
        <f t="shared" si="14"/>
        <v>270.25</v>
      </c>
      <c r="MR62" s="338">
        <f t="shared" si="14"/>
        <v>0</v>
      </c>
      <c r="MS62" s="338">
        <f t="shared" si="14"/>
        <v>0</v>
      </c>
      <c r="MT62" s="338">
        <f t="shared" si="14"/>
        <v>0</v>
      </c>
      <c r="MU62" s="338">
        <f t="shared" si="14"/>
        <v>0</v>
      </c>
      <c r="MV62" s="338">
        <f t="shared" si="14"/>
        <v>106.41</v>
      </c>
      <c r="MW62" s="338">
        <f t="shared" si="14"/>
        <v>277.43</v>
      </c>
      <c r="MX62" s="338">
        <f t="shared" si="14"/>
        <v>824.69</v>
      </c>
      <c r="MY62" s="338">
        <f t="shared" si="14"/>
        <v>1398.55</v>
      </c>
      <c r="MZ62" s="338">
        <f t="shared" si="14"/>
        <v>1318.74</v>
      </c>
      <c r="NA62" s="338">
        <f t="shared" si="14"/>
        <v>1603.77</v>
      </c>
      <c r="NB62" s="338">
        <f t="shared" si="14"/>
        <v>0</v>
      </c>
      <c r="NC62" s="338">
        <f t="shared" si="14"/>
        <v>0</v>
      </c>
      <c r="ND62" s="338">
        <f t="shared" si="14"/>
        <v>0</v>
      </c>
      <c r="NE62" s="338">
        <f t="shared" si="14"/>
        <v>0</v>
      </c>
      <c r="NF62" s="338">
        <f t="shared" si="14"/>
        <v>0</v>
      </c>
      <c r="NG62" s="338">
        <f t="shared" si="14"/>
        <v>0</v>
      </c>
      <c r="NH62" s="338">
        <f t="shared" si="14"/>
        <v>0</v>
      </c>
      <c r="NI62" s="338">
        <f t="shared" si="14"/>
        <v>0</v>
      </c>
      <c r="NJ62" s="338">
        <f t="shared" si="14"/>
        <v>0</v>
      </c>
      <c r="NK62" s="338">
        <f t="shared" si="14"/>
        <v>0</v>
      </c>
      <c r="NL62" s="338">
        <f t="shared" si="14"/>
        <v>0</v>
      </c>
      <c r="NM62" s="338">
        <f t="shared" si="14"/>
        <v>0</v>
      </c>
      <c r="NN62" s="338">
        <f t="shared" si="14"/>
        <v>0</v>
      </c>
      <c r="NO62" s="338">
        <f t="shared" si="14"/>
        <v>0</v>
      </c>
      <c r="NP62" s="338">
        <f t="shared" si="14"/>
        <v>0</v>
      </c>
      <c r="NQ62" s="338">
        <f t="shared" si="14"/>
        <v>0</v>
      </c>
      <c r="NR62" s="338">
        <f t="shared" si="14"/>
        <v>0</v>
      </c>
      <c r="NS62" s="338">
        <f t="shared" si="14"/>
        <v>0</v>
      </c>
      <c r="NT62" s="338">
        <f t="shared" si="14"/>
        <v>0</v>
      </c>
      <c r="NU62" s="338">
        <f t="shared" si="14"/>
        <v>0</v>
      </c>
      <c r="NV62" s="338">
        <f t="shared" si="14"/>
        <v>0</v>
      </c>
      <c r="NW62" s="338">
        <f t="shared" si="14"/>
        <v>0</v>
      </c>
      <c r="NX62" s="338">
        <f t="shared" si="14"/>
        <v>0</v>
      </c>
      <c r="NY62" s="338">
        <f t="shared" si="14"/>
        <v>0</v>
      </c>
      <c r="NZ62" s="338">
        <f t="shared" ref="NZ62:OK62" si="15">SUM(NZ61)</f>
        <v>0</v>
      </c>
      <c r="OA62" s="338">
        <f t="shared" si="15"/>
        <v>0</v>
      </c>
      <c r="OB62" s="338">
        <f t="shared" si="15"/>
        <v>0</v>
      </c>
      <c r="OC62" s="338">
        <f t="shared" si="15"/>
        <v>0</v>
      </c>
      <c r="OD62" s="338">
        <f t="shared" si="15"/>
        <v>0</v>
      </c>
      <c r="OE62" s="338">
        <f t="shared" si="15"/>
        <v>0</v>
      </c>
      <c r="OF62" s="338">
        <f t="shared" si="15"/>
        <v>0</v>
      </c>
      <c r="OG62" s="338">
        <f t="shared" si="15"/>
        <v>0</v>
      </c>
      <c r="OH62" s="338">
        <f t="shared" si="15"/>
        <v>0</v>
      </c>
      <c r="OI62" s="338">
        <f t="shared" si="15"/>
        <v>0</v>
      </c>
      <c r="OJ62" s="338">
        <f t="shared" si="15"/>
        <v>0</v>
      </c>
      <c r="OK62" s="338">
        <f t="shared" si="15"/>
        <v>0</v>
      </c>
      <c r="OL62" s="336">
        <f t="shared" si="1"/>
        <v>34680.859999999993</v>
      </c>
    </row>
    <row r="63" spans="1:402" ht="13.5" thickBot="1">
      <c r="A63" s="328" t="s">
        <v>470</v>
      </c>
      <c r="B63" s="328" t="s">
        <v>471</v>
      </c>
      <c r="C63" s="328" t="s">
        <v>205</v>
      </c>
      <c r="D63" s="328" t="s">
        <v>472</v>
      </c>
      <c r="E63" s="329">
        <v>0</v>
      </c>
      <c r="F63" s="329">
        <v>0</v>
      </c>
      <c r="G63" s="329">
        <v>0</v>
      </c>
      <c r="H63" s="329">
        <v>0</v>
      </c>
      <c r="I63" s="329">
        <v>0</v>
      </c>
      <c r="J63" s="329">
        <v>0</v>
      </c>
      <c r="K63" s="329">
        <v>0</v>
      </c>
      <c r="L63" s="329">
        <v>0</v>
      </c>
      <c r="M63" s="329">
        <v>0</v>
      </c>
      <c r="N63" s="329">
        <v>0</v>
      </c>
      <c r="O63" s="329">
        <v>0</v>
      </c>
      <c r="P63" s="329">
        <v>0</v>
      </c>
      <c r="Q63" s="329">
        <v>0</v>
      </c>
      <c r="R63" s="329">
        <v>0</v>
      </c>
      <c r="S63" s="329">
        <v>0</v>
      </c>
      <c r="T63" s="329">
        <v>0</v>
      </c>
      <c r="U63" s="329">
        <v>0</v>
      </c>
      <c r="V63" s="329">
        <v>0</v>
      </c>
      <c r="W63" s="329">
        <v>0</v>
      </c>
      <c r="X63" s="329">
        <v>0</v>
      </c>
      <c r="Y63" s="329">
        <v>0</v>
      </c>
      <c r="Z63" s="329">
        <v>0</v>
      </c>
      <c r="AA63" s="329">
        <v>0</v>
      </c>
      <c r="AB63" s="329">
        <v>0</v>
      </c>
      <c r="AC63" s="329">
        <v>0</v>
      </c>
      <c r="AD63" s="329">
        <v>0</v>
      </c>
      <c r="AE63" s="329">
        <v>0</v>
      </c>
      <c r="AF63" s="329">
        <v>0</v>
      </c>
      <c r="AG63" s="329">
        <v>0</v>
      </c>
      <c r="AH63" s="329">
        <v>0</v>
      </c>
      <c r="AI63" s="329">
        <v>0</v>
      </c>
      <c r="AJ63" s="329">
        <v>0</v>
      </c>
      <c r="AK63" s="329">
        <v>0</v>
      </c>
      <c r="AL63" s="329">
        <v>0</v>
      </c>
      <c r="AM63" s="329">
        <v>0</v>
      </c>
      <c r="AN63" s="329">
        <v>0</v>
      </c>
      <c r="AO63" s="330">
        <v>704.96</v>
      </c>
      <c r="AP63" s="330">
        <v>666.06</v>
      </c>
      <c r="AQ63" s="330">
        <v>657.04</v>
      </c>
      <c r="AR63" s="330">
        <v>591.37</v>
      </c>
      <c r="AS63" s="330">
        <v>591.37</v>
      </c>
      <c r="AT63" s="330">
        <v>621.55999999999995</v>
      </c>
      <c r="AU63" s="330">
        <v>627.16</v>
      </c>
      <c r="AV63" s="330">
        <v>671.97</v>
      </c>
      <c r="AW63" s="330">
        <v>742.93</v>
      </c>
      <c r="AX63" s="330">
        <v>681.31</v>
      </c>
      <c r="AY63" s="330">
        <v>714.92</v>
      </c>
      <c r="AZ63" s="330">
        <v>694.38</v>
      </c>
      <c r="BA63" s="331"/>
      <c r="BB63" s="331"/>
      <c r="BC63" s="331"/>
      <c r="BD63" s="331"/>
      <c r="BE63" s="331"/>
      <c r="BF63" s="331"/>
      <c r="BG63" s="331"/>
      <c r="BH63" s="331"/>
      <c r="BI63" s="331"/>
      <c r="BJ63" s="331"/>
      <c r="BK63" s="331"/>
      <c r="BL63" s="331"/>
      <c r="BM63" s="329">
        <v>0</v>
      </c>
      <c r="BN63" s="329">
        <v>0</v>
      </c>
      <c r="BO63" s="329">
        <v>0</v>
      </c>
      <c r="BP63" s="329">
        <v>0</v>
      </c>
      <c r="BQ63" s="329">
        <v>0</v>
      </c>
      <c r="BR63" s="329">
        <v>0</v>
      </c>
      <c r="BS63" s="329">
        <v>0</v>
      </c>
      <c r="BT63" s="329">
        <v>0</v>
      </c>
      <c r="BU63" s="329">
        <v>0</v>
      </c>
      <c r="BV63" s="329">
        <v>0</v>
      </c>
      <c r="BW63" s="329">
        <v>0</v>
      </c>
      <c r="BX63" s="329">
        <v>0</v>
      </c>
      <c r="BY63" s="331"/>
      <c r="BZ63" s="331"/>
      <c r="CA63" s="331"/>
      <c r="CB63" s="331"/>
      <c r="CC63" s="331"/>
      <c r="CD63" s="331"/>
      <c r="CE63" s="331"/>
      <c r="CF63" s="331"/>
      <c r="CG63" s="331"/>
      <c r="CH63" s="331"/>
      <c r="CI63" s="331"/>
      <c r="CJ63" s="331"/>
      <c r="CK63" s="331"/>
      <c r="CL63" s="331"/>
      <c r="CM63" s="331"/>
      <c r="CN63" s="331"/>
      <c r="CO63" s="331"/>
      <c r="CP63" s="331"/>
      <c r="CQ63" s="331"/>
      <c r="CR63" s="331"/>
      <c r="CS63" s="331"/>
      <c r="CT63" s="331"/>
      <c r="CU63" s="331"/>
      <c r="CV63" s="331"/>
      <c r="CW63" s="329">
        <v>0</v>
      </c>
      <c r="CX63" s="329">
        <v>0</v>
      </c>
      <c r="CY63" s="329">
        <v>0</v>
      </c>
      <c r="CZ63" s="329">
        <v>0</v>
      </c>
      <c r="DA63" s="329">
        <v>0</v>
      </c>
      <c r="DB63" s="329">
        <v>0</v>
      </c>
      <c r="DC63" s="329">
        <v>0</v>
      </c>
      <c r="DD63" s="329">
        <v>0</v>
      </c>
      <c r="DE63" s="329">
        <v>0</v>
      </c>
      <c r="DF63" s="329">
        <v>0</v>
      </c>
      <c r="DG63" s="329">
        <v>0</v>
      </c>
      <c r="DH63" s="329">
        <v>0</v>
      </c>
      <c r="DI63" s="330">
        <v>40.869999999999997</v>
      </c>
      <c r="DJ63" s="330">
        <v>38.08</v>
      </c>
      <c r="DK63" s="330">
        <v>37.44</v>
      </c>
      <c r="DL63" s="330">
        <v>32.729999999999997</v>
      </c>
      <c r="DM63" s="330">
        <v>32.729999999999997</v>
      </c>
      <c r="DN63" s="330">
        <v>34.9</v>
      </c>
      <c r="DO63" s="330">
        <v>35.299999999999997</v>
      </c>
      <c r="DP63" s="330">
        <v>38.51</v>
      </c>
      <c r="DQ63" s="330">
        <v>43.59</v>
      </c>
      <c r="DR63" s="330">
        <v>39.17</v>
      </c>
      <c r="DS63" s="330">
        <v>41.58</v>
      </c>
      <c r="DT63" s="330">
        <v>44.98</v>
      </c>
      <c r="DU63" s="330">
        <v>7.99</v>
      </c>
      <c r="DV63" s="330">
        <v>7.45</v>
      </c>
      <c r="DW63" s="330">
        <v>7.32</v>
      </c>
      <c r="DX63" s="330">
        <v>6.4</v>
      </c>
      <c r="DY63" s="330">
        <v>6.4</v>
      </c>
      <c r="DZ63" s="330">
        <v>6.82</v>
      </c>
      <c r="EA63" s="330">
        <v>6.9</v>
      </c>
      <c r="EB63" s="330">
        <v>7.53</v>
      </c>
      <c r="EC63" s="330">
        <v>8.52</v>
      </c>
      <c r="ED63" s="330">
        <v>7.66</v>
      </c>
      <c r="EE63" s="330">
        <v>8.1300000000000008</v>
      </c>
      <c r="EF63" s="330">
        <v>7.84</v>
      </c>
      <c r="EG63" s="331"/>
      <c r="EH63" s="331"/>
      <c r="EI63" s="331"/>
      <c r="EJ63" s="331"/>
      <c r="EK63" s="331"/>
      <c r="EL63" s="331"/>
      <c r="EM63" s="331"/>
      <c r="EN63" s="331"/>
      <c r="EO63" s="331"/>
      <c r="EP63" s="331"/>
      <c r="EQ63" s="331"/>
      <c r="ER63" s="331"/>
      <c r="ES63" s="329">
        <v>0</v>
      </c>
      <c r="ET63" s="329">
        <v>0</v>
      </c>
      <c r="EU63" s="329">
        <v>0</v>
      </c>
      <c r="EV63" s="329">
        <v>0</v>
      </c>
      <c r="EW63" s="329">
        <v>0</v>
      </c>
      <c r="EX63" s="329">
        <v>0</v>
      </c>
      <c r="EY63" s="329">
        <v>0</v>
      </c>
      <c r="EZ63" s="329">
        <v>0</v>
      </c>
      <c r="FA63" s="329">
        <v>0</v>
      </c>
      <c r="FB63" s="329">
        <v>0</v>
      </c>
      <c r="FC63" s="329">
        <v>0</v>
      </c>
      <c r="FD63" s="329">
        <v>0</v>
      </c>
      <c r="FE63" s="331"/>
      <c r="FF63" s="331"/>
      <c r="FG63" s="331"/>
      <c r="FH63" s="331"/>
      <c r="FI63" s="331"/>
      <c r="FJ63" s="331"/>
      <c r="FK63" s="331"/>
      <c r="FL63" s="331"/>
      <c r="FM63" s="331"/>
      <c r="FN63" s="331"/>
      <c r="FO63" s="331"/>
      <c r="FP63" s="331"/>
      <c r="FQ63" s="329">
        <v>0</v>
      </c>
      <c r="FR63" s="329">
        <v>0</v>
      </c>
      <c r="FS63" s="329">
        <v>0</v>
      </c>
      <c r="FT63" s="329">
        <v>0</v>
      </c>
      <c r="FU63" s="329">
        <v>0</v>
      </c>
      <c r="FV63" s="329">
        <v>0</v>
      </c>
      <c r="FW63" s="329">
        <v>0</v>
      </c>
      <c r="FX63" s="329">
        <v>0</v>
      </c>
      <c r="FY63" s="329">
        <v>0</v>
      </c>
      <c r="FZ63" s="329">
        <v>0</v>
      </c>
      <c r="GA63" s="329">
        <v>0</v>
      </c>
      <c r="GB63" s="329">
        <v>0</v>
      </c>
      <c r="GC63" s="330">
        <v>961.13</v>
      </c>
      <c r="GD63" s="330">
        <v>728.53</v>
      </c>
      <c r="GE63" s="330">
        <v>732.64</v>
      </c>
      <c r="GF63" s="330">
        <v>646.72</v>
      </c>
      <c r="GG63" s="330">
        <v>355.29</v>
      </c>
      <c r="GH63" s="330">
        <v>620.95000000000005</v>
      </c>
      <c r="GI63" s="330">
        <v>628.09</v>
      </c>
      <c r="GJ63" s="330">
        <v>685.19</v>
      </c>
      <c r="GK63" s="330">
        <v>775.6</v>
      </c>
      <c r="GL63" s="330">
        <v>697.09</v>
      </c>
      <c r="GM63" s="330">
        <v>739.9</v>
      </c>
      <c r="GN63" s="330">
        <v>853.97</v>
      </c>
      <c r="GO63" s="330">
        <v>145.69</v>
      </c>
      <c r="GP63" s="330">
        <v>135.76</v>
      </c>
      <c r="GQ63" s="330">
        <v>133.46</v>
      </c>
      <c r="GR63" s="330">
        <v>116.69</v>
      </c>
      <c r="GS63" s="330">
        <v>116.69</v>
      </c>
      <c r="GT63" s="330">
        <v>121.5</v>
      </c>
      <c r="GU63" s="330">
        <v>122.9</v>
      </c>
      <c r="GV63" s="330">
        <v>134.07</v>
      </c>
      <c r="GW63" s="330">
        <v>151.76</v>
      </c>
      <c r="GX63" s="330">
        <v>136.4</v>
      </c>
      <c r="GY63" s="330">
        <v>144.78</v>
      </c>
      <c r="GZ63" s="330">
        <v>139.66</v>
      </c>
      <c r="HA63" s="330">
        <v>9.64</v>
      </c>
      <c r="HB63" s="330">
        <v>7.5</v>
      </c>
      <c r="HC63" s="330">
        <v>6.89</v>
      </c>
      <c r="HD63" s="330">
        <v>1.99</v>
      </c>
      <c r="HE63" s="330">
        <v>1.68</v>
      </c>
      <c r="HF63" s="330">
        <v>12.04</v>
      </c>
      <c r="HG63" s="330">
        <v>17.13</v>
      </c>
      <c r="HH63" s="330">
        <v>26.22</v>
      </c>
      <c r="HI63" s="330">
        <v>36.93</v>
      </c>
      <c r="HJ63" s="330">
        <v>32.909999999999997</v>
      </c>
      <c r="HK63" s="330">
        <v>30.24</v>
      </c>
      <c r="HL63" s="330">
        <v>33.99</v>
      </c>
      <c r="HM63" s="329">
        <v>0</v>
      </c>
      <c r="HN63" s="329">
        <v>0</v>
      </c>
      <c r="HO63" s="329">
        <v>0</v>
      </c>
      <c r="HP63" s="329">
        <v>0</v>
      </c>
      <c r="HQ63" s="329">
        <v>0</v>
      </c>
      <c r="HR63" s="329">
        <v>0</v>
      </c>
      <c r="HS63" s="329">
        <v>0</v>
      </c>
      <c r="HT63" s="329">
        <v>0</v>
      </c>
      <c r="HU63" s="329">
        <v>0</v>
      </c>
      <c r="HV63" s="329">
        <v>0</v>
      </c>
      <c r="HW63" s="329">
        <v>0</v>
      </c>
      <c r="HX63" s="329">
        <v>0</v>
      </c>
      <c r="HY63" s="331"/>
      <c r="HZ63" s="331"/>
      <c r="IA63" s="331"/>
      <c r="IB63" s="331"/>
      <c r="IC63" s="331"/>
      <c r="ID63" s="331"/>
      <c r="IE63" s="331"/>
      <c r="IF63" s="331"/>
      <c r="IG63" s="331"/>
      <c r="IH63" s="331"/>
      <c r="II63" s="331"/>
      <c r="IJ63" s="331"/>
      <c r="IK63" s="331"/>
      <c r="IL63" s="331"/>
      <c r="IM63" s="331"/>
      <c r="IN63" s="331"/>
      <c r="IO63" s="331"/>
      <c r="IP63" s="331"/>
      <c r="IQ63" s="331"/>
      <c r="IR63" s="331"/>
      <c r="IS63" s="331"/>
      <c r="IT63" s="331"/>
      <c r="IU63" s="331"/>
      <c r="IV63" s="331"/>
      <c r="IW63" s="329">
        <v>0</v>
      </c>
      <c r="IX63" s="329">
        <v>0</v>
      </c>
      <c r="IY63" s="329">
        <v>0</v>
      </c>
      <c r="IZ63" s="329">
        <v>0</v>
      </c>
      <c r="JA63" s="329">
        <v>0</v>
      </c>
      <c r="JB63" s="329">
        <v>0</v>
      </c>
      <c r="JC63" s="329">
        <v>0</v>
      </c>
      <c r="JD63" s="329">
        <v>0</v>
      </c>
      <c r="JE63" s="329">
        <v>0</v>
      </c>
      <c r="JF63" s="329">
        <v>0</v>
      </c>
      <c r="JG63" s="329">
        <v>0</v>
      </c>
      <c r="JH63" s="329">
        <v>0</v>
      </c>
      <c r="JI63" s="330">
        <v>21.4</v>
      </c>
      <c r="JJ63" s="330">
        <v>-2.7</v>
      </c>
      <c r="JK63" s="330">
        <v>-2.52</v>
      </c>
      <c r="JL63" s="330">
        <v>-2.4700000000000002</v>
      </c>
      <c r="JM63" s="330">
        <v>-2.16</v>
      </c>
      <c r="JN63" s="330">
        <v>-2.16</v>
      </c>
      <c r="JO63" s="330">
        <v>-2.31</v>
      </c>
      <c r="JP63" s="330">
        <v>-2.33</v>
      </c>
      <c r="JQ63" s="330">
        <v>-2.5499999999999998</v>
      </c>
      <c r="JR63" s="330">
        <v>-2.88</v>
      </c>
      <c r="JS63" s="330">
        <v>-2.59</v>
      </c>
      <c r="JT63" s="330">
        <v>-2.75</v>
      </c>
      <c r="JU63" s="330">
        <v>-2.3199999999999998</v>
      </c>
      <c r="JV63" s="329">
        <v>0</v>
      </c>
      <c r="JW63" s="329">
        <v>0</v>
      </c>
      <c r="JX63" s="329">
        <v>0</v>
      </c>
      <c r="JY63" s="329">
        <v>0</v>
      </c>
      <c r="JZ63" s="329">
        <v>0</v>
      </c>
      <c r="KA63" s="329">
        <v>0</v>
      </c>
      <c r="KB63" s="329">
        <v>0</v>
      </c>
      <c r="KC63" s="329">
        <v>0</v>
      </c>
      <c r="KD63" s="329">
        <v>0</v>
      </c>
      <c r="KE63" s="329">
        <v>0</v>
      </c>
      <c r="KF63" s="329">
        <v>0</v>
      </c>
      <c r="KG63" s="329">
        <v>0</v>
      </c>
      <c r="KH63" s="329">
        <v>0</v>
      </c>
      <c r="KI63" s="329">
        <v>0</v>
      </c>
      <c r="KJ63" s="329">
        <v>0</v>
      </c>
      <c r="KK63" s="329">
        <v>0</v>
      </c>
      <c r="KL63" s="329">
        <v>0</v>
      </c>
      <c r="KM63" s="329">
        <v>0</v>
      </c>
      <c r="KN63" s="329">
        <v>0</v>
      </c>
      <c r="KO63" s="329">
        <v>0</v>
      </c>
      <c r="KP63" s="329">
        <v>0</v>
      </c>
      <c r="KQ63" s="329">
        <v>0</v>
      </c>
      <c r="KR63" s="329">
        <v>0</v>
      </c>
      <c r="KS63" s="329">
        <v>0</v>
      </c>
      <c r="KT63" s="329">
        <v>0</v>
      </c>
      <c r="KU63" s="329">
        <v>0</v>
      </c>
      <c r="KV63" s="329">
        <v>0</v>
      </c>
      <c r="KW63" s="329">
        <v>0</v>
      </c>
      <c r="KX63" s="329">
        <v>0</v>
      </c>
      <c r="KY63" s="329">
        <v>0</v>
      </c>
      <c r="KZ63" s="329">
        <v>0</v>
      </c>
      <c r="LA63" s="329">
        <v>0</v>
      </c>
      <c r="LB63" s="329">
        <v>0</v>
      </c>
      <c r="LC63" s="329">
        <v>0</v>
      </c>
      <c r="LD63" s="329">
        <v>0</v>
      </c>
      <c r="LE63" s="329">
        <v>0</v>
      </c>
      <c r="LF63" s="329">
        <v>0</v>
      </c>
      <c r="LG63" s="329">
        <v>0</v>
      </c>
      <c r="LH63" s="329">
        <v>0</v>
      </c>
      <c r="LI63" s="329">
        <v>0</v>
      </c>
      <c r="LJ63" s="329">
        <v>0</v>
      </c>
      <c r="LK63" s="329">
        <v>0</v>
      </c>
      <c r="LL63" s="329">
        <v>0</v>
      </c>
      <c r="LM63" s="329">
        <v>0</v>
      </c>
      <c r="LN63" s="329">
        <v>0</v>
      </c>
      <c r="LO63" s="329">
        <v>0</v>
      </c>
      <c r="LP63" s="329">
        <v>0</v>
      </c>
      <c r="LQ63" s="329">
        <v>0</v>
      </c>
      <c r="LR63" s="331"/>
      <c r="LS63" s="331"/>
      <c r="LT63" s="331"/>
      <c r="LU63" s="331"/>
      <c r="LV63" s="331"/>
      <c r="LW63" s="331"/>
      <c r="LX63" s="331"/>
      <c r="LY63" s="331"/>
      <c r="LZ63" s="331"/>
      <c r="MA63" s="331"/>
      <c r="MB63" s="331"/>
      <c r="MC63" s="331"/>
      <c r="MD63" s="329">
        <v>0</v>
      </c>
      <c r="ME63" s="329">
        <v>0</v>
      </c>
      <c r="MF63" s="329">
        <v>0</v>
      </c>
      <c r="MG63" s="329">
        <v>0</v>
      </c>
      <c r="MH63" s="329">
        <v>0</v>
      </c>
      <c r="MI63" s="329">
        <v>0</v>
      </c>
      <c r="MJ63" s="329">
        <v>0</v>
      </c>
      <c r="MK63" s="329">
        <v>0</v>
      </c>
      <c r="ML63" s="329">
        <v>0</v>
      </c>
      <c r="MM63" s="329">
        <v>0</v>
      </c>
      <c r="MN63" s="329">
        <v>0</v>
      </c>
      <c r="MO63" s="329">
        <v>0</v>
      </c>
      <c r="MP63" s="331"/>
      <c r="MQ63" s="331"/>
      <c r="MR63" s="331"/>
      <c r="MS63" s="331"/>
      <c r="MT63" s="331"/>
      <c r="MU63" s="331"/>
      <c r="MV63" s="331"/>
      <c r="MW63" s="331"/>
      <c r="MX63" s="331"/>
      <c r="MY63" s="331"/>
      <c r="MZ63" s="331"/>
      <c r="NA63" s="331"/>
      <c r="NB63" s="331"/>
      <c r="NC63" s="331"/>
      <c r="ND63" s="331"/>
      <c r="NE63" s="331"/>
      <c r="NF63" s="331"/>
      <c r="NG63" s="331"/>
      <c r="NH63" s="331"/>
      <c r="NI63" s="331"/>
      <c r="NJ63" s="331"/>
      <c r="NK63" s="331"/>
      <c r="NL63" s="331"/>
      <c r="NM63" s="331"/>
      <c r="NN63" s="331"/>
      <c r="NO63" s="331"/>
      <c r="NP63" s="331"/>
      <c r="NQ63" s="331"/>
      <c r="NR63" s="331"/>
      <c r="NS63" s="331"/>
      <c r="NT63" s="331"/>
      <c r="NU63" s="331"/>
      <c r="NV63" s="331"/>
      <c r="NW63" s="331"/>
      <c r="NX63" s="331"/>
      <c r="NY63" s="331"/>
      <c r="NZ63" s="331"/>
      <c r="OA63" s="331"/>
      <c r="OB63" s="331"/>
      <c r="OC63" s="331"/>
      <c r="OD63" s="331"/>
      <c r="OE63" s="331"/>
      <c r="OF63" s="331"/>
      <c r="OG63" s="331"/>
      <c r="OH63" s="331"/>
      <c r="OI63" s="331"/>
      <c r="OJ63" s="331"/>
      <c r="OK63" s="331"/>
      <c r="OL63" s="332">
        <f t="shared" si="1"/>
        <v>18747.149999999994</v>
      </c>
    </row>
    <row r="64" spans="1:402" ht="13.5" thickBot="1">
      <c r="A64" s="328" t="s">
        <v>470</v>
      </c>
      <c r="B64" s="328" t="s">
        <v>471</v>
      </c>
      <c r="C64" s="328" t="s">
        <v>205</v>
      </c>
      <c r="D64" s="328" t="s">
        <v>473</v>
      </c>
      <c r="E64" s="329">
        <v>0</v>
      </c>
      <c r="F64" s="329">
        <v>0</v>
      </c>
      <c r="G64" s="329">
        <v>0</v>
      </c>
      <c r="H64" s="329">
        <v>0</v>
      </c>
      <c r="I64" s="329">
        <v>0</v>
      </c>
      <c r="J64" s="329">
        <v>0</v>
      </c>
      <c r="K64" s="329">
        <v>0</v>
      </c>
      <c r="L64" s="329">
        <v>0</v>
      </c>
      <c r="M64" s="329">
        <v>0</v>
      </c>
      <c r="N64" s="329">
        <v>0</v>
      </c>
      <c r="O64" s="329">
        <v>0</v>
      </c>
      <c r="P64" s="329">
        <v>0</v>
      </c>
      <c r="Q64" s="329">
        <v>0</v>
      </c>
      <c r="R64" s="329">
        <v>0</v>
      </c>
      <c r="S64" s="329">
        <v>0</v>
      </c>
      <c r="T64" s="329">
        <v>0</v>
      </c>
      <c r="U64" s="329">
        <v>0</v>
      </c>
      <c r="V64" s="329">
        <v>0</v>
      </c>
      <c r="W64" s="329">
        <v>0</v>
      </c>
      <c r="X64" s="329">
        <v>0</v>
      </c>
      <c r="Y64" s="329">
        <v>0</v>
      </c>
      <c r="Z64" s="329">
        <v>0</v>
      </c>
      <c r="AA64" s="329">
        <v>0</v>
      </c>
      <c r="AB64" s="329">
        <v>0</v>
      </c>
      <c r="AC64" s="329">
        <v>0</v>
      </c>
      <c r="AD64" s="329">
        <v>0</v>
      </c>
      <c r="AE64" s="329">
        <v>0</v>
      </c>
      <c r="AF64" s="329">
        <v>0</v>
      </c>
      <c r="AG64" s="329">
        <v>0</v>
      </c>
      <c r="AH64" s="329">
        <v>0</v>
      </c>
      <c r="AI64" s="329">
        <v>0</v>
      </c>
      <c r="AJ64" s="329">
        <v>0</v>
      </c>
      <c r="AK64" s="329">
        <v>0</v>
      </c>
      <c r="AL64" s="329">
        <v>0</v>
      </c>
      <c r="AM64" s="329">
        <v>0</v>
      </c>
      <c r="AN64" s="329">
        <v>0</v>
      </c>
      <c r="AO64" s="330">
        <v>787.12</v>
      </c>
      <c r="AP64" s="330">
        <v>787.12</v>
      </c>
      <c r="AQ64" s="330">
        <v>731.72</v>
      </c>
      <c r="AR64" s="330">
        <v>731.72</v>
      </c>
      <c r="AS64" s="330">
        <v>742.93</v>
      </c>
      <c r="AT64" s="330">
        <v>731.72</v>
      </c>
      <c r="AU64" s="330">
        <v>688.78</v>
      </c>
      <c r="AV64" s="330">
        <v>744.79</v>
      </c>
      <c r="AW64" s="330">
        <v>744.79</v>
      </c>
      <c r="AX64" s="330">
        <v>772.8</v>
      </c>
      <c r="AY64" s="330">
        <v>770.94</v>
      </c>
      <c r="AZ64" s="330">
        <v>701.85</v>
      </c>
      <c r="BA64" s="331"/>
      <c r="BB64" s="331"/>
      <c r="BC64" s="331"/>
      <c r="BD64" s="331"/>
      <c r="BE64" s="331"/>
      <c r="BF64" s="331"/>
      <c r="BG64" s="331"/>
      <c r="BH64" s="331"/>
      <c r="BI64" s="331"/>
      <c r="BJ64" s="331"/>
      <c r="BK64" s="331"/>
      <c r="BL64" s="331"/>
      <c r="BM64" s="329">
        <v>0</v>
      </c>
      <c r="BN64" s="329">
        <v>0</v>
      </c>
      <c r="BO64" s="329">
        <v>0</v>
      </c>
      <c r="BP64" s="329">
        <v>0</v>
      </c>
      <c r="BQ64" s="329">
        <v>0</v>
      </c>
      <c r="BR64" s="329">
        <v>0</v>
      </c>
      <c r="BS64" s="329">
        <v>0</v>
      </c>
      <c r="BT64" s="329">
        <v>0</v>
      </c>
      <c r="BU64" s="329">
        <v>0</v>
      </c>
      <c r="BV64" s="329">
        <v>0</v>
      </c>
      <c r="BW64" s="329">
        <v>0</v>
      </c>
      <c r="BX64" s="329">
        <v>0</v>
      </c>
      <c r="BY64" s="331"/>
      <c r="BZ64" s="331"/>
      <c r="CA64" s="331"/>
      <c r="CB64" s="331"/>
      <c r="CC64" s="331"/>
      <c r="CD64" s="331"/>
      <c r="CE64" s="331"/>
      <c r="CF64" s="331"/>
      <c r="CG64" s="331"/>
      <c r="CH64" s="331"/>
      <c r="CI64" s="331"/>
      <c r="CJ64" s="331"/>
      <c r="CK64" s="331"/>
      <c r="CL64" s="331"/>
      <c r="CM64" s="331"/>
      <c r="CN64" s="331"/>
      <c r="CO64" s="331"/>
      <c r="CP64" s="331"/>
      <c r="CQ64" s="331"/>
      <c r="CR64" s="331"/>
      <c r="CS64" s="331"/>
      <c r="CT64" s="331"/>
      <c r="CU64" s="331"/>
      <c r="CV64" s="331"/>
      <c r="CW64" s="329">
        <v>0</v>
      </c>
      <c r="CX64" s="329">
        <v>0</v>
      </c>
      <c r="CY64" s="329">
        <v>0</v>
      </c>
      <c r="CZ64" s="329">
        <v>0</v>
      </c>
      <c r="DA64" s="329">
        <v>0</v>
      </c>
      <c r="DB64" s="329">
        <v>0</v>
      </c>
      <c r="DC64" s="329">
        <v>0</v>
      </c>
      <c r="DD64" s="329">
        <v>0</v>
      </c>
      <c r="DE64" s="329">
        <v>0</v>
      </c>
      <c r="DF64" s="329">
        <v>0</v>
      </c>
      <c r="DG64" s="329">
        <v>0</v>
      </c>
      <c r="DH64" s="329">
        <v>0</v>
      </c>
      <c r="DI64" s="330">
        <v>46.75</v>
      </c>
      <c r="DJ64" s="330">
        <v>46.75</v>
      </c>
      <c r="DK64" s="330">
        <v>42.78</v>
      </c>
      <c r="DL64" s="330">
        <v>42.78</v>
      </c>
      <c r="DM64" s="330">
        <v>43.59</v>
      </c>
      <c r="DN64" s="330">
        <v>42.78</v>
      </c>
      <c r="DO64" s="330">
        <v>39.71</v>
      </c>
      <c r="DP64" s="330">
        <v>43.72</v>
      </c>
      <c r="DQ64" s="330">
        <v>43.72</v>
      </c>
      <c r="DR64" s="330">
        <v>45.73</v>
      </c>
      <c r="DS64" s="330">
        <v>45.59</v>
      </c>
      <c r="DT64" s="330">
        <v>45.58</v>
      </c>
      <c r="DU64" s="330">
        <v>9.14</v>
      </c>
      <c r="DV64" s="330">
        <v>9.14</v>
      </c>
      <c r="DW64" s="330">
        <v>8.3699999999999992</v>
      </c>
      <c r="DX64" s="330">
        <v>8.3699999999999992</v>
      </c>
      <c r="DY64" s="330">
        <v>8.52</v>
      </c>
      <c r="DZ64" s="330">
        <v>8.3699999999999992</v>
      </c>
      <c r="EA64" s="330">
        <v>7.77</v>
      </c>
      <c r="EB64" s="330">
        <v>8.5500000000000007</v>
      </c>
      <c r="EC64" s="330">
        <v>8.5500000000000007</v>
      </c>
      <c r="ED64" s="330">
        <v>8.94</v>
      </c>
      <c r="EE64" s="330">
        <v>8.92</v>
      </c>
      <c r="EF64" s="330">
        <v>7.95</v>
      </c>
      <c r="EG64" s="331"/>
      <c r="EH64" s="331"/>
      <c r="EI64" s="331"/>
      <c r="EJ64" s="331"/>
      <c r="EK64" s="331"/>
      <c r="EL64" s="331"/>
      <c r="EM64" s="331"/>
      <c r="EN64" s="331"/>
      <c r="EO64" s="331"/>
      <c r="EP64" s="331"/>
      <c r="EQ64" s="331"/>
      <c r="ER64" s="331"/>
      <c r="ES64" s="329">
        <v>0</v>
      </c>
      <c r="ET64" s="329">
        <v>0</v>
      </c>
      <c r="EU64" s="329">
        <v>0</v>
      </c>
      <c r="EV64" s="329">
        <v>0</v>
      </c>
      <c r="EW64" s="329">
        <v>0</v>
      </c>
      <c r="EX64" s="329">
        <v>0</v>
      </c>
      <c r="EY64" s="329">
        <v>0</v>
      </c>
      <c r="EZ64" s="329">
        <v>0</v>
      </c>
      <c r="FA64" s="329">
        <v>0</v>
      </c>
      <c r="FB64" s="329">
        <v>0</v>
      </c>
      <c r="FC64" s="329">
        <v>0</v>
      </c>
      <c r="FD64" s="329">
        <v>0</v>
      </c>
      <c r="FE64" s="331"/>
      <c r="FF64" s="331"/>
      <c r="FG64" s="331"/>
      <c r="FH64" s="331"/>
      <c r="FI64" s="331"/>
      <c r="FJ64" s="331"/>
      <c r="FK64" s="331"/>
      <c r="FL64" s="331"/>
      <c r="FM64" s="331"/>
      <c r="FN64" s="331"/>
      <c r="FO64" s="331"/>
      <c r="FP64" s="331"/>
      <c r="FQ64" s="329">
        <v>0</v>
      </c>
      <c r="FR64" s="329">
        <v>0</v>
      </c>
      <c r="FS64" s="329">
        <v>0</v>
      </c>
      <c r="FT64" s="329">
        <v>0</v>
      </c>
      <c r="FU64" s="329">
        <v>0</v>
      </c>
      <c r="FV64" s="329">
        <v>0</v>
      </c>
      <c r="FW64" s="329">
        <v>0</v>
      </c>
      <c r="FX64" s="329">
        <v>0</v>
      </c>
      <c r="FY64" s="329">
        <v>0</v>
      </c>
      <c r="FZ64" s="329">
        <v>0</v>
      </c>
      <c r="GA64" s="329">
        <v>0</v>
      </c>
      <c r="GB64" s="329">
        <v>0</v>
      </c>
      <c r="GC64" s="330">
        <v>1107.1199999999999</v>
      </c>
      <c r="GD64" s="330">
        <v>749.98</v>
      </c>
      <c r="GE64" s="330">
        <v>691.59</v>
      </c>
      <c r="GF64" s="330">
        <v>631.59</v>
      </c>
      <c r="GG64" s="330">
        <v>1039.29</v>
      </c>
      <c r="GH64" s="330">
        <v>691.68</v>
      </c>
      <c r="GI64" s="330">
        <v>706.6</v>
      </c>
      <c r="GJ64" s="330">
        <v>777.98</v>
      </c>
      <c r="GK64" s="330">
        <v>777.98</v>
      </c>
      <c r="GL64" s="330">
        <v>813.66</v>
      </c>
      <c r="GM64" s="330">
        <v>811.28</v>
      </c>
      <c r="GN64" s="330">
        <v>865.36</v>
      </c>
      <c r="GO64" s="330">
        <v>166.66</v>
      </c>
      <c r="GP64" s="330">
        <v>166.66</v>
      </c>
      <c r="GQ64" s="330">
        <v>152.52000000000001</v>
      </c>
      <c r="GR64" s="330">
        <v>152.52000000000001</v>
      </c>
      <c r="GS64" s="330">
        <v>155.38</v>
      </c>
      <c r="GT64" s="330">
        <v>148.97</v>
      </c>
      <c r="GU64" s="330">
        <v>138.26</v>
      </c>
      <c r="GV64" s="330">
        <v>152.22999999999999</v>
      </c>
      <c r="GW64" s="330">
        <v>152.22999999999999</v>
      </c>
      <c r="GX64" s="330">
        <v>159.21</v>
      </c>
      <c r="GY64" s="330">
        <v>158.75</v>
      </c>
      <c r="GZ64" s="330">
        <v>141.52000000000001</v>
      </c>
      <c r="HA64" s="330">
        <v>15.3</v>
      </c>
      <c r="HB64" s="330">
        <v>8.57</v>
      </c>
      <c r="HC64" s="330">
        <v>10.25</v>
      </c>
      <c r="HD64" s="330">
        <v>4.13</v>
      </c>
      <c r="HE64" s="330">
        <v>4.13</v>
      </c>
      <c r="HF64" s="330">
        <v>22.48</v>
      </c>
      <c r="HG64" s="330">
        <v>26.49</v>
      </c>
      <c r="HH64" s="330">
        <v>29.97</v>
      </c>
      <c r="HI64" s="329">
        <v>38</v>
      </c>
      <c r="HJ64" s="330">
        <v>36.39</v>
      </c>
      <c r="HK64" s="330">
        <v>34.520000000000003</v>
      </c>
      <c r="HL64" s="330">
        <v>23.01</v>
      </c>
      <c r="HM64" s="329">
        <v>0</v>
      </c>
      <c r="HN64" s="329">
        <v>0</v>
      </c>
      <c r="HO64" s="329">
        <v>0</v>
      </c>
      <c r="HP64" s="329">
        <v>0</v>
      </c>
      <c r="HQ64" s="329">
        <v>0</v>
      </c>
      <c r="HR64" s="329">
        <v>0</v>
      </c>
      <c r="HS64" s="329">
        <v>0</v>
      </c>
      <c r="HT64" s="329">
        <v>0</v>
      </c>
      <c r="HU64" s="329">
        <v>0</v>
      </c>
      <c r="HV64" s="329">
        <v>0</v>
      </c>
      <c r="HW64" s="329">
        <v>0</v>
      </c>
      <c r="HX64" s="329">
        <v>0</v>
      </c>
      <c r="HY64" s="331"/>
      <c r="HZ64" s="331"/>
      <c r="IA64" s="331"/>
      <c r="IB64" s="331"/>
      <c r="IC64" s="331"/>
      <c r="ID64" s="331"/>
      <c r="IE64" s="331"/>
      <c r="IF64" s="331"/>
      <c r="IG64" s="331"/>
      <c r="IH64" s="331"/>
      <c r="II64" s="331"/>
      <c r="IJ64" s="331"/>
      <c r="IK64" s="331"/>
      <c r="IL64" s="331"/>
      <c r="IM64" s="331"/>
      <c r="IN64" s="331"/>
      <c r="IO64" s="331"/>
      <c r="IP64" s="331"/>
      <c r="IQ64" s="331"/>
      <c r="IR64" s="331"/>
      <c r="IS64" s="331"/>
      <c r="IT64" s="331"/>
      <c r="IU64" s="331"/>
      <c r="IV64" s="331"/>
      <c r="IW64" s="329">
        <v>0</v>
      </c>
      <c r="IX64" s="329">
        <v>0</v>
      </c>
      <c r="IY64" s="329">
        <v>0</v>
      </c>
      <c r="IZ64" s="329">
        <v>0</v>
      </c>
      <c r="JA64" s="329">
        <v>0</v>
      </c>
      <c r="JB64" s="329">
        <v>0</v>
      </c>
      <c r="JC64" s="329">
        <v>0</v>
      </c>
      <c r="JD64" s="329">
        <v>0</v>
      </c>
      <c r="JE64" s="329">
        <v>0</v>
      </c>
      <c r="JF64" s="329">
        <v>0</v>
      </c>
      <c r="JG64" s="329">
        <v>0</v>
      </c>
      <c r="JH64" s="329">
        <v>0</v>
      </c>
      <c r="JI64" s="330">
        <v>21.69</v>
      </c>
      <c r="JJ64" s="330">
        <v>-3.09</v>
      </c>
      <c r="JK64" s="330">
        <v>-3.09</v>
      </c>
      <c r="JL64" s="330">
        <v>-2.83</v>
      </c>
      <c r="JM64" s="330">
        <v>-2.83</v>
      </c>
      <c r="JN64" s="330">
        <v>-2.88</v>
      </c>
      <c r="JO64" s="330">
        <v>-2.83</v>
      </c>
      <c r="JP64" s="330">
        <v>-2.62</v>
      </c>
      <c r="JQ64" s="330">
        <v>-2.89</v>
      </c>
      <c r="JR64" s="330">
        <v>-2.89</v>
      </c>
      <c r="JS64" s="330">
        <v>-3.02</v>
      </c>
      <c r="JT64" s="330">
        <v>-3.01</v>
      </c>
      <c r="JU64" s="330">
        <v>-2.35</v>
      </c>
      <c r="JV64" s="329">
        <v>0</v>
      </c>
      <c r="JW64" s="329">
        <v>0</v>
      </c>
      <c r="JX64" s="329">
        <v>0</v>
      </c>
      <c r="JY64" s="329">
        <v>0</v>
      </c>
      <c r="JZ64" s="329">
        <v>0</v>
      </c>
      <c r="KA64" s="329">
        <v>0</v>
      </c>
      <c r="KB64" s="329">
        <v>0</v>
      </c>
      <c r="KC64" s="329">
        <v>0</v>
      </c>
      <c r="KD64" s="329">
        <v>0</v>
      </c>
      <c r="KE64" s="329">
        <v>0</v>
      </c>
      <c r="KF64" s="329">
        <v>0</v>
      </c>
      <c r="KG64" s="329">
        <v>0</v>
      </c>
      <c r="KH64" s="329">
        <v>0</v>
      </c>
      <c r="KI64" s="329">
        <v>0</v>
      </c>
      <c r="KJ64" s="329">
        <v>0</v>
      </c>
      <c r="KK64" s="329">
        <v>0</v>
      </c>
      <c r="KL64" s="329">
        <v>0</v>
      </c>
      <c r="KM64" s="329">
        <v>0</v>
      </c>
      <c r="KN64" s="329">
        <v>0</v>
      </c>
      <c r="KO64" s="329">
        <v>0</v>
      </c>
      <c r="KP64" s="329">
        <v>0</v>
      </c>
      <c r="KQ64" s="329">
        <v>0</v>
      </c>
      <c r="KR64" s="329">
        <v>0</v>
      </c>
      <c r="KS64" s="329">
        <v>0</v>
      </c>
      <c r="KT64" s="329">
        <v>0</v>
      </c>
      <c r="KU64" s="329">
        <v>0</v>
      </c>
      <c r="KV64" s="329">
        <v>0</v>
      </c>
      <c r="KW64" s="329">
        <v>0</v>
      </c>
      <c r="KX64" s="329">
        <v>0</v>
      </c>
      <c r="KY64" s="329">
        <v>0</v>
      </c>
      <c r="KZ64" s="329">
        <v>0</v>
      </c>
      <c r="LA64" s="329">
        <v>0</v>
      </c>
      <c r="LB64" s="329">
        <v>0</v>
      </c>
      <c r="LC64" s="329">
        <v>0</v>
      </c>
      <c r="LD64" s="329">
        <v>0</v>
      </c>
      <c r="LE64" s="329">
        <v>0</v>
      </c>
      <c r="LF64" s="329">
        <v>0</v>
      </c>
      <c r="LG64" s="329">
        <v>0</v>
      </c>
      <c r="LH64" s="329">
        <v>0</v>
      </c>
      <c r="LI64" s="329">
        <v>0</v>
      </c>
      <c r="LJ64" s="329">
        <v>0</v>
      </c>
      <c r="LK64" s="329">
        <v>0</v>
      </c>
      <c r="LL64" s="329">
        <v>0</v>
      </c>
      <c r="LM64" s="329">
        <v>0</v>
      </c>
      <c r="LN64" s="329">
        <v>0</v>
      </c>
      <c r="LO64" s="329">
        <v>0</v>
      </c>
      <c r="LP64" s="329">
        <v>0</v>
      </c>
      <c r="LQ64" s="329">
        <v>0</v>
      </c>
      <c r="LR64" s="331"/>
      <c r="LS64" s="331"/>
      <c r="LT64" s="331"/>
      <c r="LU64" s="331"/>
      <c r="LV64" s="331"/>
      <c r="LW64" s="331"/>
      <c r="LX64" s="331"/>
      <c r="LY64" s="331"/>
      <c r="LZ64" s="331"/>
      <c r="MA64" s="331"/>
      <c r="MB64" s="331"/>
      <c r="MC64" s="331"/>
      <c r="MD64" s="329">
        <v>0</v>
      </c>
      <c r="ME64" s="329">
        <v>0</v>
      </c>
      <c r="MF64" s="329">
        <v>0</v>
      </c>
      <c r="MG64" s="329">
        <v>0</v>
      </c>
      <c r="MH64" s="329">
        <v>0</v>
      </c>
      <c r="MI64" s="329">
        <v>0</v>
      </c>
      <c r="MJ64" s="329">
        <v>0</v>
      </c>
      <c r="MK64" s="329">
        <v>0</v>
      </c>
      <c r="ML64" s="329">
        <v>0</v>
      </c>
      <c r="MM64" s="329">
        <v>0</v>
      </c>
      <c r="MN64" s="329">
        <v>0</v>
      </c>
      <c r="MO64" s="329">
        <v>0</v>
      </c>
      <c r="MP64" s="331"/>
      <c r="MQ64" s="331"/>
      <c r="MR64" s="331"/>
      <c r="MS64" s="331"/>
      <c r="MT64" s="331"/>
      <c r="MU64" s="331"/>
      <c r="MV64" s="331"/>
      <c r="MW64" s="331"/>
      <c r="MX64" s="331"/>
      <c r="MY64" s="331"/>
      <c r="MZ64" s="331"/>
      <c r="NA64" s="331"/>
      <c r="NB64" s="331"/>
      <c r="NC64" s="331"/>
      <c r="ND64" s="331"/>
      <c r="NE64" s="331"/>
      <c r="NF64" s="331"/>
      <c r="NG64" s="331"/>
      <c r="NH64" s="331"/>
      <c r="NI64" s="331"/>
      <c r="NJ64" s="331"/>
      <c r="NK64" s="331"/>
      <c r="NL64" s="331"/>
      <c r="NM64" s="331"/>
      <c r="NN64" s="331"/>
      <c r="NO64" s="331"/>
      <c r="NP64" s="331"/>
      <c r="NQ64" s="331"/>
      <c r="NR64" s="331"/>
      <c r="NS64" s="331"/>
      <c r="NT64" s="331"/>
      <c r="NU64" s="331"/>
      <c r="NV64" s="331"/>
      <c r="NW64" s="331"/>
      <c r="NX64" s="331"/>
      <c r="NY64" s="331"/>
      <c r="NZ64" s="331"/>
      <c r="OA64" s="331"/>
      <c r="OB64" s="331"/>
      <c r="OC64" s="331"/>
      <c r="OD64" s="331"/>
      <c r="OE64" s="331"/>
      <c r="OF64" s="331"/>
      <c r="OG64" s="331"/>
      <c r="OH64" s="331"/>
      <c r="OI64" s="331"/>
      <c r="OJ64" s="331"/>
      <c r="OK64" s="331"/>
      <c r="OL64" s="332">
        <f t="shared" si="1"/>
        <v>21317.97</v>
      </c>
    </row>
    <row r="65" spans="1:402" ht="13.5" thickBot="1">
      <c r="A65" s="328" t="s">
        <v>470</v>
      </c>
      <c r="B65" s="328" t="s">
        <v>471</v>
      </c>
      <c r="C65" s="328" t="s">
        <v>205</v>
      </c>
      <c r="D65" s="328" t="s">
        <v>474</v>
      </c>
      <c r="E65" s="329">
        <v>0</v>
      </c>
      <c r="F65" s="329">
        <v>0</v>
      </c>
      <c r="G65" s="329">
        <v>0</v>
      </c>
      <c r="H65" s="329">
        <v>0</v>
      </c>
      <c r="I65" s="329">
        <v>0</v>
      </c>
      <c r="J65" s="329">
        <v>0</v>
      </c>
      <c r="K65" s="329">
        <v>0</v>
      </c>
      <c r="L65" s="329">
        <v>0</v>
      </c>
      <c r="M65" s="329">
        <v>0</v>
      </c>
      <c r="N65" s="329">
        <v>0</v>
      </c>
      <c r="O65" s="329">
        <v>0</v>
      </c>
      <c r="P65" s="329">
        <v>0</v>
      </c>
      <c r="Q65" s="329">
        <v>0</v>
      </c>
      <c r="R65" s="329">
        <v>0</v>
      </c>
      <c r="S65" s="329">
        <v>0</v>
      </c>
      <c r="T65" s="329">
        <v>0</v>
      </c>
      <c r="U65" s="329">
        <v>0</v>
      </c>
      <c r="V65" s="329">
        <v>0</v>
      </c>
      <c r="W65" s="329">
        <v>0</v>
      </c>
      <c r="X65" s="329">
        <v>0</v>
      </c>
      <c r="Y65" s="329">
        <v>0</v>
      </c>
      <c r="Z65" s="329">
        <v>0</v>
      </c>
      <c r="AA65" s="329">
        <v>0</v>
      </c>
      <c r="AB65" s="329">
        <v>0</v>
      </c>
      <c r="AC65" s="329">
        <v>0</v>
      </c>
      <c r="AD65" s="329">
        <v>0</v>
      </c>
      <c r="AE65" s="329">
        <v>0</v>
      </c>
      <c r="AF65" s="329">
        <v>0</v>
      </c>
      <c r="AG65" s="329">
        <v>0</v>
      </c>
      <c r="AH65" s="329">
        <v>0</v>
      </c>
      <c r="AI65" s="329">
        <v>0</v>
      </c>
      <c r="AJ65" s="329">
        <v>0</v>
      </c>
      <c r="AK65" s="329">
        <v>0</v>
      </c>
      <c r="AL65" s="329">
        <v>0</v>
      </c>
      <c r="AM65" s="329">
        <v>0</v>
      </c>
      <c r="AN65" s="329">
        <v>0</v>
      </c>
      <c r="AO65" s="330">
        <v>778.4</v>
      </c>
      <c r="AP65" s="330">
        <v>718.34</v>
      </c>
      <c r="AQ65" s="330">
        <v>695.94</v>
      </c>
      <c r="AR65" s="330">
        <v>649.57000000000005</v>
      </c>
      <c r="AS65" s="330">
        <v>649.57000000000005</v>
      </c>
      <c r="AT65" s="330">
        <v>649.57000000000005</v>
      </c>
      <c r="AU65" s="330">
        <v>649.57000000000005</v>
      </c>
      <c r="AV65" s="330">
        <v>649.57000000000005</v>
      </c>
      <c r="AW65" s="330">
        <v>671.97</v>
      </c>
      <c r="AX65" s="330">
        <v>741.06</v>
      </c>
      <c r="AY65" s="330">
        <v>696.25</v>
      </c>
      <c r="AZ65" s="330">
        <v>664.5</v>
      </c>
      <c r="BA65" s="331"/>
      <c r="BB65" s="331"/>
      <c r="BC65" s="331"/>
      <c r="BD65" s="331"/>
      <c r="BE65" s="331"/>
      <c r="BF65" s="331"/>
      <c r="BG65" s="331"/>
      <c r="BH65" s="331"/>
      <c r="BI65" s="331"/>
      <c r="BJ65" s="331"/>
      <c r="BK65" s="331"/>
      <c r="BL65" s="331"/>
      <c r="BM65" s="329">
        <v>0</v>
      </c>
      <c r="BN65" s="329">
        <v>0</v>
      </c>
      <c r="BO65" s="329">
        <v>0</v>
      </c>
      <c r="BP65" s="329">
        <v>0</v>
      </c>
      <c r="BQ65" s="329">
        <v>0</v>
      </c>
      <c r="BR65" s="329">
        <v>0</v>
      </c>
      <c r="BS65" s="329">
        <v>0</v>
      </c>
      <c r="BT65" s="329">
        <v>0</v>
      </c>
      <c r="BU65" s="329">
        <v>0</v>
      </c>
      <c r="BV65" s="329">
        <v>0</v>
      </c>
      <c r="BW65" s="329">
        <v>0</v>
      </c>
      <c r="BX65" s="329">
        <v>0</v>
      </c>
      <c r="BY65" s="331"/>
      <c r="BZ65" s="331"/>
      <c r="CA65" s="331"/>
      <c r="CB65" s="331"/>
      <c r="CC65" s="331"/>
      <c r="CD65" s="331"/>
      <c r="CE65" s="331"/>
      <c r="CF65" s="331"/>
      <c r="CG65" s="331"/>
      <c r="CH65" s="331"/>
      <c r="CI65" s="331"/>
      <c r="CJ65" s="331"/>
      <c r="CK65" s="331"/>
      <c r="CL65" s="331"/>
      <c r="CM65" s="331"/>
      <c r="CN65" s="331"/>
      <c r="CO65" s="331"/>
      <c r="CP65" s="331"/>
      <c r="CQ65" s="331"/>
      <c r="CR65" s="331"/>
      <c r="CS65" s="331"/>
      <c r="CT65" s="331"/>
      <c r="CU65" s="331"/>
      <c r="CV65" s="331"/>
      <c r="CW65" s="329">
        <v>0</v>
      </c>
      <c r="CX65" s="329">
        <v>0</v>
      </c>
      <c r="CY65" s="329">
        <v>0</v>
      </c>
      <c r="CZ65" s="329">
        <v>0</v>
      </c>
      <c r="DA65" s="329">
        <v>0</v>
      </c>
      <c r="DB65" s="329">
        <v>0</v>
      </c>
      <c r="DC65" s="329">
        <v>0</v>
      </c>
      <c r="DD65" s="329">
        <v>0</v>
      </c>
      <c r="DE65" s="329">
        <v>0</v>
      </c>
      <c r="DF65" s="329">
        <v>0</v>
      </c>
      <c r="DG65" s="329">
        <v>0</v>
      </c>
      <c r="DH65" s="329">
        <v>0</v>
      </c>
      <c r="DI65" s="330">
        <v>46.13</v>
      </c>
      <c r="DJ65" s="330">
        <v>41.83</v>
      </c>
      <c r="DK65" s="330">
        <v>40.22</v>
      </c>
      <c r="DL65" s="330">
        <v>36.9</v>
      </c>
      <c r="DM65" s="330">
        <v>36.9</v>
      </c>
      <c r="DN65" s="330">
        <v>36.9</v>
      </c>
      <c r="DO65" s="330">
        <v>36.9</v>
      </c>
      <c r="DP65" s="330">
        <v>36.9</v>
      </c>
      <c r="DQ65" s="330">
        <v>38.51</v>
      </c>
      <c r="DR65" s="330">
        <v>43.45</v>
      </c>
      <c r="DS65" s="330">
        <v>40.24</v>
      </c>
      <c r="DT65" s="330">
        <v>42.58</v>
      </c>
      <c r="DU65" s="330">
        <v>9.02</v>
      </c>
      <c r="DV65" s="330">
        <v>8.18</v>
      </c>
      <c r="DW65" s="330">
        <v>7.87</v>
      </c>
      <c r="DX65" s="330">
        <v>7.22</v>
      </c>
      <c r="DY65" s="330">
        <v>7.22</v>
      </c>
      <c r="DZ65" s="330">
        <v>7.22</v>
      </c>
      <c r="EA65" s="330">
        <v>7.22</v>
      </c>
      <c r="EB65" s="330">
        <v>7.22</v>
      </c>
      <c r="EC65" s="330">
        <v>7.53</v>
      </c>
      <c r="ED65" s="330">
        <v>8.5</v>
      </c>
      <c r="EE65" s="330">
        <v>7.87</v>
      </c>
      <c r="EF65" s="330">
        <v>7.43</v>
      </c>
      <c r="EG65" s="331"/>
      <c r="EH65" s="331"/>
      <c r="EI65" s="331"/>
      <c r="EJ65" s="331"/>
      <c r="EK65" s="331"/>
      <c r="EL65" s="331"/>
      <c r="EM65" s="331"/>
      <c r="EN65" s="331"/>
      <c r="EO65" s="331"/>
      <c r="EP65" s="331"/>
      <c r="EQ65" s="331"/>
      <c r="ER65" s="331"/>
      <c r="ES65" s="329">
        <v>0</v>
      </c>
      <c r="ET65" s="329">
        <v>0</v>
      </c>
      <c r="EU65" s="329">
        <v>0</v>
      </c>
      <c r="EV65" s="329">
        <v>0</v>
      </c>
      <c r="EW65" s="329">
        <v>0</v>
      </c>
      <c r="EX65" s="329">
        <v>0</v>
      </c>
      <c r="EY65" s="329">
        <v>0</v>
      </c>
      <c r="EZ65" s="329">
        <v>0</v>
      </c>
      <c r="FA65" s="329">
        <v>0</v>
      </c>
      <c r="FB65" s="329">
        <v>0</v>
      </c>
      <c r="FC65" s="329">
        <v>0</v>
      </c>
      <c r="FD65" s="329">
        <v>0</v>
      </c>
      <c r="FE65" s="331"/>
      <c r="FF65" s="331"/>
      <c r="FG65" s="331"/>
      <c r="FH65" s="331"/>
      <c r="FI65" s="331"/>
      <c r="FJ65" s="331"/>
      <c r="FK65" s="331"/>
      <c r="FL65" s="331"/>
      <c r="FM65" s="331"/>
      <c r="FN65" s="331"/>
      <c r="FO65" s="331"/>
      <c r="FP65" s="331"/>
      <c r="FQ65" s="329">
        <v>0</v>
      </c>
      <c r="FR65" s="329">
        <v>0</v>
      </c>
      <c r="FS65" s="329">
        <v>0</v>
      </c>
      <c r="FT65" s="329">
        <v>0</v>
      </c>
      <c r="FU65" s="329">
        <v>0</v>
      </c>
      <c r="FV65" s="329">
        <v>0</v>
      </c>
      <c r="FW65" s="329">
        <v>0</v>
      </c>
      <c r="FX65" s="329">
        <v>0</v>
      </c>
      <c r="FY65" s="329">
        <v>0</v>
      </c>
      <c r="FZ65" s="329">
        <v>0</v>
      </c>
      <c r="GA65" s="329">
        <v>0</v>
      </c>
      <c r="GB65" s="329">
        <v>0</v>
      </c>
      <c r="GC65" s="330">
        <v>1099.8599999999999</v>
      </c>
      <c r="GD65" s="330">
        <v>723.5</v>
      </c>
      <c r="GE65" s="330">
        <v>716.67</v>
      </c>
      <c r="GF65" s="330">
        <v>679.88</v>
      </c>
      <c r="GG65" s="330">
        <v>862.74</v>
      </c>
      <c r="GH65" s="330">
        <v>541.92999999999995</v>
      </c>
      <c r="GI65" s="330">
        <v>625.91</v>
      </c>
      <c r="GJ65" s="330">
        <v>654.59</v>
      </c>
      <c r="GK65" s="330">
        <v>685.19</v>
      </c>
      <c r="GL65" s="330">
        <v>773.22</v>
      </c>
      <c r="GM65" s="330">
        <v>716.12</v>
      </c>
      <c r="GN65" s="330">
        <v>808.43</v>
      </c>
      <c r="GO65" s="330">
        <v>164.44</v>
      </c>
      <c r="GP65" s="330">
        <v>149.11000000000001</v>
      </c>
      <c r="GQ65" s="330">
        <v>143.38999999999999</v>
      </c>
      <c r="GR65" s="330">
        <v>131.55000000000001</v>
      </c>
      <c r="GS65" s="330">
        <v>131.55000000000001</v>
      </c>
      <c r="GT65" s="330">
        <v>128.49</v>
      </c>
      <c r="GU65" s="330">
        <v>128.49</v>
      </c>
      <c r="GV65" s="330">
        <v>128.49</v>
      </c>
      <c r="GW65" s="330">
        <v>134.07</v>
      </c>
      <c r="GX65" s="330">
        <v>151.30000000000001</v>
      </c>
      <c r="GY65" s="330">
        <v>140.12</v>
      </c>
      <c r="GZ65" s="330">
        <v>132.21</v>
      </c>
      <c r="HA65" s="330">
        <v>16.52</v>
      </c>
      <c r="HB65" s="330">
        <v>9.0299999999999994</v>
      </c>
      <c r="HC65" s="330">
        <v>11.02</v>
      </c>
      <c r="HD65" s="330">
        <v>4.74</v>
      </c>
      <c r="HE65" s="330">
        <v>5.66</v>
      </c>
      <c r="HF65" s="330">
        <v>22.48</v>
      </c>
      <c r="HG65" s="330">
        <v>25.15</v>
      </c>
      <c r="HH65" s="330">
        <v>29.17</v>
      </c>
      <c r="HI65" s="330">
        <v>35.06</v>
      </c>
      <c r="HJ65" s="330">
        <v>33.18</v>
      </c>
      <c r="HK65" s="330">
        <v>31.84</v>
      </c>
      <c r="HL65" s="330">
        <v>35.86</v>
      </c>
      <c r="HM65" s="329">
        <v>0</v>
      </c>
      <c r="HN65" s="329">
        <v>0</v>
      </c>
      <c r="HO65" s="329">
        <v>0</v>
      </c>
      <c r="HP65" s="329">
        <v>0</v>
      </c>
      <c r="HQ65" s="329">
        <v>0</v>
      </c>
      <c r="HR65" s="329">
        <v>0</v>
      </c>
      <c r="HS65" s="329">
        <v>0</v>
      </c>
      <c r="HT65" s="329">
        <v>0</v>
      </c>
      <c r="HU65" s="329">
        <v>0</v>
      </c>
      <c r="HV65" s="329">
        <v>0</v>
      </c>
      <c r="HW65" s="329">
        <v>0</v>
      </c>
      <c r="HX65" s="329">
        <v>0</v>
      </c>
      <c r="HY65" s="331"/>
      <c r="HZ65" s="331"/>
      <c r="IA65" s="331"/>
      <c r="IB65" s="331"/>
      <c r="IC65" s="331"/>
      <c r="ID65" s="331"/>
      <c r="IE65" s="331"/>
      <c r="IF65" s="331"/>
      <c r="IG65" s="331"/>
      <c r="IH65" s="331"/>
      <c r="II65" s="331"/>
      <c r="IJ65" s="331"/>
      <c r="IK65" s="331"/>
      <c r="IL65" s="331"/>
      <c r="IM65" s="331"/>
      <c r="IN65" s="331"/>
      <c r="IO65" s="331"/>
      <c r="IP65" s="331"/>
      <c r="IQ65" s="331"/>
      <c r="IR65" s="331"/>
      <c r="IS65" s="331"/>
      <c r="IT65" s="331"/>
      <c r="IU65" s="331"/>
      <c r="IV65" s="331"/>
      <c r="IW65" s="329">
        <v>0</v>
      </c>
      <c r="IX65" s="329">
        <v>0</v>
      </c>
      <c r="IY65" s="329">
        <v>0</v>
      </c>
      <c r="IZ65" s="329">
        <v>0</v>
      </c>
      <c r="JA65" s="329">
        <v>0</v>
      </c>
      <c r="JB65" s="329">
        <v>0</v>
      </c>
      <c r="JC65" s="329">
        <v>0</v>
      </c>
      <c r="JD65" s="329">
        <v>0</v>
      </c>
      <c r="JE65" s="329">
        <v>0</v>
      </c>
      <c r="JF65" s="329">
        <v>0</v>
      </c>
      <c r="JG65" s="329">
        <v>0</v>
      </c>
      <c r="JH65" s="329">
        <v>0</v>
      </c>
      <c r="JI65" s="330">
        <v>20.260000000000002</v>
      </c>
      <c r="JJ65" s="330">
        <v>-3.05</v>
      </c>
      <c r="JK65" s="330">
        <v>-2.76</v>
      </c>
      <c r="JL65" s="330">
        <v>-2.66</v>
      </c>
      <c r="JM65" s="330">
        <v>-2.44</v>
      </c>
      <c r="JN65" s="330">
        <v>-2.44</v>
      </c>
      <c r="JO65" s="330">
        <v>-2.44</v>
      </c>
      <c r="JP65" s="330">
        <v>-2.44</v>
      </c>
      <c r="JQ65" s="330">
        <v>-2.44</v>
      </c>
      <c r="JR65" s="330">
        <v>-2.5499999999999998</v>
      </c>
      <c r="JS65" s="330">
        <v>-2.87</v>
      </c>
      <c r="JT65" s="330">
        <v>-2.66</v>
      </c>
      <c r="JU65" s="330">
        <v>-2.2000000000000002</v>
      </c>
      <c r="JV65" s="329">
        <v>0</v>
      </c>
      <c r="JW65" s="329">
        <v>0</v>
      </c>
      <c r="JX65" s="329">
        <v>0</v>
      </c>
      <c r="JY65" s="329">
        <v>0</v>
      </c>
      <c r="JZ65" s="329">
        <v>0</v>
      </c>
      <c r="KA65" s="329">
        <v>0</v>
      </c>
      <c r="KB65" s="329">
        <v>0</v>
      </c>
      <c r="KC65" s="329">
        <v>0</v>
      </c>
      <c r="KD65" s="329">
        <v>0</v>
      </c>
      <c r="KE65" s="329">
        <v>0</v>
      </c>
      <c r="KF65" s="329">
        <v>0</v>
      </c>
      <c r="KG65" s="329">
        <v>0</v>
      </c>
      <c r="KH65" s="329">
        <v>0</v>
      </c>
      <c r="KI65" s="329">
        <v>0</v>
      </c>
      <c r="KJ65" s="329">
        <v>0</v>
      </c>
      <c r="KK65" s="329">
        <v>0</v>
      </c>
      <c r="KL65" s="329">
        <v>0</v>
      </c>
      <c r="KM65" s="329">
        <v>0</v>
      </c>
      <c r="KN65" s="329">
        <v>0</v>
      </c>
      <c r="KO65" s="329">
        <v>0</v>
      </c>
      <c r="KP65" s="329">
        <v>0</v>
      </c>
      <c r="KQ65" s="329">
        <v>0</v>
      </c>
      <c r="KR65" s="329">
        <v>0</v>
      </c>
      <c r="KS65" s="329">
        <v>0</v>
      </c>
      <c r="KT65" s="329">
        <v>0</v>
      </c>
      <c r="KU65" s="329">
        <v>0</v>
      </c>
      <c r="KV65" s="329">
        <v>0</v>
      </c>
      <c r="KW65" s="329">
        <v>0</v>
      </c>
      <c r="KX65" s="329">
        <v>0</v>
      </c>
      <c r="KY65" s="329">
        <v>0</v>
      </c>
      <c r="KZ65" s="329">
        <v>0</v>
      </c>
      <c r="LA65" s="329">
        <v>0</v>
      </c>
      <c r="LB65" s="329">
        <v>0</v>
      </c>
      <c r="LC65" s="329">
        <v>0</v>
      </c>
      <c r="LD65" s="329">
        <v>0</v>
      </c>
      <c r="LE65" s="329">
        <v>0</v>
      </c>
      <c r="LF65" s="329">
        <v>0</v>
      </c>
      <c r="LG65" s="329">
        <v>0</v>
      </c>
      <c r="LH65" s="329">
        <v>0</v>
      </c>
      <c r="LI65" s="329">
        <v>0</v>
      </c>
      <c r="LJ65" s="329">
        <v>0</v>
      </c>
      <c r="LK65" s="329">
        <v>0</v>
      </c>
      <c r="LL65" s="329">
        <v>0</v>
      </c>
      <c r="LM65" s="329">
        <v>0</v>
      </c>
      <c r="LN65" s="329">
        <v>0</v>
      </c>
      <c r="LO65" s="329">
        <v>0</v>
      </c>
      <c r="LP65" s="329">
        <v>0</v>
      </c>
      <c r="LQ65" s="329">
        <v>0</v>
      </c>
      <c r="LR65" s="331"/>
      <c r="LS65" s="331"/>
      <c r="LT65" s="331"/>
      <c r="LU65" s="331"/>
      <c r="LV65" s="331"/>
      <c r="LW65" s="331"/>
      <c r="LX65" s="331"/>
      <c r="LY65" s="331"/>
      <c r="LZ65" s="331"/>
      <c r="MA65" s="331"/>
      <c r="MB65" s="331"/>
      <c r="MC65" s="331"/>
      <c r="MD65" s="329">
        <v>0</v>
      </c>
      <c r="ME65" s="329">
        <v>0</v>
      </c>
      <c r="MF65" s="329">
        <v>0</v>
      </c>
      <c r="MG65" s="329">
        <v>0</v>
      </c>
      <c r="MH65" s="329">
        <v>0</v>
      </c>
      <c r="MI65" s="329">
        <v>0</v>
      </c>
      <c r="MJ65" s="329">
        <v>0</v>
      </c>
      <c r="MK65" s="329">
        <v>0</v>
      </c>
      <c r="ML65" s="329">
        <v>0</v>
      </c>
      <c r="MM65" s="329">
        <v>0</v>
      </c>
      <c r="MN65" s="329">
        <v>0</v>
      </c>
      <c r="MO65" s="329">
        <v>0</v>
      </c>
      <c r="MP65" s="331"/>
      <c r="MQ65" s="331"/>
      <c r="MR65" s="331"/>
      <c r="MS65" s="331"/>
      <c r="MT65" s="331"/>
      <c r="MU65" s="331"/>
      <c r="MV65" s="331"/>
      <c r="MW65" s="331"/>
      <c r="MX65" s="331"/>
      <c r="MY65" s="331"/>
      <c r="MZ65" s="331"/>
      <c r="NA65" s="331"/>
      <c r="NB65" s="331"/>
      <c r="NC65" s="331"/>
      <c r="ND65" s="331"/>
      <c r="NE65" s="331"/>
      <c r="NF65" s="331"/>
      <c r="NG65" s="331"/>
      <c r="NH65" s="331"/>
      <c r="NI65" s="331"/>
      <c r="NJ65" s="331"/>
      <c r="NK65" s="331"/>
      <c r="NL65" s="331"/>
      <c r="NM65" s="331"/>
      <c r="NN65" s="331"/>
      <c r="NO65" s="331"/>
      <c r="NP65" s="331"/>
      <c r="NQ65" s="331"/>
      <c r="NR65" s="331"/>
      <c r="NS65" s="331"/>
      <c r="NT65" s="331"/>
      <c r="NU65" s="331"/>
      <c r="NV65" s="331"/>
      <c r="NW65" s="331"/>
      <c r="NX65" s="331"/>
      <c r="NY65" s="331"/>
      <c r="NZ65" s="331"/>
      <c r="OA65" s="331"/>
      <c r="OB65" s="331"/>
      <c r="OC65" s="331"/>
      <c r="OD65" s="331"/>
      <c r="OE65" s="331"/>
      <c r="OF65" s="331"/>
      <c r="OG65" s="331"/>
      <c r="OH65" s="331"/>
      <c r="OI65" s="331"/>
      <c r="OJ65" s="331"/>
      <c r="OK65" s="331"/>
      <c r="OL65" s="332">
        <f t="shared" si="1"/>
        <v>19584.540000000008</v>
      </c>
    </row>
    <row r="66" spans="1:402" ht="13.5" thickBot="1">
      <c r="A66" s="328" t="s">
        <v>470</v>
      </c>
      <c r="B66" s="328" t="s">
        <v>471</v>
      </c>
      <c r="C66" s="328" t="s">
        <v>205</v>
      </c>
      <c r="D66" s="328" t="s">
        <v>475</v>
      </c>
      <c r="E66" s="329">
        <v>0</v>
      </c>
      <c r="F66" s="329">
        <v>0</v>
      </c>
      <c r="G66" s="329">
        <v>0</v>
      </c>
      <c r="H66" s="329">
        <v>0</v>
      </c>
      <c r="I66" s="329">
        <v>0</v>
      </c>
      <c r="J66" s="329">
        <v>0</v>
      </c>
      <c r="K66" s="329">
        <v>0</v>
      </c>
      <c r="L66" s="329">
        <v>0</v>
      </c>
      <c r="M66" s="329">
        <v>0</v>
      </c>
      <c r="N66" s="329">
        <v>0</v>
      </c>
      <c r="O66" s="329">
        <v>0</v>
      </c>
      <c r="P66" s="329">
        <v>0</v>
      </c>
      <c r="Q66" s="329">
        <v>0</v>
      </c>
      <c r="R66" s="329">
        <v>0</v>
      </c>
      <c r="S66" s="329">
        <v>0</v>
      </c>
      <c r="T66" s="329">
        <v>0</v>
      </c>
      <c r="U66" s="329">
        <v>0</v>
      </c>
      <c r="V66" s="329">
        <v>0</v>
      </c>
      <c r="W66" s="329">
        <v>0</v>
      </c>
      <c r="X66" s="329">
        <v>0</v>
      </c>
      <c r="Y66" s="329">
        <v>0</v>
      </c>
      <c r="Z66" s="329">
        <v>0</v>
      </c>
      <c r="AA66" s="329">
        <v>0</v>
      </c>
      <c r="AB66" s="329">
        <v>0</v>
      </c>
      <c r="AC66" s="329">
        <v>0</v>
      </c>
      <c r="AD66" s="329">
        <v>0</v>
      </c>
      <c r="AE66" s="329">
        <v>0</v>
      </c>
      <c r="AF66" s="329">
        <v>0</v>
      </c>
      <c r="AG66" s="329">
        <v>0</v>
      </c>
      <c r="AH66" s="329">
        <v>0</v>
      </c>
      <c r="AI66" s="329">
        <v>0</v>
      </c>
      <c r="AJ66" s="329">
        <v>0</v>
      </c>
      <c r="AK66" s="329">
        <v>0</v>
      </c>
      <c r="AL66" s="329">
        <v>0</v>
      </c>
      <c r="AM66" s="329">
        <v>0</v>
      </c>
      <c r="AN66" s="329">
        <v>0</v>
      </c>
      <c r="AO66" s="330">
        <v>755.69</v>
      </c>
      <c r="AP66" s="330">
        <v>755.69</v>
      </c>
      <c r="AQ66" s="330">
        <v>657.04</v>
      </c>
      <c r="AR66" s="330">
        <v>601.64</v>
      </c>
      <c r="AS66" s="330">
        <v>601.64</v>
      </c>
      <c r="AT66" s="330">
        <v>601.64</v>
      </c>
      <c r="AU66" s="330">
        <v>677.58</v>
      </c>
      <c r="AV66" s="330">
        <v>713.05</v>
      </c>
      <c r="AW66" s="330">
        <v>696.25</v>
      </c>
      <c r="AX66" s="330">
        <v>675.71</v>
      </c>
      <c r="AY66" s="330">
        <v>653.29999999999995</v>
      </c>
      <c r="AZ66" s="330">
        <v>679.44</v>
      </c>
      <c r="BA66" s="331"/>
      <c r="BB66" s="331"/>
      <c r="BC66" s="331"/>
      <c r="BD66" s="331"/>
      <c r="BE66" s="331"/>
      <c r="BF66" s="331"/>
      <c r="BG66" s="331"/>
      <c r="BH66" s="331"/>
      <c r="BI66" s="331"/>
      <c r="BJ66" s="331"/>
      <c r="BK66" s="331"/>
      <c r="BL66" s="331"/>
      <c r="BM66" s="329">
        <v>0</v>
      </c>
      <c r="BN66" s="329">
        <v>0</v>
      </c>
      <c r="BO66" s="329">
        <v>0</v>
      </c>
      <c r="BP66" s="329">
        <v>0</v>
      </c>
      <c r="BQ66" s="329">
        <v>0</v>
      </c>
      <c r="BR66" s="329">
        <v>0</v>
      </c>
      <c r="BS66" s="329">
        <v>0</v>
      </c>
      <c r="BT66" s="329">
        <v>0</v>
      </c>
      <c r="BU66" s="329">
        <v>0</v>
      </c>
      <c r="BV66" s="329">
        <v>0</v>
      </c>
      <c r="BW66" s="329">
        <v>0</v>
      </c>
      <c r="BX66" s="329">
        <v>0</v>
      </c>
      <c r="BY66" s="331"/>
      <c r="BZ66" s="331"/>
      <c r="CA66" s="331"/>
      <c r="CB66" s="331"/>
      <c r="CC66" s="331"/>
      <c r="CD66" s="331"/>
      <c r="CE66" s="331"/>
      <c r="CF66" s="331"/>
      <c r="CG66" s="331"/>
      <c r="CH66" s="331"/>
      <c r="CI66" s="331"/>
      <c r="CJ66" s="331"/>
      <c r="CK66" s="331"/>
      <c r="CL66" s="331"/>
      <c r="CM66" s="331"/>
      <c r="CN66" s="331"/>
      <c r="CO66" s="331"/>
      <c r="CP66" s="331"/>
      <c r="CQ66" s="331"/>
      <c r="CR66" s="331"/>
      <c r="CS66" s="331"/>
      <c r="CT66" s="331"/>
      <c r="CU66" s="331"/>
      <c r="CV66" s="331"/>
      <c r="CW66" s="329">
        <v>0</v>
      </c>
      <c r="CX66" s="329">
        <v>0</v>
      </c>
      <c r="CY66" s="329">
        <v>0</v>
      </c>
      <c r="CZ66" s="329">
        <v>0</v>
      </c>
      <c r="DA66" s="329">
        <v>0</v>
      </c>
      <c r="DB66" s="329">
        <v>0</v>
      </c>
      <c r="DC66" s="329">
        <v>0</v>
      </c>
      <c r="DD66" s="329">
        <v>0</v>
      </c>
      <c r="DE66" s="329">
        <v>0</v>
      </c>
      <c r="DF66" s="329">
        <v>0</v>
      </c>
      <c r="DG66" s="329">
        <v>0</v>
      </c>
      <c r="DH66" s="329">
        <v>0</v>
      </c>
      <c r="DI66" s="330">
        <v>44.5</v>
      </c>
      <c r="DJ66" s="330">
        <v>44.5</v>
      </c>
      <c r="DK66" s="330">
        <v>37.44</v>
      </c>
      <c r="DL66" s="330">
        <v>33.47</v>
      </c>
      <c r="DM66" s="330">
        <v>33.47</v>
      </c>
      <c r="DN66" s="330">
        <v>33.47</v>
      </c>
      <c r="DO66" s="330">
        <v>38.909999999999997</v>
      </c>
      <c r="DP66" s="330">
        <v>41.45</v>
      </c>
      <c r="DQ66" s="330">
        <v>40.24</v>
      </c>
      <c r="DR66" s="330">
        <v>38.770000000000003</v>
      </c>
      <c r="DS66" s="330">
        <v>37.17</v>
      </c>
      <c r="DT66" s="330">
        <v>43.78</v>
      </c>
      <c r="DU66" s="330">
        <v>8.6999999999999993</v>
      </c>
      <c r="DV66" s="330">
        <v>8.6999999999999993</v>
      </c>
      <c r="DW66" s="330">
        <v>7.32</v>
      </c>
      <c r="DX66" s="330">
        <v>6.55</v>
      </c>
      <c r="DY66" s="330">
        <v>6.55</v>
      </c>
      <c r="DZ66" s="330">
        <v>6.55</v>
      </c>
      <c r="EA66" s="330">
        <v>7.61</v>
      </c>
      <c r="EB66" s="330">
        <v>8.11</v>
      </c>
      <c r="EC66" s="330">
        <v>7.87</v>
      </c>
      <c r="ED66" s="330">
        <v>7.58</v>
      </c>
      <c r="EE66" s="330">
        <v>7.27</v>
      </c>
      <c r="EF66" s="330">
        <v>7.64</v>
      </c>
      <c r="EG66" s="331"/>
      <c r="EH66" s="331"/>
      <c r="EI66" s="331"/>
      <c r="EJ66" s="331"/>
      <c r="EK66" s="331"/>
      <c r="EL66" s="331"/>
      <c r="EM66" s="331"/>
      <c r="EN66" s="331"/>
      <c r="EO66" s="331"/>
      <c r="EP66" s="331"/>
      <c r="EQ66" s="331"/>
      <c r="ER66" s="331"/>
      <c r="ES66" s="329">
        <v>0</v>
      </c>
      <c r="ET66" s="329">
        <v>0</v>
      </c>
      <c r="EU66" s="329">
        <v>0</v>
      </c>
      <c r="EV66" s="329">
        <v>0</v>
      </c>
      <c r="EW66" s="329">
        <v>0</v>
      </c>
      <c r="EX66" s="329">
        <v>0</v>
      </c>
      <c r="EY66" s="329">
        <v>0</v>
      </c>
      <c r="EZ66" s="329">
        <v>0</v>
      </c>
      <c r="FA66" s="329">
        <v>0</v>
      </c>
      <c r="FB66" s="329">
        <v>0</v>
      </c>
      <c r="FC66" s="329">
        <v>0</v>
      </c>
      <c r="FD66" s="329">
        <v>0</v>
      </c>
      <c r="FE66" s="331"/>
      <c r="FF66" s="331"/>
      <c r="FG66" s="331"/>
      <c r="FH66" s="331"/>
      <c r="FI66" s="331"/>
      <c r="FJ66" s="331"/>
      <c r="FK66" s="331"/>
      <c r="FL66" s="331"/>
      <c r="FM66" s="331"/>
      <c r="FN66" s="331"/>
      <c r="FO66" s="331"/>
      <c r="FP66" s="331"/>
      <c r="FQ66" s="329">
        <v>0</v>
      </c>
      <c r="FR66" s="329">
        <v>0</v>
      </c>
      <c r="FS66" s="329">
        <v>0</v>
      </c>
      <c r="FT66" s="329">
        <v>0</v>
      </c>
      <c r="FU66" s="329">
        <v>0</v>
      </c>
      <c r="FV66" s="329">
        <v>0</v>
      </c>
      <c r="FW66" s="329">
        <v>0</v>
      </c>
      <c r="FX66" s="329">
        <v>0</v>
      </c>
      <c r="FY66" s="329">
        <v>0</v>
      </c>
      <c r="FZ66" s="329">
        <v>0</v>
      </c>
      <c r="GA66" s="329">
        <v>0</v>
      </c>
      <c r="GB66" s="329">
        <v>0</v>
      </c>
      <c r="GC66" s="330">
        <v>961.55</v>
      </c>
      <c r="GD66" s="330">
        <v>750.12</v>
      </c>
      <c r="GE66" s="330">
        <v>661.21</v>
      </c>
      <c r="GF66" s="330">
        <v>611.39</v>
      </c>
      <c r="GG66" s="330">
        <v>445.68</v>
      </c>
      <c r="GH66" s="330">
        <v>586.70000000000005</v>
      </c>
      <c r="GI66" s="330">
        <v>692.33</v>
      </c>
      <c r="GJ66" s="330">
        <v>737.53</v>
      </c>
      <c r="GK66" s="330">
        <v>716.12</v>
      </c>
      <c r="GL66" s="330">
        <v>689.95</v>
      </c>
      <c r="GM66" s="330">
        <v>661.4</v>
      </c>
      <c r="GN66" s="330">
        <v>831.19</v>
      </c>
      <c r="GO66" s="330">
        <v>158.63999999999999</v>
      </c>
      <c r="GP66" s="330">
        <v>158.63999999999999</v>
      </c>
      <c r="GQ66" s="330">
        <v>133.46</v>
      </c>
      <c r="GR66" s="330">
        <v>119.32</v>
      </c>
      <c r="GS66" s="330">
        <v>119.32</v>
      </c>
      <c r="GT66" s="330">
        <v>116.54</v>
      </c>
      <c r="GU66" s="330">
        <v>135.47</v>
      </c>
      <c r="GV66" s="330">
        <v>144.31</v>
      </c>
      <c r="GW66" s="330">
        <v>140.12</v>
      </c>
      <c r="GX66" s="329">
        <v>135</v>
      </c>
      <c r="GY66" s="330">
        <v>129.41999999999999</v>
      </c>
      <c r="GZ66" s="330">
        <v>135.93</v>
      </c>
      <c r="HA66" s="330">
        <v>8.26</v>
      </c>
      <c r="HB66" s="330">
        <v>6.43</v>
      </c>
      <c r="HC66" s="330">
        <v>5.81</v>
      </c>
      <c r="HD66" s="330">
        <v>1.84</v>
      </c>
      <c r="HE66" s="330">
        <v>1.68</v>
      </c>
      <c r="HF66" s="330">
        <v>10.7</v>
      </c>
      <c r="HG66" s="330">
        <v>16.86</v>
      </c>
      <c r="HH66" s="330">
        <v>25.15</v>
      </c>
      <c r="HI66" s="330">
        <v>35.590000000000003</v>
      </c>
      <c r="HJ66" s="330">
        <v>31.04</v>
      </c>
      <c r="HK66" s="330">
        <v>28.63</v>
      </c>
      <c r="HL66" s="330">
        <v>32.909999999999997</v>
      </c>
      <c r="HM66" s="329">
        <v>0</v>
      </c>
      <c r="HN66" s="329">
        <v>0</v>
      </c>
      <c r="HO66" s="329">
        <v>0</v>
      </c>
      <c r="HP66" s="329">
        <v>0</v>
      </c>
      <c r="HQ66" s="329">
        <v>0</v>
      </c>
      <c r="HR66" s="329">
        <v>0</v>
      </c>
      <c r="HS66" s="329">
        <v>0</v>
      </c>
      <c r="HT66" s="329">
        <v>0</v>
      </c>
      <c r="HU66" s="329">
        <v>0</v>
      </c>
      <c r="HV66" s="329">
        <v>0</v>
      </c>
      <c r="HW66" s="329">
        <v>0</v>
      </c>
      <c r="HX66" s="329">
        <v>0</v>
      </c>
      <c r="HY66" s="331"/>
      <c r="HZ66" s="331"/>
      <c r="IA66" s="331"/>
      <c r="IB66" s="331"/>
      <c r="IC66" s="331"/>
      <c r="ID66" s="331"/>
      <c r="IE66" s="331"/>
      <c r="IF66" s="331"/>
      <c r="IG66" s="331"/>
      <c r="IH66" s="331"/>
      <c r="II66" s="331"/>
      <c r="IJ66" s="331"/>
      <c r="IK66" s="331"/>
      <c r="IL66" s="331"/>
      <c r="IM66" s="331"/>
      <c r="IN66" s="331"/>
      <c r="IO66" s="331"/>
      <c r="IP66" s="331"/>
      <c r="IQ66" s="331"/>
      <c r="IR66" s="331"/>
      <c r="IS66" s="331"/>
      <c r="IT66" s="331"/>
      <c r="IU66" s="331"/>
      <c r="IV66" s="331"/>
      <c r="IW66" s="329">
        <v>0</v>
      </c>
      <c r="IX66" s="329">
        <v>0</v>
      </c>
      <c r="IY66" s="329">
        <v>0</v>
      </c>
      <c r="IZ66" s="329">
        <v>0</v>
      </c>
      <c r="JA66" s="329">
        <v>0</v>
      </c>
      <c r="JB66" s="329">
        <v>0</v>
      </c>
      <c r="JC66" s="329">
        <v>0</v>
      </c>
      <c r="JD66" s="329">
        <v>0</v>
      </c>
      <c r="JE66" s="329">
        <v>0</v>
      </c>
      <c r="JF66" s="329">
        <v>0</v>
      </c>
      <c r="JG66" s="329">
        <v>0</v>
      </c>
      <c r="JH66" s="329">
        <v>0</v>
      </c>
      <c r="JI66" s="330">
        <v>20.83</v>
      </c>
      <c r="JJ66" s="330">
        <v>-2.94</v>
      </c>
      <c r="JK66" s="330">
        <v>-2.94</v>
      </c>
      <c r="JL66" s="330">
        <v>-2.4700000000000002</v>
      </c>
      <c r="JM66" s="330">
        <v>-2.21</v>
      </c>
      <c r="JN66" s="330">
        <v>-2.21</v>
      </c>
      <c r="JO66" s="330">
        <v>-2.21</v>
      </c>
      <c r="JP66" s="330">
        <v>-2.57</v>
      </c>
      <c r="JQ66" s="330">
        <v>-2.74</v>
      </c>
      <c r="JR66" s="330">
        <v>-2.66</v>
      </c>
      <c r="JS66" s="330">
        <v>-2.56</v>
      </c>
      <c r="JT66" s="330">
        <v>-2.46</v>
      </c>
      <c r="JU66" s="330">
        <v>-2.2599999999999998</v>
      </c>
      <c r="JV66" s="329">
        <v>0</v>
      </c>
      <c r="JW66" s="329">
        <v>0</v>
      </c>
      <c r="JX66" s="329">
        <v>0</v>
      </c>
      <c r="JY66" s="329">
        <v>0</v>
      </c>
      <c r="JZ66" s="329">
        <v>0</v>
      </c>
      <c r="KA66" s="329">
        <v>0</v>
      </c>
      <c r="KB66" s="329">
        <v>0</v>
      </c>
      <c r="KC66" s="329">
        <v>0</v>
      </c>
      <c r="KD66" s="329">
        <v>0</v>
      </c>
      <c r="KE66" s="329">
        <v>0</v>
      </c>
      <c r="KF66" s="329">
        <v>0</v>
      </c>
      <c r="KG66" s="329">
        <v>0</v>
      </c>
      <c r="KH66" s="329">
        <v>0</v>
      </c>
      <c r="KI66" s="329">
        <v>0</v>
      </c>
      <c r="KJ66" s="329">
        <v>0</v>
      </c>
      <c r="KK66" s="329">
        <v>0</v>
      </c>
      <c r="KL66" s="329">
        <v>0</v>
      </c>
      <c r="KM66" s="329">
        <v>0</v>
      </c>
      <c r="KN66" s="329">
        <v>0</v>
      </c>
      <c r="KO66" s="329">
        <v>0</v>
      </c>
      <c r="KP66" s="329">
        <v>0</v>
      </c>
      <c r="KQ66" s="329">
        <v>0</v>
      </c>
      <c r="KR66" s="329">
        <v>0</v>
      </c>
      <c r="KS66" s="329">
        <v>0</v>
      </c>
      <c r="KT66" s="329">
        <v>0</v>
      </c>
      <c r="KU66" s="329">
        <v>0</v>
      </c>
      <c r="KV66" s="329">
        <v>0</v>
      </c>
      <c r="KW66" s="329">
        <v>0</v>
      </c>
      <c r="KX66" s="329">
        <v>0</v>
      </c>
      <c r="KY66" s="329">
        <v>0</v>
      </c>
      <c r="KZ66" s="329">
        <v>0</v>
      </c>
      <c r="LA66" s="329">
        <v>0</v>
      </c>
      <c r="LB66" s="329">
        <v>0</v>
      </c>
      <c r="LC66" s="329">
        <v>0</v>
      </c>
      <c r="LD66" s="329">
        <v>0</v>
      </c>
      <c r="LE66" s="329">
        <v>0</v>
      </c>
      <c r="LF66" s="329">
        <v>0</v>
      </c>
      <c r="LG66" s="329">
        <v>0</v>
      </c>
      <c r="LH66" s="329">
        <v>0</v>
      </c>
      <c r="LI66" s="329">
        <v>0</v>
      </c>
      <c r="LJ66" s="329">
        <v>0</v>
      </c>
      <c r="LK66" s="329">
        <v>0</v>
      </c>
      <c r="LL66" s="329">
        <v>0</v>
      </c>
      <c r="LM66" s="329">
        <v>0</v>
      </c>
      <c r="LN66" s="329">
        <v>0</v>
      </c>
      <c r="LO66" s="329">
        <v>0</v>
      </c>
      <c r="LP66" s="329">
        <v>0</v>
      </c>
      <c r="LQ66" s="329">
        <v>0</v>
      </c>
      <c r="LR66" s="331"/>
      <c r="LS66" s="331"/>
      <c r="LT66" s="331"/>
      <c r="LU66" s="331"/>
      <c r="LV66" s="331"/>
      <c r="LW66" s="331"/>
      <c r="LX66" s="331"/>
      <c r="LY66" s="331"/>
      <c r="LZ66" s="331"/>
      <c r="MA66" s="331"/>
      <c r="MB66" s="331"/>
      <c r="MC66" s="331"/>
      <c r="MD66" s="329">
        <v>0</v>
      </c>
      <c r="ME66" s="329">
        <v>0</v>
      </c>
      <c r="MF66" s="329">
        <v>0</v>
      </c>
      <c r="MG66" s="329">
        <v>0</v>
      </c>
      <c r="MH66" s="329">
        <v>0</v>
      </c>
      <c r="MI66" s="329">
        <v>0</v>
      </c>
      <c r="MJ66" s="329">
        <v>0</v>
      </c>
      <c r="MK66" s="329">
        <v>0</v>
      </c>
      <c r="ML66" s="329">
        <v>0</v>
      </c>
      <c r="MM66" s="329">
        <v>0</v>
      </c>
      <c r="MN66" s="329">
        <v>0</v>
      </c>
      <c r="MO66" s="329">
        <v>0</v>
      </c>
      <c r="MP66" s="331"/>
      <c r="MQ66" s="331"/>
      <c r="MR66" s="331"/>
      <c r="MS66" s="331"/>
      <c r="MT66" s="331"/>
      <c r="MU66" s="331"/>
      <c r="MV66" s="331"/>
      <c r="MW66" s="331"/>
      <c r="MX66" s="331"/>
      <c r="MY66" s="331"/>
      <c r="MZ66" s="331"/>
      <c r="NA66" s="331"/>
      <c r="NB66" s="331"/>
      <c r="NC66" s="331"/>
      <c r="ND66" s="331"/>
      <c r="NE66" s="331"/>
      <c r="NF66" s="331"/>
      <c r="NG66" s="331"/>
      <c r="NH66" s="331"/>
      <c r="NI66" s="331"/>
      <c r="NJ66" s="331"/>
      <c r="NK66" s="331"/>
      <c r="NL66" s="331"/>
      <c r="NM66" s="331"/>
      <c r="NN66" s="331"/>
      <c r="NO66" s="331"/>
      <c r="NP66" s="331"/>
      <c r="NQ66" s="331"/>
      <c r="NR66" s="331"/>
      <c r="NS66" s="331"/>
      <c r="NT66" s="331"/>
      <c r="NU66" s="331"/>
      <c r="NV66" s="331"/>
      <c r="NW66" s="331"/>
      <c r="NX66" s="331"/>
      <c r="NY66" s="331"/>
      <c r="NZ66" s="331"/>
      <c r="OA66" s="331"/>
      <c r="OB66" s="331"/>
      <c r="OC66" s="331"/>
      <c r="OD66" s="331"/>
      <c r="OE66" s="331"/>
      <c r="OF66" s="331"/>
      <c r="OG66" s="331"/>
      <c r="OH66" s="331"/>
      <c r="OI66" s="331"/>
      <c r="OJ66" s="331"/>
      <c r="OK66" s="331"/>
      <c r="OL66" s="332">
        <f t="shared" si="1"/>
        <v>18793.130000000012</v>
      </c>
    </row>
    <row r="67" spans="1:402" ht="13.5" thickBot="1">
      <c r="A67" s="328" t="s">
        <v>470</v>
      </c>
      <c r="B67" s="328" t="s">
        <v>405</v>
      </c>
      <c r="C67" s="328" t="s">
        <v>476</v>
      </c>
      <c r="D67" s="328" t="s">
        <v>477</v>
      </c>
      <c r="E67" s="329">
        <v>0</v>
      </c>
      <c r="F67" s="329">
        <v>0</v>
      </c>
      <c r="G67" s="329">
        <v>0</v>
      </c>
      <c r="H67" s="329">
        <v>0</v>
      </c>
      <c r="I67" s="329">
        <v>0</v>
      </c>
      <c r="J67" s="329">
        <v>0</v>
      </c>
      <c r="K67" s="329">
        <v>0</v>
      </c>
      <c r="L67" s="329">
        <v>0</v>
      </c>
      <c r="M67" s="329">
        <v>0</v>
      </c>
      <c r="N67" s="329">
        <v>0</v>
      </c>
      <c r="O67" s="329">
        <v>0</v>
      </c>
      <c r="P67" s="329">
        <v>0</v>
      </c>
      <c r="Q67" s="329">
        <v>0</v>
      </c>
      <c r="R67" s="329">
        <v>0</v>
      </c>
      <c r="S67" s="329">
        <v>0</v>
      </c>
      <c r="T67" s="329">
        <v>0</v>
      </c>
      <c r="U67" s="329">
        <v>0</v>
      </c>
      <c r="V67" s="329">
        <v>0</v>
      </c>
      <c r="W67" s="329">
        <v>0</v>
      </c>
      <c r="X67" s="329">
        <v>0</v>
      </c>
      <c r="Y67" s="329">
        <v>0</v>
      </c>
      <c r="Z67" s="329">
        <v>0</v>
      </c>
      <c r="AA67" s="329">
        <v>0</v>
      </c>
      <c r="AB67" s="329">
        <v>0</v>
      </c>
      <c r="AC67" s="329">
        <v>0</v>
      </c>
      <c r="AD67" s="329">
        <v>0</v>
      </c>
      <c r="AE67" s="329">
        <v>0</v>
      </c>
      <c r="AF67" s="329">
        <v>0</v>
      </c>
      <c r="AG67" s="329">
        <v>0</v>
      </c>
      <c r="AH67" s="329">
        <v>0</v>
      </c>
      <c r="AI67" s="329">
        <v>0</v>
      </c>
      <c r="AJ67" s="329">
        <v>0</v>
      </c>
      <c r="AK67" s="329">
        <v>0</v>
      </c>
      <c r="AL67" s="329">
        <v>0</v>
      </c>
      <c r="AM67" s="329">
        <v>0</v>
      </c>
      <c r="AN67" s="329">
        <v>0</v>
      </c>
      <c r="AO67" s="330">
        <v>464.71</v>
      </c>
      <c r="AP67" s="330">
        <v>446.04</v>
      </c>
      <c r="AQ67" s="330">
        <v>398.74</v>
      </c>
      <c r="AR67" s="330">
        <v>398.74</v>
      </c>
      <c r="AS67" s="330">
        <v>398.74</v>
      </c>
      <c r="AT67" s="330">
        <v>398.74</v>
      </c>
      <c r="AU67" s="330">
        <v>398.74</v>
      </c>
      <c r="AV67" s="330">
        <v>408.7</v>
      </c>
      <c r="AW67" s="330">
        <v>398.74</v>
      </c>
      <c r="AX67" s="330">
        <v>398.74</v>
      </c>
      <c r="AY67" s="330">
        <v>398.74</v>
      </c>
      <c r="AZ67" s="330">
        <v>398.74</v>
      </c>
      <c r="BA67" s="329">
        <v>0</v>
      </c>
      <c r="BB67" s="329">
        <v>0</v>
      </c>
      <c r="BC67" s="329">
        <v>0</v>
      </c>
      <c r="BD67" s="329">
        <v>0</v>
      </c>
      <c r="BE67" s="329">
        <v>0</v>
      </c>
      <c r="BF67" s="329">
        <v>0</v>
      </c>
      <c r="BG67" s="329">
        <v>0</v>
      </c>
      <c r="BH67" s="329">
        <v>0</v>
      </c>
      <c r="BI67" s="329">
        <v>0</v>
      </c>
      <c r="BJ67" s="329">
        <v>0</v>
      </c>
      <c r="BK67" s="329">
        <v>0</v>
      </c>
      <c r="BL67" s="329">
        <v>0</v>
      </c>
      <c r="BM67" s="331"/>
      <c r="BN67" s="331"/>
      <c r="BO67" s="331"/>
      <c r="BP67" s="331"/>
      <c r="BQ67" s="331"/>
      <c r="BR67" s="331"/>
      <c r="BS67" s="331"/>
      <c r="BT67" s="331"/>
      <c r="BU67" s="331"/>
      <c r="BV67" s="331"/>
      <c r="BW67" s="331"/>
      <c r="BX67" s="331"/>
      <c r="BY67" s="331"/>
      <c r="BZ67" s="331"/>
      <c r="CA67" s="331"/>
      <c r="CB67" s="331"/>
      <c r="CC67" s="331"/>
      <c r="CD67" s="331"/>
      <c r="CE67" s="331"/>
      <c r="CF67" s="331"/>
      <c r="CG67" s="331"/>
      <c r="CH67" s="331"/>
      <c r="CI67" s="331"/>
      <c r="CJ67" s="331"/>
      <c r="CK67" s="329">
        <v>0</v>
      </c>
      <c r="CL67" s="329">
        <v>0</v>
      </c>
      <c r="CM67" s="329">
        <v>0</v>
      </c>
      <c r="CN67" s="329">
        <v>0</v>
      </c>
      <c r="CO67" s="329">
        <v>0</v>
      </c>
      <c r="CP67" s="329">
        <v>0</v>
      </c>
      <c r="CQ67" s="329">
        <v>0</v>
      </c>
      <c r="CR67" s="329">
        <v>0</v>
      </c>
      <c r="CS67" s="329">
        <v>0</v>
      </c>
      <c r="CT67" s="329">
        <v>0</v>
      </c>
      <c r="CU67" s="329">
        <v>0</v>
      </c>
      <c r="CV67" s="329">
        <v>0</v>
      </c>
      <c r="CW67" s="329">
        <v>0</v>
      </c>
      <c r="CX67" s="329">
        <v>0</v>
      </c>
      <c r="CY67" s="329">
        <v>0</v>
      </c>
      <c r="CZ67" s="329">
        <v>0</v>
      </c>
      <c r="DA67" s="329">
        <v>0</v>
      </c>
      <c r="DB67" s="329">
        <v>0</v>
      </c>
      <c r="DC67" s="329">
        <v>0</v>
      </c>
      <c r="DD67" s="329">
        <v>0</v>
      </c>
      <c r="DE67" s="329">
        <v>0</v>
      </c>
      <c r="DF67" s="329">
        <v>0</v>
      </c>
      <c r="DG67" s="329">
        <v>0</v>
      </c>
      <c r="DH67" s="329">
        <v>0</v>
      </c>
      <c r="DI67" s="331"/>
      <c r="DJ67" s="331"/>
      <c r="DK67" s="331"/>
      <c r="DL67" s="331"/>
      <c r="DM67" s="331"/>
      <c r="DN67" s="331"/>
      <c r="DO67" s="331"/>
      <c r="DP67" s="331"/>
      <c r="DQ67" s="331"/>
      <c r="DR67" s="331"/>
      <c r="DS67" s="331"/>
      <c r="DT67" s="331"/>
      <c r="DU67" s="330">
        <v>4.63</v>
      </c>
      <c r="DV67" s="330">
        <v>4.37</v>
      </c>
      <c r="DW67" s="330">
        <v>3.7</v>
      </c>
      <c r="DX67" s="330">
        <v>3.7</v>
      </c>
      <c r="DY67" s="330">
        <v>3.7</v>
      </c>
      <c r="DZ67" s="330">
        <v>3.7</v>
      </c>
      <c r="EA67" s="330">
        <v>3.7</v>
      </c>
      <c r="EB67" s="330">
        <v>3.84</v>
      </c>
      <c r="EC67" s="330">
        <v>3.7</v>
      </c>
      <c r="ED67" s="330">
        <v>3.7</v>
      </c>
      <c r="EE67" s="330">
        <v>3.7</v>
      </c>
      <c r="EF67" s="330">
        <v>3.7</v>
      </c>
      <c r="EG67" s="331"/>
      <c r="EH67" s="331"/>
      <c r="EI67" s="331"/>
      <c r="EJ67" s="331"/>
      <c r="EK67" s="331"/>
      <c r="EL67" s="331"/>
      <c r="EM67" s="331"/>
      <c r="EN67" s="331"/>
      <c r="EO67" s="331"/>
      <c r="EP67" s="331"/>
      <c r="EQ67" s="331"/>
      <c r="ER67" s="331"/>
      <c r="ES67" s="331"/>
      <c r="ET67" s="331"/>
      <c r="EU67" s="331"/>
      <c r="EV67" s="331"/>
      <c r="EW67" s="331"/>
      <c r="EX67" s="331"/>
      <c r="EY67" s="331"/>
      <c r="EZ67" s="331"/>
      <c r="FA67" s="331"/>
      <c r="FB67" s="331"/>
      <c r="FC67" s="331"/>
      <c r="FD67" s="331"/>
      <c r="FE67" s="329">
        <v>0</v>
      </c>
      <c r="FF67" s="329">
        <v>0</v>
      </c>
      <c r="FG67" s="329">
        <v>0</v>
      </c>
      <c r="FH67" s="329">
        <v>0</v>
      </c>
      <c r="FI67" s="329">
        <v>0</v>
      </c>
      <c r="FJ67" s="329">
        <v>0</v>
      </c>
      <c r="FK67" s="329">
        <v>0</v>
      </c>
      <c r="FL67" s="329">
        <v>0</v>
      </c>
      <c r="FM67" s="329">
        <v>0</v>
      </c>
      <c r="FN67" s="329">
        <v>0</v>
      </c>
      <c r="FO67" s="329">
        <v>0</v>
      </c>
      <c r="FP67" s="329">
        <v>0</v>
      </c>
      <c r="FQ67" s="329">
        <v>0</v>
      </c>
      <c r="FR67" s="329">
        <v>0</v>
      </c>
      <c r="FS67" s="329">
        <v>0</v>
      </c>
      <c r="FT67" s="329">
        <v>0</v>
      </c>
      <c r="FU67" s="329">
        <v>0</v>
      </c>
      <c r="FV67" s="329">
        <v>0</v>
      </c>
      <c r="FW67" s="329">
        <v>0</v>
      </c>
      <c r="FX67" s="329">
        <v>0</v>
      </c>
      <c r="FY67" s="329">
        <v>0</v>
      </c>
      <c r="FZ67" s="329">
        <v>0</v>
      </c>
      <c r="GA67" s="329">
        <v>0</v>
      </c>
      <c r="GB67" s="329">
        <v>0</v>
      </c>
      <c r="GC67" s="330">
        <v>564.28</v>
      </c>
      <c r="GD67" s="330">
        <v>532.39</v>
      </c>
      <c r="GE67" s="330">
        <v>235.44</v>
      </c>
      <c r="GF67" s="330">
        <v>264.01</v>
      </c>
      <c r="GG67" s="330">
        <v>272.58</v>
      </c>
      <c r="GH67" s="330">
        <v>206.64</v>
      </c>
      <c r="GI67" s="330">
        <v>282.42</v>
      </c>
      <c r="GJ67" s="330">
        <v>349.74</v>
      </c>
      <c r="GK67" s="330">
        <v>204.59</v>
      </c>
      <c r="GL67" s="330">
        <v>210.73</v>
      </c>
      <c r="GM67" s="330">
        <v>218.93</v>
      </c>
      <c r="GN67" s="330">
        <v>272.77999999999997</v>
      </c>
      <c r="GO67" s="331"/>
      <c r="GP67" s="331"/>
      <c r="GQ67" s="331"/>
      <c r="GR67" s="331"/>
      <c r="GS67" s="331"/>
      <c r="GT67" s="331"/>
      <c r="GU67" s="331"/>
      <c r="GV67" s="331"/>
      <c r="GW67" s="331"/>
      <c r="GX67" s="331"/>
      <c r="GY67" s="331"/>
      <c r="GZ67" s="331"/>
      <c r="HA67" s="330">
        <v>2.91</v>
      </c>
      <c r="HB67" s="330">
        <v>4.74</v>
      </c>
      <c r="HC67" s="330">
        <v>4.13</v>
      </c>
      <c r="HD67" s="330">
        <v>3.52</v>
      </c>
      <c r="HE67" s="330">
        <v>4.13</v>
      </c>
      <c r="HF67" s="330">
        <v>6.69</v>
      </c>
      <c r="HG67" s="330">
        <v>9.3699999999999992</v>
      </c>
      <c r="HH67" s="330">
        <v>15.79</v>
      </c>
      <c r="HI67" s="330">
        <v>7.23</v>
      </c>
      <c r="HJ67" s="330">
        <v>7.49</v>
      </c>
      <c r="HK67" s="330">
        <v>7.49</v>
      </c>
      <c r="HL67" s="330">
        <v>8.3000000000000007</v>
      </c>
      <c r="HM67" s="331"/>
      <c r="HN67" s="331"/>
      <c r="HO67" s="331"/>
      <c r="HP67" s="331"/>
      <c r="HQ67" s="331"/>
      <c r="HR67" s="331"/>
      <c r="HS67" s="331"/>
      <c r="HT67" s="331"/>
      <c r="HU67" s="331"/>
      <c r="HV67" s="331"/>
      <c r="HW67" s="331"/>
      <c r="HX67" s="331"/>
      <c r="HY67" s="329">
        <v>0</v>
      </c>
      <c r="HZ67" s="329">
        <v>0</v>
      </c>
      <c r="IA67" s="329">
        <v>0</v>
      </c>
      <c r="IB67" s="329">
        <v>0</v>
      </c>
      <c r="IC67" s="329">
        <v>0</v>
      </c>
      <c r="ID67" s="329">
        <v>0</v>
      </c>
      <c r="IE67" s="329">
        <v>0</v>
      </c>
      <c r="IF67" s="329">
        <v>0</v>
      </c>
      <c r="IG67" s="329">
        <v>0</v>
      </c>
      <c r="IH67" s="329">
        <v>0</v>
      </c>
      <c r="II67" s="329">
        <v>0</v>
      </c>
      <c r="IJ67" s="329">
        <v>0</v>
      </c>
      <c r="IK67" s="331"/>
      <c r="IL67" s="331"/>
      <c r="IM67" s="331"/>
      <c r="IN67" s="331"/>
      <c r="IO67" s="331"/>
      <c r="IP67" s="331"/>
      <c r="IQ67" s="331"/>
      <c r="IR67" s="331"/>
      <c r="IS67" s="331"/>
      <c r="IT67" s="331"/>
      <c r="IU67" s="331"/>
      <c r="IV67" s="331"/>
      <c r="IW67" s="331"/>
      <c r="IX67" s="331"/>
      <c r="IY67" s="331"/>
      <c r="IZ67" s="331"/>
      <c r="JA67" s="331"/>
      <c r="JB67" s="331"/>
      <c r="JC67" s="331"/>
      <c r="JD67" s="331"/>
      <c r="JE67" s="331"/>
      <c r="JF67" s="331"/>
      <c r="JG67" s="331"/>
      <c r="JH67" s="331"/>
      <c r="JI67" s="330">
        <v>10.11</v>
      </c>
      <c r="JJ67" s="331"/>
      <c r="JK67" s="331"/>
      <c r="JL67" s="331"/>
      <c r="JM67" s="331"/>
      <c r="JN67" s="331"/>
      <c r="JO67" s="331"/>
      <c r="JP67" s="331"/>
      <c r="JQ67" s="331"/>
      <c r="JR67" s="331"/>
      <c r="JS67" s="331"/>
      <c r="JT67" s="331"/>
      <c r="JU67" s="331"/>
      <c r="JV67" s="329">
        <v>0</v>
      </c>
      <c r="JW67" s="329">
        <v>0</v>
      </c>
      <c r="JX67" s="329">
        <v>0</v>
      </c>
      <c r="JY67" s="329">
        <v>0</v>
      </c>
      <c r="JZ67" s="329">
        <v>0</v>
      </c>
      <c r="KA67" s="329">
        <v>0</v>
      </c>
      <c r="KB67" s="329">
        <v>0</v>
      </c>
      <c r="KC67" s="329">
        <v>0</v>
      </c>
      <c r="KD67" s="329">
        <v>0</v>
      </c>
      <c r="KE67" s="329">
        <v>0</v>
      </c>
      <c r="KF67" s="329">
        <v>0</v>
      </c>
      <c r="KG67" s="329">
        <v>0</v>
      </c>
      <c r="KH67" s="329">
        <v>0</v>
      </c>
      <c r="KI67" s="329">
        <v>0</v>
      </c>
      <c r="KJ67" s="329">
        <v>0</v>
      </c>
      <c r="KK67" s="329">
        <v>0</v>
      </c>
      <c r="KL67" s="329">
        <v>0</v>
      </c>
      <c r="KM67" s="329">
        <v>0</v>
      </c>
      <c r="KN67" s="329">
        <v>0</v>
      </c>
      <c r="KO67" s="329">
        <v>0</v>
      </c>
      <c r="KP67" s="329">
        <v>0</v>
      </c>
      <c r="KQ67" s="329">
        <v>0</v>
      </c>
      <c r="KR67" s="329">
        <v>0</v>
      </c>
      <c r="KS67" s="329">
        <v>0</v>
      </c>
      <c r="KT67" s="331"/>
      <c r="KU67" s="331"/>
      <c r="KV67" s="331"/>
      <c r="KW67" s="331"/>
      <c r="KX67" s="331"/>
      <c r="KY67" s="331"/>
      <c r="KZ67" s="331"/>
      <c r="LA67" s="331"/>
      <c r="LB67" s="331"/>
      <c r="LC67" s="331"/>
      <c r="LD67" s="331"/>
      <c r="LE67" s="331"/>
      <c r="LF67" s="331"/>
      <c r="LG67" s="331"/>
      <c r="LH67" s="331"/>
      <c r="LI67" s="331"/>
      <c r="LJ67" s="331"/>
      <c r="LK67" s="331"/>
      <c r="LL67" s="331"/>
      <c r="LM67" s="331"/>
      <c r="LN67" s="331"/>
      <c r="LO67" s="331"/>
      <c r="LP67" s="331"/>
      <c r="LQ67" s="331"/>
      <c r="LR67" s="331"/>
      <c r="LS67" s="331"/>
      <c r="LT67" s="331"/>
      <c r="LU67" s="331"/>
      <c r="LV67" s="331"/>
      <c r="LW67" s="331"/>
      <c r="LX67" s="331"/>
      <c r="LY67" s="331"/>
      <c r="LZ67" s="331"/>
      <c r="MA67" s="331"/>
      <c r="MB67" s="331"/>
      <c r="MC67" s="331"/>
      <c r="MD67" s="331"/>
      <c r="ME67" s="331"/>
      <c r="MF67" s="331"/>
      <c r="MG67" s="331"/>
      <c r="MH67" s="331"/>
      <c r="MI67" s="331"/>
      <c r="MJ67" s="331"/>
      <c r="MK67" s="331"/>
      <c r="ML67" s="331"/>
      <c r="MM67" s="331"/>
      <c r="MN67" s="331"/>
      <c r="MO67" s="331"/>
      <c r="MP67" s="331"/>
      <c r="MQ67" s="331"/>
      <c r="MR67" s="331"/>
      <c r="MS67" s="331"/>
      <c r="MT67" s="331"/>
      <c r="MU67" s="331"/>
      <c r="MV67" s="331"/>
      <c r="MW67" s="331"/>
      <c r="MX67" s="331"/>
      <c r="MY67" s="331"/>
      <c r="MZ67" s="331"/>
      <c r="NA67" s="331"/>
      <c r="NB67" s="331"/>
      <c r="NC67" s="331"/>
      <c r="ND67" s="331"/>
      <c r="NE67" s="331"/>
      <c r="NF67" s="331"/>
      <c r="NG67" s="331"/>
      <c r="NH67" s="331"/>
      <c r="NI67" s="331"/>
      <c r="NJ67" s="331"/>
      <c r="NK67" s="331"/>
      <c r="NL67" s="331"/>
      <c r="NM67" s="331"/>
      <c r="NN67" s="331"/>
      <c r="NO67" s="331"/>
      <c r="NP67" s="331"/>
      <c r="NQ67" s="331"/>
      <c r="NR67" s="331"/>
      <c r="NS67" s="331"/>
      <c r="NT67" s="331"/>
      <c r="NU67" s="331"/>
      <c r="NV67" s="331"/>
      <c r="NW67" s="331"/>
      <c r="NX67" s="331"/>
      <c r="NY67" s="331"/>
      <c r="NZ67" s="331"/>
      <c r="OA67" s="331"/>
      <c r="OB67" s="331"/>
      <c r="OC67" s="331"/>
      <c r="OD67" s="331"/>
      <c r="OE67" s="331"/>
      <c r="OF67" s="331"/>
      <c r="OG67" s="331"/>
      <c r="OH67" s="331"/>
      <c r="OI67" s="331"/>
      <c r="OJ67" s="331"/>
      <c r="OK67" s="331"/>
      <c r="OL67" s="332">
        <f t="shared" ref="OL67:OL72" si="16">SUM(E67:OK67)</f>
        <v>8660.6799999999967</v>
      </c>
    </row>
    <row r="68" spans="1:402" ht="13.5" thickBot="1">
      <c r="A68" s="328" t="s">
        <v>470</v>
      </c>
      <c r="B68" s="328" t="s">
        <v>405</v>
      </c>
      <c r="C68" s="328" t="s">
        <v>476</v>
      </c>
      <c r="D68" s="328" t="s">
        <v>478</v>
      </c>
      <c r="E68" s="329">
        <v>0</v>
      </c>
      <c r="F68" s="329">
        <v>0</v>
      </c>
      <c r="G68" s="329">
        <v>0</v>
      </c>
      <c r="H68" s="329">
        <v>0</v>
      </c>
      <c r="I68" s="329">
        <v>0</v>
      </c>
      <c r="J68" s="329">
        <v>0</v>
      </c>
      <c r="K68" s="329">
        <v>0</v>
      </c>
      <c r="L68" s="329">
        <v>0</v>
      </c>
      <c r="M68" s="329">
        <v>0</v>
      </c>
      <c r="N68" s="329">
        <v>0</v>
      </c>
      <c r="O68" s="329">
        <v>0</v>
      </c>
      <c r="P68" s="329">
        <v>0</v>
      </c>
      <c r="Q68" s="329">
        <v>0</v>
      </c>
      <c r="R68" s="329">
        <v>0</v>
      </c>
      <c r="S68" s="329">
        <v>0</v>
      </c>
      <c r="T68" s="329">
        <v>0</v>
      </c>
      <c r="U68" s="329">
        <v>0</v>
      </c>
      <c r="V68" s="329">
        <v>0</v>
      </c>
      <c r="W68" s="329">
        <v>0</v>
      </c>
      <c r="X68" s="329">
        <v>0</v>
      </c>
      <c r="Y68" s="329">
        <v>0</v>
      </c>
      <c r="Z68" s="329">
        <v>0</v>
      </c>
      <c r="AA68" s="329">
        <v>0</v>
      </c>
      <c r="AB68" s="329">
        <v>0</v>
      </c>
      <c r="AC68" s="329">
        <v>0</v>
      </c>
      <c r="AD68" s="329">
        <v>0</v>
      </c>
      <c r="AE68" s="329">
        <v>0</v>
      </c>
      <c r="AF68" s="329">
        <v>0</v>
      </c>
      <c r="AG68" s="329">
        <v>0</v>
      </c>
      <c r="AH68" s="329">
        <v>0</v>
      </c>
      <c r="AI68" s="329">
        <v>0</v>
      </c>
      <c r="AJ68" s="329">
        <v>0</v>
      </c>
      <c r="AK68" s="329">
        <v>0</v>
      </c>
      <c r="AL68" s="329">
        <v>0</v>
      </c>
      <c r="AM68" s="329">
        <v>0</v>
      </c>
      <c r="AN68" s="329">
        <v>0</v>
      </c>
      <c r="AO68" s="330">
        <v>223.85</v>
      </c>
      <c r="AP68" s="330">
        <v>223.85</v>
      </c>
      <c r="AQ68" s="330">
        <v>231.31</v>
      </c>
      <c r="AR68" s="330">
        <v>223.85</v>
      </c>
      <c r="AS68" s="330">
        <v>223.85</v>
      </c>
      <c r="AT68" s="330">
        <v>231.31</v>
      </c>
      <c r="AU68" s="330">
        <v>223.85</v>
      </c>
      <c r="AV68" s="330">
        <v>231.31</v>
      </c>
      <c r="AW68" s="330">
        <v>231.31</v>
      </c>
      <c r="AX68" s="330">
        <v>223.85</v>
      </c>
      <c r="AY68" s="330">
        <v>223.85</v>
      </c>
      <c r="AZ68" s="330">
        <v>223.85</v>
      </c>
      <c r="BA68" s="329">
        <v>0</v>
      </c>
      <c r="BB68" s="329">
        <v>0</v>
      </c>
      <c r="BC68" s="329">
        <v>0</v>
      </c>
      <c r="BD68" s="329">
        <v>0</v>
      </c>
      <c r="BE68" s="329">
        <v>0</v>
      </c>
      <c r="BF68" s="329">
        <v>0</v>
      </c>
      <c r="BG68" s="329">
        <v>0</v>
      </c>
      <c r="BH68" s="329">
        <v>0</v>
      </c>
      <c r="BI68" s="329">
        <v>0</v>
      </c>
      <c r="BJ68" s="329">
        <v>0</v>
      </c>
      <c r="BK68" s="329">
        <v>0</v>
      </c>
      <c r="BL68" s="329">
        <v>0</v>
      </c>
      <c r="BM68" s="331"/>
      <c r="BN68" s="331"/>
      <c r="BO68" s="331"/>
      <c r="BP68" s="331"/>
      <c r="BQ68" s="331"/>
      <c r="BR68" s="331"/>
      <c r="BS68" s="331"/>
      <c r="BT68" s="331"/>
      <c r="BU68" s="331"/>
      <c r="BV68" s="331"/>
      <c r="BW68" s="331"/>
      <c r="BX68" s="331"/>
      <c r="BY68" s="331"/>
      <c r="BZ68" s="331"/>
      <c r="CA68" s="331"/>
      <c r="CB68" s="331"/>
      <c r="CC68" s="331"/>
      <c r="CD68" s="331"/>
      <c r="CE68" s="331"/>
      <c r="CF68" s="331"/>
      <c r="CG68" s="331"/>
      <c r="CH68" s="331"/>
      <c r="CI68" s="331"/>
      <c r="CJ68" s="331"/>
      <c r="CK68" s="329">
        <v>0</v>
      </c>
      <c r="CL68" s="329">
        <v>0</v>
      </c>
      <c r="CM68" s="329">
        <v>0</v>
      </c>
      <c r="CN68" s="329">
        <v>0</v>
      </c>
      <c r="CO68" s="329">
        <v>0</v>
      </c>
      <c r="CP68" s="329">
        <v>0</v>
      </c>
      <c r="CQ68" s="329">
        <v>0</v>
      </c>
      <c r="CR68" s="329">
        <v>0</v>
      </c>
      <c r="CS68" s="329">
        <v>0</v>
      </c>
      <c r="CT68" s="329">
        <v>0</v>
      </c>
      <c r="CU68" s="329">
        <v>0</v>
      </c>
      <c r="CV68" s="329">
        <v>0</v>
      </c>
      <c r="CW68" s="329">
        <v>0</v>
      </c>
      <c r="CX68" s="329">
        <v>0</v>
      </c>
      <c r="CY68" s="329">
        <v>0</v>
      </c>
      <c r="CZ68" s="329">
        <v>0</v>
      </c>
      <c r="DA68" s="329">
        <v>0</v>
      </c>
      <c r="DB68" s="329">
        <v>0</v>
      </c>
      <c r="DC68" s="329">
        <v>0</v>
      </c>
      <c r="DD68" s="329">
        <v>0</v>
      </c>
      <c r="DE68" s="329">
        <v>0</v>
      </c>
      <c r="DF68" s="329">
        <v>0</v>
      </c>
      <c r="DG68" s="329">
        <v>0</v>
      </c>
      <c r="DH68" s="329">
        <v>0</v>
      </c>
      <c r="DI68" s="331"/>
      <c r="DJ68" s="331"/>
      <c r="DK68" s="331"/>
      <c r="DL68" s="331"/>
      <c r="DM68" s="331"/>
      <c r="DN68" s="331"/>
      <c r="DO68" s="331"/>
      <c r="DP68" s="331"/>
      <c r="DQ68" s="331"/>
      <c r="DR68" s="331"/>
      <c r="DS68" s="331"/>
      <c r="DT68" s="331"/>
      <c r="DU68" s="330">
        <v>1.26</v>
      </c>
      <c r="DV68" s="330">
        <v>1.26</v>
      </c>
      <c r="DW68" s="330">
        <v>1.36</v>
      </c>
      <c r="DX68" s="330">
        <v>1.26</v>
      </c>
      <c r="DY68" s="330">
        <v>1.26</v>
      </c>
      <c r="DZ68" s="330">
        <v>1.36</v>
      </c>
      <c r="EA68" s="330">
        <v>1.26</v>
      </c>
      <c r="EB68" s="330">
        <v>1.36</v>
      </c>
      <c r="EC68" s="330">
        <v>1.36</v>
      </c>
      <c r="ED68" s="330">
        <v>1.26</v>
      </c>
      <c r="EE68" s="330">
        <v>1.26</v>
      </c>
      <c r="EF68" s="330">
        <v>1.26</v>
      </c>
      <c r="EG68" s="331"/>
      <c r="EH68" s="331"/>
      <c r="EI68" s="331"/>
      <c r="EJ68" s="331"/>
      <c r="EK68" s="331"/>
      <c r="EL68" s="331"/>
      <c r="EM68" s="331"/>
      <c r="EN68" s="331"/>
      <c r="EO68" s="331"/>
      <c r="EP68" s="331"/>
      <c r="EQ68" s="331"/>
      <c r="ER68" s="331"/>
      <c r="ES68" s="331"/>
      <c r="ET68" s="331"/>
      <c r="EU68" s="331"/>
      <c r="EV68" s="331"/>
      <c r="EW68" s="331"/>
      <c r="EX68" s="331"/>
      <c r="EY68" s="331"/>
      <c r="EZ68" s="331"/>
      <c r="FA68" s="331"/>
      <c r="FB68" s="331"/>
      <c r="FC68" s="331"/>
      <c r="FD68" s="331"/>
      <c r="FE68" s="329">
        <v>0</v>
      </c>
      <c r="FF68" s="329">
        <v>0</v>
      </c>
      <c r="FG68" s="329">
        <v>0</v>
      </c>
      <c r="FH68" s="329">
        <v>0</v>
      </c>
      <c r="FI68" s="329">
        <v>0</v>
      </c>
      <c r="FJ68" s="329">
        <v>0</v>
      </c>
      <c r="FK68" s="329">
        <v>0</v>
      </c>
      <c r="FL68" s="329">
        <v>0</v>
      </c>
      <c r="FM68" s="329">
        <v>0</v>
      </c>
      <c r="FN68" s="329">
        <v>0</v>
      </c>
      <c r="FO68" s="329">
        <v>0</v>
      </c>
      <c r="FP68" s="329">
        <v>0</v>
      </c>
      <c r="FQ68" s="329">
        <v>0</v>
      </c>
      <c r="FR68" s="329">
        <v>0</v>
      </c>
      <c r="FS68" s="329">
        <v>0</v>
      </c>
      <c r="FT68" s="329">
        <v>0</v>
      </c>
      <c r="FU68" s="329">
        <v>0</v>
      </c>
      <c r="FV68" s="329">
        <v>0</v>
      </c>
      <c r="FW68" s="329">
        <v>0</v>
      </c>
      <c r="FX68" s="329">
        <v>0</v>
      </c>
      <c r="FY68" s="329">
        <v>0</v>
      </c>
      <c r="FZ68" s="329">
        <v>0</v>
      </c>
      <c r="GA68" s="329">
        <v>0</v>
      </c>
      <c r="GB68" s="329">
        <v>0</v>
      </c>
      <c r="GC68" s="330">
        <v>153.02000000000001</v>
      </c>
      <c r="GD68" s="330">
        <v>153.02000000000001</v>
      </c>
      <c r="GE68" s="330">
        <v>165.77</v>
      </c>
      <c r="GF68" s="330">
        <v>153.02000000000001</v>
      </c>
      <c r="GG68" s="330">
        <v>153.02000000000001</v>
      </c>
      <c r="GH68" s="330">
        <v>123.71</v>
      </c>
      <c r="GI68" s="330">
        <v>114.2</v>
      </c>
      <c r="GJ68" s="330">
        <v>123.71</v>
      </c>
      <c r="GK68" s="330">
        <v>123.71</v>
      </c>
      <c r="GL68" s="330">
        <v>114.2</v>
      </c>
      <c r="GM68" s="330">
        <v>114.2</v>
      </c>
      <c r="GN68" s="330">
        <v>136.63999999999999</v>
      </c>
      <c r="GO68" s="331"/>
      <c r="GP68" s="331"/>
      <c r="GQ68" s="331"/>
      <c r="GR68" s="331"/>
      <c r="GS68" s="331"/>
      <c r="GT68" s="331"/>
      <c r="GU68" s="331"/>
      <c r="GV68" s="331"/>
      <c r="GW68" s="331"/>
      <c r="GX68" s="331"/>
      <c r="GY68" s="331"/>
      <c r="GZ68" s="331"/>
      <c r="HA68" s="330">
        <v>4.28</v>
      </c>
      <c r="HB68" s="330">
        <v>4.28</v>
      </c>
      <c r="HC68" s="330">
        <v>4.28</v>
      </c>
      <c r="HD68" s="330">
        <v>4.9000000000000004</v>
      </c>
      <c r="HE68" s="330">
        <v>4.28</v>
      </c>
      <c r="HF68" s="330">
        <v>7.49</v>
      </c>
      <c r="HG68" s="330">
        <v>8.56</v>
      </c>
      <c r="HH68" s="330">
        <v>7.49</v>
      </c>
      <c r="HI68" s="330">
        <v>7.49</v>
      </c>
      <c r="HJ68" s="330">
        <v>8.56</v>
      </c>
      <c r="HK68" s="330">
        <v>6.42</v>
      </c>
      <c r="HL68" s="330">
        <v>8.56</v>
      </c>
      <c r="HM68" s="331"/>
      <c r="HN68" s="331"/>
      <c r="HO68" s="331"/>
      <c r="HP68" s="331"/>
      <c r="HQ68" s="331"/>
      <c r="HR68" s="331"/>
      <c r="HS68" s="331"/>
      <c r="HT68" s="331"/>
      <c r="HU68" s="331"/>
      <c r="HV68" s="331"/>
      <c r="HW68" s="331"/>
      <c r="HX68" s="331"/>
      <c r="HY68" s="329">
        <v>0</v>
      </c>
      <c r="HZ68" s="329">
        <v>0</v>
      </c>
      <c r="IA68" s="329">
        <v>0</v>
      </c>
      <c r="IB68" s="329">
        <v>0</v>
      </c>
      <c r="IC68" s="329">
        <v>0</v>
      </c>
      <c r="ID68" s="329">
        <v>0</v>
      </c>
      <c r="IE68" s="329">
        <v>0</v>
      </c>
      <c r="IF68" s="329">
        <v>0</v>
      </c>
      <c r="IG68" s="329">
        <v>0</v>
      </c>
      <c r="IH68" s="329">
        <v>0</v>
      </c>
      <c r="II68" s="329">
        <v>0</v>
      </c>
      <c r="IJ68" s="329">
        <v>0</v>
      </c>
      <c r="IK68" s="331"/>
      <c r="IL68" s="331"/>
      <c r="IM68" s="331"/>
      <c r="IN68" s="331"/>
      <c r="IO68" s="331"/>
      <c r="IP68" s="331"/>
      <c r="IQ68" s="331"/>
      <c r="IR68" s="331"/>
      <c r="IS68" s="331"/>
      <c r="IT68" s="331"/>
      <c r="IU68" s="331"/>
      <c r="IV68" s="331"/>
      <c r="IW68" s="331"/>
      <c r="IX68" s="331"/>
      <c r="IY68" s="331"/>
      <c r="IZ68" s="331"/>
      <c r="JA68" s="331"/>
      <c r="JB68" s="331"/>
      <c r="JC68" s="331"/>
      <c r="JD68" s="331"/>
      <c r="JE68" s="331"/>
      <c r="JF68" s="331"/>
      <c r="JG68" s="331"/>
      <c r="JH68" s="331"/>
      <c r="JI68" s="330">
        <v>3.42</v>
      </c>
      <c r="JJ68" s="331"/>
      <c r="JK68" s="331"/>
      <c r="JL68" s="331"/>
      <c r="JM68" s="331"/>
      <c r="JN68" s="331"/>
      <c r="JO68" s="331"/>
      <c r="JP68" s="331"/>
      <c r="JQ68" s="331"/>
      <c r="JR68" s="331"/>
      <c r="JS68" s="331"/>
      <c r="JT68" s="331"/>
      <c r="JU68" s="331"/>
      <c r="JV68" s="329">
        <v>0</v>
      </c>
      <c r="JW68" s="329">
        <v>0</v>
      </c>
      <c r="JX68" s="329">
        <v>0</v>
      </c>
      <c r="JY68" s="329">
        <v>0</v>
      </c>
      <c r="JZ68" s="329">
        <v>0</v>
      </c>
      <c r="KA68" s="329">
        <v>0</v>
      </c>
      <c r="KB68" s="329">
        <v>0</v>
      </c>
      <c r="KC68" s="329">
        <v>0</v>
      </c>
      <c r="KD68" s="329">
        <v>0</v>
      </c>
      <c r="KE68" s="329">
        <v>0</v>
      </c>
      <c r="KF68" s="329">
        <v>0</v>
      </c>
      <c r="KG68" s="329">
        <v>0</v>
      </c>
      <c r="KH68" s="329">
        <v>0</v>
      </c>
      <c r="KI68" s="329">
        <v>0</v>
      </c>
      <c r="KJ68" s="329">
        <v>0</v>
      </c>
      <c r="KK68" s="329">
        <v>0</v>
      </c>
      <c r="KL68" s="329">
        <v>0</v>
      </c>
      <c r="KM68" s="329">
        <v>0</v>
      </c>
      <c r="KN68" s="329">
        <v>0</v>
      </c>
      <c r="KO68" s="329">
        <v>0</v>
      </c>
      <c r="KP68" s="329">
        <v>0</v>
      </c>
      <c r="KQ68" s="329">
        <v>0</v>
      </c>
      <c r="KR68" s="329">
        <v>0</v>
      </c>
      <c r="KS68" s="329">
        <v>0</v>
      </c>
      <c r="KT68" s="331"/>
      <c r="KU68" s="331"/>
      <c r="KV68" s="331"/>
      <c r="KW68" s="331"/>
      <c r="KX68" s="331"/>
      <c r="KY68" s="331"/>
      <c r="KZ68" s="331"/>
      <c r="LA68" s="331"/>
      <c r="LB68" s="331"/>
      <c r="LC68" s="331"/>
      <c r="LD68" s="331"/>
      <c r="LE68" s="331"/>
      <c r="LF68" s="331"/>
      <c r="LG68" s="331"/>
      <c r="LH68" s="331"/>
      <c r="LI68" s="331"/>
      <c r="LJ68" s="331"/>
      <c r="LK68" s="331"/>
      <c r="LL68" s="331"/>
      <c r="LM68" s="331"/>
      <c r="LN68" s="331"/>
      <c r="LO68" s="331"/>
      <c r="LP68" s="331"/>
      <c r="LQ68" s="331"/>
      <c r="LR68" s="331"/>
      <c r="LS68" s="331"/>
      <c r="LT68" s="331"/>
      <c r="LU68" s="331"/>
      <c r="LV68" s="331"/>
      <c r="LW68" s="331"/>
      <c r="LX68" s="331"/>
      <c r="LY68" s="331"/>
      <c r="LZ68" s="331"/>
      <c r="MA68" s="331"/>
      <c r="MB68" s="331"/>
      <c r="MC68" s="331"/>
      <c r="MD68" s="331"/>
      <c r="ME68" s="331"/>
      <c r="MF68" s="331"/>
      <c r="MG68" s="331"/>
      <c r="MH68" s="331"/>
      <c r="MI68" s="331"/>
      <c r="MJ68" s="331"/>
      <c r="MK68" s="331"/>
      <c r="ML68" s="331"/>
      <c r="MM68" s="331"/>
      <c r="MN68" s="331"/>
      <c r="MO68" s="331"/>
      <c r="MP68" s="331"/>
      <c r="MQ68" s="331"/>
      <c r="MR68" s="331"/>
      <c r="MS68" s="331"/>
      <c r="MT68" s="331"/>
      <c r="MU68" s="331"/>
      <c r="MV68" s="331"/>
      <c r="MW68" s="331"/>
      <c r="MX68" s="331"/>
      <c r="MY68" s="331"/>
      <c r="MZ68" s="331"/>
      <c r="NA68" s="331"/>
      <c r="NB68" s="331"/>
      <c r="NC68" s="331"/>
      <c r="ND68" s="331"/>
      <c r="NE68" s="331"/>
      <c r="NF68" s="331"/>
      <c r="NG68" s="331"/>
      <c r="NH68" s="331"/>
      <c r="NI68" s="331"/>
      <c r="NJ68" s="331"/>
      <c r="NK68" s="331"/>
      <c r="NL68" s="331"/>
      <c r="NM68" s="331"/>
      <c r="NN68" s="331"/>
      <c r="NO68" s="331"/>
      <c r="NP68" s="331"/>
      <c r="NQ68" s="331"/>
      <c r="NR68" s="331"/>
      <c r="NS68" s="331"/>
      <c r="NT68" s="331"/>
      <c r="NU68" s="331"/>
      <c r="NV68" s="331"/>
      <c r="NW68" s="331"/>
      <c r="NX68" s="331"/>
      <c r="NY68" s="331"/>
      <c r="NZ68" s="331"/>
      <c r="OA68" s="331"/>
      <c r="OB68" s="331"/>
      <c r="OC68" s="331"/>
      <c r="OD68" s="331"/>
      <c r="OE68" s="331"/>
      <c r="OF68" s="331"/>
      <c r="OG68" s="331"/>
      <c r="OH68" s="331"/>
      <c r="OI68" s="331"/>
      <c r="OJ68" s="331"/>
      <c r="OK68" s="331"/>
      <c r="OL68" s="332">
        <f t="shared" si="16"/>
        <v>4439.7900000000009</v>
      </c>
    </row>
    <row r="69" spans="1:402" ht="13.5" thickBot="1">
      <c r="A69" s="328" t="s">
        <v>470</v>
      </c>
      <c r="B69" s="328" t="s">
        <v>405</v>
      </c>
      <c r="C69" s="328" t="s">
        <v>476</v>
      </c>
      <c r="D69" s="328" t="s">
        <v>479</v>
      </c>
      <c r="E69" s="329">
        <v>0</v>
      </c>
      <c r="F69" s="329">
        <v>0</v>
      </c>
      <c r="G69" s="329">
        <v>0</v>
      </c>
      <c r="H69" s="329">
        <v>0</v>
      </c>
      <c r="I69" s="329">
        <v>0</v>
      </c>
      <c r="J69" s="329">
        <v>0</v>
      </c>
      <c r="K69" s="329">
        <v>0</v>
      </c>
      <c r="L69" s="329">
        <v>0</v>
      </c>
      <c r="M69" s="329">
        <v>0</v>
      </c>
      <c r="N69" s="329">
        <v>0</v>
      </c>
      <c r="O69" s="329">
        <v>0</v>
      </c>
      <c r="P69" s="329">
        <v>0</v>
      </c>
      <c r="Q69" s="329">
        <v>0</v>
      </c>
      <c r="R69" s="329">
        <v>0</v>
      </c>
      <c r="S69" s="329">
        <v>0</v>
      </c>
      <c r="T69" s="329">
        <v>0</v>
      </c>
      <c r="U69" s="329">
        <v>0</v>
      </c>
      <c r="V69" s="329">
        <v>0</v>
      </c>
      <c r="W69" s="329">
        <v>0</v>
      </c>
      <c r="X69" s="329">
        <v>0</v>
      </c>
      <c r="Y69" s="329">
        <v>0</v>
      </c>
      <c r="Z69" s="329">
        <v>0</v>
      </c>
      <c r="AA69" s="329">
        <v>0</v>
      </c>
      <c r="AB69" s="329">
        <v>0</v>
      </c>
      <c r="AC69" s="329">
        <v>0</v>
      </c>
      <c r="AD69" s="329">
        <v>0</v>
      </c>
      <c r="AE69" s="329">
        <v>0</v>
      </c>
      <c r="AF69" s="329">
        <v>0</v>
      </c>
      <c r="AG69" s="329">
        <v>0</v>
      </c>
      <c r="AH69" s="329">
        <v>0</v>
      </c>
      <c r="AI69" s="329">
        <v>0</v>
      </c>
      <c r="AJ69" s="329">
        <v>0</v>
      </c>
      <c r="AK69" s="329">
        <v>0</v>
      </c>
      <c r="AL69" s="329">
        <v>0</v>
      </c>
      <c r="AM69" s="329">
        <v>0</v>
      </c>
      <c r="AN69" s="329">
        <v>0</v>
      </c>
      <c r="AO69" s="330">
        <v>707.76</v>
      </c>
      <c r="AP69" s="330">
        <v>713.67</v>
      </c>
      <c r="AQ69" s="330">
        <v>735.77</v>
      </c>
      <c r="AR69" s="330">
        <v>783.38</v>
      </c>
      <c r="AS69" s="330">
        <v>737.64</v>
      </c>
      <c r="AT69" s="330">
        <v>729.86</v>
      </c>
      <c r="AU69" s="330">
        <v>723.63</v>
      </c>
      <c r="AV69" s="330">
        <v>763.47</v>
      </c>
      <c r="AW69" s="330">
        <v>749.77</v>
      </c>
      <c r="AX69" s="330">
        <v>743.55</v>
      </c>
      <c r="AY69" s="330">
        <v>733.59</v>
      </c>
      <c r="AZ69" s="330">
        <v>727.68</v>
      </c>
      <c r="BA69" s="329">
        <v>0</v>
      </c>
      <c r="BB69" s="329">
        <v>0</v>
      </c>
      <c r="BC69" s="329">
        <v>0</v>
      </c>
      <c r="BD69" s="329">
        <v>0</v>
      </c>
      <c r="BE69" s="329">
        <v>0</v>
      </c>
      <c r="BF69" s="329">
        <v>0</v>
      </c>
      <c r="BG69" s="329">
        <v>0</v>
      </c>
      <c r="BH69" s="329">
        <v>0</v>
      </c>
      <c r="BI69" s="329">
        <v>0</v>
      </c>
      <c r="BJ69" s="329">
        <v>0</v>
      </c>
      <c r="BK69" s="329">
        <v>0</v>
      </c>
      <c r="BL69" s="329">
        <v>0</v>
      </c>
      <c r="BM69" s="331"/>
      <c r="BN69" s="331"/>
      <c r="BO69" s="331"/>
      <c r="BP69" s="331"/>
      <c r="BQ69" s="331"/>
      <c r="BR69" s="331"/>
      <c r="BS69" s="331"/>
      <c r="BT69" s="331"/>
      <c r="BU69" s="331"/>
      <c r="BV69" s="331"/>
      <c r="BW69" s="331"/>
      <c r="BX69" s="331"/>
      <c r="BY69" s="331"/>
      <c r="BZ69" s="331"/>
      <c r="CA69" s="331"/>
      <c r="CB69" s="331"/>
      <c r="CC69" s="331"/>
      <c r="CD69" s="331"/>
      <c r="CE69" s="331"/>
      <c r="CF69" s="331"/>
      <c r="CG69" s="331"/>
      <c r="CH69" s="331"/>
      <c r="CI69" s="331"/>
      <c r="CJ69" s="331"/>
      <c r="CK69" s="329">
        <v>0</v>
      </c>
      <c r="CL69" s="329">
        <v>0</v>
      </c>
      <c r="CM69" s="329">
        <v>0</v>
      </c>
      <c r="CN69" s="329">
        <v>0</v>
      </c>
      <c r="CO69" s="329">
        <v>0</v>
      </c>
      <c r="CP69" s="329">
        <v>0</v>
      </c>
      <c r="CQ69" s="329">
        <v>0</v>
      </c>
      <c r="CR69" s="329">
        <v>0</v>
      </c>
      <c r="CS69" s="329">
        <v>0</v>
      </c>
      <c r="CT69" s="329">
        <v>0</v>
      </c>
      <c r="CU69" s="329">
        <v>0</v>
      </c>
      <c r="CV69" s="329">
        <v>0</v>
      </c>
      <c r="CW69" s="329">
        <v>0</v>
      </c>
      <c r="CX69" s="329">
        <v>0</v>
      </c>
      <c r="CY69" s="329">
        <v>0</v>
      </c>
      <c r="CZ69" s="329">
        <v>0</v>
      </c>
      <c r="DA69" s="329">
        <v>0</v>
      </c>
      <c r="DB69" s="329">
        <v>0</v>
      </c>
      <c r="DC69" s="329">
        <v>0</v>
      </c>
      <c r="DD69" s="329">
        <v>0</v>
      </c>
      <c r="DE69" s="329">
        <v>0</v>
      </c>
      <c r="DF69" s="329">
        <v>0</v>
      </c>
      <c r="DG69" s="329">
        <v>0</v>
      </c>
      <c r="DH69" s="329">
        <v>0</v>
      </c>
      <c r="DI69" s="331"/>
      <c r="DJ69" s="331"/>
      <c r="DK69" s="331"/>
      <c r="DL69" s="331"/>
      <c r="DM69" s="331"/>
      <c r="DN69" s="331"/>
      <c r="DO69" s="331"/>
      <c r="DP69" s="331"/>
      <c r="DQ69" s="331"/>
      <c r="DR69" s="331"/>
      <c r="DS69" s="331"/>
      <c r="DT69" s="331"/>
      <c r="DU69" s="330">
        <v>8.0299999999999994</v>
      </c>
      <c r="DV69" s="330">
        <v>8.11</v>
      </c>
      <c r="DW69" s="330">
        <v>8.42</v>
      </c>
      <c r="DX69" s="330">
        <v>9.09</v>
      </c>
      <c r="DY69" s="330">
        <v>8.4499999999999993</v>
      </c>
      <c r="DZ69" s="330">
        <v>8.34</v>
      </c>
      <c r="EA69" s="330">
        <v>8.25</v>
      </c>
      <c r="EB69" s="330">
        <v>8.81</v>
      </c>
      <c r="EC69" s="330">
        <v>8.6199999999999992</v>
      </c>
      <c r="ED69" s="330">
        <v>8.5299999999999994</v>
      </c>
      <c r="EE69" s="330">
        <v>8.39</v>
      </c>
      <c r="EF69" s="330">
        <v>8.31</v>
      </c>
      <c r="EG69" s="331"/>
      <c r="EH69" s="331"/>
      <c r="EI69" s="331"/>
      <c r="EJ69" s="331"/>
      <c r="EK69" s="331"/>
      <c r="EL69" s="331"/>
      <c r="EM69" s="331"/>
      <c r="EN69" s="331"/>
      <c r="EO69" s="331"/>
      <c r="EP69" s="331"/>
      <c r="EQ69" s="331"/>
      <c r="ER69" s="331"/>
      <c r="ES69" s="331"/>
      <c r="ET69" s="331"/>
      <c r="EU69" s="331"/>
      <c r="EV69" s="331"/>
      <c r="EW69" s="331"/>
      <c r="EX69" s="331"/>
      <c r="EY69" s="331"/>
      <c r="EZ69" s="331"/>
      <c r="FA69" s="331"/>
      <c r="FB69" s="331"/>
      <c r="FC69" s="331"/>
      <c r="FD69" s="331"/>
      <c r="FE69" s="329">
        <v>0</v>
      </c>
      <c r="FF69" s="329">
        <v>0</v>
      </c>
      <c r="FG69" s="329">
        <v>0</v>
      </c>
      <c r="FH69" s="329">
        <v>0</v>
      </c>
      <c r="FI69" s="329">
        <v>0</v>
      </c>
      <c r="FJ69" s="329">
        <v>0</v>
      </c>
      <c r="FK69" s="329">
        <v>0</v>
      </c>
      <c r="FL69" s="329">
        <v>0</v>
      </c>
      <c r="FM69" s="329">
        <v>0</v>
      </c>
      <c r="FN69" s="329">
        <v>0</v>
      </c>
      <c r="FO69" s="329">
        <v>0</v>
      </c>
      <c r="FP69" s="329">
        <v>0</v>
      </c>
      <c r="FQ69" s="329">
        <v>0</v>
      </c>
      <c r="FR69" s="329">
        <v>0</v>
      </c>
      <c r="FS69" s="329">
        <v>0</v>
      </c>
      <c r="FT69" s="329">
        <v>0</v>
      </c>
      <c r="FU69" s="329">
        <v>0</v>
      </c>
      <c r="FV69" s="329">
        <v>0</v>
      </c>
      <c r="FW69" s="329">
        <v>0</v>
      </c>
      <c r="FX69" s="329">
        <v>0</v>
      </c>
      <c r="FY69" s="329">
        <v>0</v>
      </c>
      <c r="FZ69" s="329">
        <v>0</v>
      </c>
      <c r="GA69" s="329">
        <v>0</v>
      </c>
      <c r="GB69" s="329">
        <v>0</v>
      </c>
      <c r="GC69" s="330">
        <v>979.25</v>
      </c>
      <c r="GD69" s="330">
        <v>989.34</v>
      </c>
      <c r="GE69" s="330">
        <v>1027.07</v>
      </c>
      <c r="GF69" s="330">
        <v>1108.3599999999999</v>
      </c>
      <c r="GG69" s="330">
        <v>1030.25</v>
      </c>
      <c r="GH69" s="330">
        <v>758.94</v>
      </c>
      <c r="GI69" s="330">
        <v>751.01</v>
      </c>
      <c r="GJ69" s="330">
        <v>801.77</v>
      </c>
      <c r="GK69" s="330">
        <v>784.32</v>
      </c>
      <c r="GL69" s="330">
        <v>776.39</v>
      </c>
      <c r="GM69" s="330">
        <v>763.7</v>
      </c>
      <c r="GN69" s="330">
        <v>904.73</v>
      </c>
      <c r="GO69" s="331"/>
      <c r="GP69" s="331"/>
      <c r="GQ69" s="331"/>
      <c r="GR69" s="331"/>
      <c r="GS69" s="331"/>
      <c r="GT69" s="331"/>
      <c r="GU69" s="331"/>
      <c r="GV69" s="331"/>
      <c r="GW69" s="331"/>
      <c r="GX69" s="331"/>
      <c r="GY69" s="331"/>
      <c r="GZ69" s="331"/>
      <c r="HA69" s="330">
        <v>20.81</v>
      </c>
      <c r="HB69" s="330">
        <v>20.81</v>
      </c>
      <c r="HC69" s="330">
        <v>25.3</v>
      </c>
      <c r="HD69" s="330">
        <v>22.24</v>
      </c>
      <c r="HE69" s="330">
        <v>29.99</v>
      </c>
      <c r="HF69" s="330">
        <v>43.89</v>
      </c>
      <c r="HG69" s="330">
        <v>38.18</v>
      </c>
      <c r="HH69" s="330">
        <v>30.33</v>
      </c>
      <c r="HI69" s="330">
        <v>25.69</v>
      </c>
      <c r="HJ69" s="330">
        <v>35.32</v>
      </c>
      <c r="HK69" s="330">
        <v>32.11</v>
      </c>
      <c r="HL69" s="330">
        <v>34.61</v>
      </c>
      <c r="HM69" s="331"/>
      <c r="HN69" s="331"/>
      <c r="HO69" s="331"/>
      <c r="HP69" s="331"/>
      <c r="HQ69" s="331"/>
      <c r="HR69" s="331"/>
      <c r="HS69" s="331"/>
      <c r="HT69" s="331"/>
      <c r="HU69" s="331"/>
      <c r="HV69" s="331"/>
      <c r="HW69" s="331"/>
      <c r="HX69" s="331"/>
      <c r="HY69" s="329">
        <v>0</v>
      </c>
      <c r="HZ69" s="329">
        <v>0</v>
      </c>
      <c r="IA69" s="329">
        <v>0</v>
      </c>
      <c r="IB69" s="329">
        <v>0</v>
      </c>
      <c r="IC69" s="329">
        <v>0</v>
      </c>
      <c r="ID69" s="329">
        <v>0</v>
      </c>
      <c r="IE69" s="329">
        <v>0</v>
      </c>
      <c r="IF69" s="329">
        <v>0</v>
      </c>
      <c r="IG69" s="329">
        <v>0</v>
      </c>
      <c r="IH69" s="329">
        <v>0</v>
      </c>
      <c r="II69" s="329">
        <v>0</v>
      </c>
      <c r="IJ69" s="329">
        <v>0</v>
      </c>
      <c r="IK69" s="331"/>
      <c r="IL69" s="331"/>
      <c r="IM69" s="331"/>
      <c r="IN69" s="331"/>
      <c r="IO69" s="331"/>
      <c r="IP69" s="331"/>
      <c r="IQ69" s="331"/>
      <c r="IR69" s="331"/>
      <c r="IS69" s="331"/>
      <c r="IT69" s="331"/>
      <c r="IU69" s="331"/>
      <c r="IV69" s="331"/>
      <c r="IW69" s="331"/>
      <c r="IX69" s="331"/>
      <c r="IY69" s="331"/>
      <c r="IZ69" s="331"/>
      <c r="JA69" s="331"/>
      <c r="JB69" s="331"/>
      <c r="JC69" s="331"/>
      <c r="JD69" s="331"/>
      <c r="JE69" s="331"/>
      <c r="JF69" s="331"/>
      <c r="JG69" s="331"/>
      <c r="JH69" s="331"/>
      <c r="JI69" s="330">
        <v>22.67</v>
      </c>
      <c r="JJ69" s="331"/>
      <c r="JK69" s="331"/>
      <c r="JL69" s="331"/>
      <c r="JM69" s="331"/>
      <c r="JN69" s="331"/>
      <c r="JO69" s="331"/>
      <c r="JP69" s="331"/>
      <c r="JQ69" s="331"/>
      <c r="JR69" s="331"/>
      <c r="JS69" s="331"/>
      <c r="JT69" s="331"/>
      <c r="JU69" s="331"/>
      <c r="JV69" s="329">
        <v>0</v>
      </c>
      <c r="JW69" s="329">
        <v>0</v>
      </c>
      <c r="JX69" s="329">
        <v>0</v>
      </c>
      <c r="JY69" s="329">
        <v>0</v>
      </c>
      <c r="JZ69" s="329">
        <v>0</v>
      </c>
      <c r="KA69" s="329">
        <v>0</v>
      </c>
      <c r="KB69" s="329">
        <v>0</v>
      </c>
      <c r="KC69" s="329">
        <v>0</v>
      </c>
      <c r="KD69" s="329">
        <v>0</v>
      </c>
      <c r="KE69" s="329">
        <v>0</v>
      </c>
      <c r="KF69" s="329">
        <v>0</v>
      </c>
      <c r="KG69" s="329">
        <v>0</v>
      </c>
      <c r="KH69" s="329">
        <v>0</v>
      </c>
      <c r="KI69" s="329">
        <v>0</v>
      </c>
      <c r="KJ69" s="329">
        <v>0</v>
      </c>
      <c r="KK69" s="329">
        <v>0</v>
      </c>
      <c r="KL69" s="329">
        <v>0</v>
      </c>
      <c r="KM69" s="329">
        <v>0</v>
      </c>
      <c r="KN69" s="329">
        <v>0</v>
      </c>
      <c r="KO69" s="329">
        <v>0</v>
      </c>
      <c r="KP69" s="329">
        <v>0</v>
      </c>
      <c r="KQ69" s="329">
        <v>0</v>
      </c>
      <c r="KR69" s="329">
        <v>0</v>
      </c>
      <c r="KS69" s="329">
        <v>0</v>
      </c>
      <c r="KT69" s="331"/>
      <c r="KU69" s="331"/>
      <c r="KV69" s="331"/>
      <c r="KW69" s="331"/>
      <c r="KX69" s="331"/>
      <c r="KY69" s="331"/>
      <c r="KZ69" s="331"/>
      <c r="LA69" s="331"/>
      <c r="LB69" s="331"/>
      <c r="LC69" s="331"/>
      <c r="LD69" s="331"/>
      <c r="LE69" s="331"/>
      <c r="LF69" s="331"/>
      <c r="LG69" s="331"/>
      <c r="LH69" s="331"/>
      <c r="LI69" s="331"/>
      <c r="LJ69" s="331"/>
      <c r="LK69" s="331"/>
      <c r="LL69" s="331"/>
      <c r="LM69" s="331"/>
      <c r="LN69" s="331"/>
      <c r="LO69" s="331"/>
      <c r="LP69" s="331"/>
      <c r="LQ69" s="331"/>
      <c r="LR69" s="331"/>
      <c r="LS69" s="331"/>
      <c r="LT69" s="331"/>
      <c r="LU69" s="331"/>
      <c r="LV69" s="331"/>
      <c r="LW69" s="331"/>
      <c r="LX69" s="331"/>
      <c r="LY69" s="331"/>
      <c r="LZ69" s="331"/>
      <c r="MA69" s="331"/>
      <c r="MB69" s="331"/>
      <c r="MC69" s="331"/>
      <c r="MD69" s="331"/>
      <c r="ME69" s="331"/>
      <c r="MF69" s="331"/>
      <c r="MG69" s="331"/>
      <c r="MH69" s="331"/>
      <c r="MI69" s="331"/>
      <c r="MJ69" s="331"/>
      <c r="MK69" s="331"/>
      <c r="ML69" s="331"/>
      <c r="MM69" s="331"/>
      <c r="MN69" s="331"/>
      <c r="MO69" s="331"/>
      <c r="MP69" s="331"/>
      <c r="MQ69" s="331"/>
      <c r="MR69" s="331"/>
      <c r="MS69" s="331"/>
      <c r="MT69" s="331"/>
      <c r="MU69" s="331"/>
      <c r="MV69" s="331"/>
      <c r="MW69" s="331"/>
      <c r="MX69" s="331"/>
      <c r="MY69" s="331"/>
      <c r="MZ69" s="331"/>
      <c r="NA69" s="331"/>
      <c r="NB69" s="331"/>
      <c r="NC69" s="331"/>
      <c r="ND69" s="331"/>
      <c r="NE69" s="331"/>
      <c r="NF69" s="331"/>
      <c r="NG69" s="331"/>
      <c r="NH69" s="331"/>
      <c r="NI69" s="331"/>
      <c r="NJ69" s="331"/>
      <c r="NK69" s="331"/>
      <c r="NL69" s="331"/>
      <c r="NM69" s="331"/>
      <c r="NN69" s="331"/>
      <c r="NO69" s="331"/>
      <c r="NP69" s="331"/>
      <c r="NQ69" s="331"/>
      <c r="NR69" s="331"/>
      <c r="NS69" s="331"/>
      <c r="NT69" s="331"/>
      <c r="NU69" s="331"/>
      <c r="NV69" s="331"/>
      <c r="NW69" s="331"/>
      <c r="NX69" s="331"/>
      <c r="NY69" s="331"/>
      <c r="NZ69" s="331"/>
      <c r="OA69" s="331"/>
      <c r="OB69" s="331"/>
      <c r="OC69" s="331"/>
      <c r="OD69" s="331"/>
      <c r="OE69" s="331"/>
      <c r="OF69" s="331"/>
      <c r="OG69" s="331"/>
      <c r="OH69" s="331"/>
      <c r="OI69" s="331"/>
      <c r="OJ69" s="331"/>
      <c r="OK69" s="331"/>
      <c r="OL69" s="332">
        <f t="shared" si="16"/>
        <v>20008.200000000008</v>
      </c>
    </row>
    <row r="70" spans="1:402" ht="13.5" thickBot="1">
      <c r="A70" s="328" t="s">
        <v>470</v>
      </c>
      <c r="B70" s="328" t="s">
        <v>405</v>
      </c>
      <c r="C70" s="328" t="s">
        <v>476</v>
      </c>
      <c r="D70" s="328" t="s">
        <v>480</v>
      </c>
      <c r="E70" s="329">
        <v>0</v>
      </c>
      <c r="F70" s="329">
        <v>0</v>
      </c>
      <c r="G70" s="329">
        <v>0</v>
      </c>
      <c r="H70" s="329">
        <v>0</v>
      </c>
      <c r="I70" s="329">
        <v>0</v>
      </c>
      <c r="J70" s="329">
        <v>0</v>
      </c>
      <c r="K70" s="329">
        <v>0</v>
      </c>
      <c r="L70" s="329">
        <v>0</v>
      </c>
      <c r="M70" s="329">
        <v>0</v>
      </c>
      <c r="N70" s="329">
        <v>0</v>
      </c>
      <c r="O70" s="329">
        <v>0</v>
      </c>
      <c r="P70" s="329">
        <v>0</v>
      </c>
      <c r="Q70" s="329">
        <v>0</v>
      </c>
      <c r="R70" s="329">
        <v>0</v>
      </c>
      <c r="S70" s="329">
        <v>0</v>
      </c>
      <c r="T70" s="329">
        <v>0</v>
      </c>
      <c r="U70" s="329">
        <v>0</v>
      </c>
      <c r="V70" s="329">
        <v>0</v>
      </c>
      <c r="W70" s="329">
        <v>0</v>
      </c>
      <c r="X70" s="329">
        <v>0</v>
      </c>
      <c r="Y70" s="329">
        <v>0</v>
      </c>
      <c r="Z70" s="329">
        <v>0</v>
      </c>
      <c r="AA70" s="329">
        <v>0</v>
      </c>
      <c r="AB70" s="329">
        <v>0</v>
      </c>
      <c r="AC70" s="329">
        <v>0</v>
      </c>
      <c r="AD70" s="329">
        <v>0</v>
      </c>
      <c r="AE70" s="329">
        <v>0</v>
      </c>
      <c r="AF70" s="329">
        <v>0</v>
      </c>
      <c r="AG70" s="329">
        <v>0</v>
      </c>
      <c r="AH70" s="329">
        <v>0</v>
      </c>
      <c r="AI70" s="329">
        <v>0</v>
      </c>
      <c r="AJ70" s="329">
        <v>0</v>
      </c>
      <c r="AK70" s="329">
        <v>0</v>
      </c>
      <c r="AL70" s="329">
        <v>0</v>
      </c>
      <c r="AM70" s="329">
        <v>0</v>
      </c>
      <c r="AN70" s="329">
        <v>0</v>
      </c>
      <c r="AO70" s="330">
        <v>1051.02</v>
      </c>
      <c r="AP70" s="330">
        <v>946.45</v>
      </c>
      <c r="AQ70" s="330">
        <v>946.45</v>
      </c>
      <c r="AR70" s="330">
        <v>980.06</v>
      </c>
      <c r="AS70" s="330">
        <v>968.86</v>
      </c>
      <c r="AT70" s="330">
        <v>924.05</v>
      </c>
      <c r="AU70" s="330">
        <v>892.3</v>
      </c>
      <c r="AV70" s="330">
        <v>1103.3</v>
      </c>
      <c r="AW70" s="330">
        <v>1037.94</v>
      </c>
      <c r="AX70" s="330">
        <v>1051.02</v>
      </c>
      <c r="AY70" s="330">
        <v>1041.68</v>
      </c>
      <c r="AZ70" s="330">
        <v>1071.55</v>
      </c>
      <c r="BA70" s="329">
        <v>0</v>
      </c>
      <c r="BB70" s="329">
        <v>0</v>
      </c>
      <c r="BC70" s="329">
        <v>0</v>
      </c>
      <c r="BD70" s="329">
        <v>0</v>
      </c>
      <c r="BE70" s="329">
        <v>0</v>
      </c>
      <c r="BF70" s="329">
        <v>0</v>
      </c>
      <c r="BG70" s="329">
        <v>0</v>
      </c>
      <c r="BH70" s="329">
        <v>0</v>
      </c>
      <c r="BI70" s="329">
        <v>0</v>
      </c>
      <c r="BJ70" s="329">
        <v>0</v>
      </c>
      <c r="BK70" s="329">
        <v>0</v>
      </c>
      <c r="BL70" s="329">
        <v>0</v>
      </c>
      <c r="BM70" s="331"/>
      <c r="BN70" s="331"/>
      <c r="BO70" s="331"/>
      <c r="BP70" s="331"/>
      <c r="BQ70" s="331"/>
      <c r="BR70" s="331"/>
      <c r="BS70" s="331"/>
      <c r="BT70" s="331"/>
      <c r="BU70" s="331"/>
      <c r="BV70" s="331"/>
      <c r="BW70" s="331"/>
      <c r="BX70" s="331"/>
      <c r="BY70" s="331"/>
      <c r="BZ70" s="331"/>
      <c r="CA70" s="331"/>
      <c r="CB70" s="331"/>
      <c r="CC70" s="331"/>
      <c r="CD70" s="331"/>
      <c r="CE70" s="331"/>
      <c r="CF70" s="331"/>
      <c r="CG70" s="331"/>
      <c r="CH70" s="331"/>
      <c r="CI70" s="331"/>
      <c r="CJ70" s="331"/>
      <c r="CK70" s="329">
        <v>0</v>
      </c>
      <c r="CL70" s="329">
        <v>0</v>
      </c>
      <c r="CM70" s="329">
        <v>0</v>
      </c>
      <c r="CN70" s="329">
        <v>0</v>
      </c>
      <c r="CO70" s="329">
        <v>0</v>
      </c>
      <c r="CP70" s="329">
        <v>0</v>
      </c>
      <c r="CQ70" s="329">
        <v>0</v>
      </c>
      <c r="CR70" s="329">
        <v>0</v>
      </c>
      <c r="CS70" s="329">
        <v>0</v>
      </c>
      <c r="CT70" s="329">
        <v>0</v>
      </c>
      <c r="CU70" s="329">
        <v>0</v>
      </c>
      <c r="CV70" s="329">
        <v>0</v>
      </c>
      <c r="CW70" s="329">
        <v>0</v>
      </c>
      <c r="CX70" s="329">
        <v>0</v>
      </c>
      <c r="CY70" s="329">
        <v>0</v>
      </c>
      <c r="CZ70" s="329">
        <v>0</v>
      </c>
      <c r="DA70" s="329">
        <v>0</v>
      </c>
      <c r="DB70" s="329">
        <v>0</v>
      </c>
      <c r="DC70" s="329">
        <v>0</v>
      </c>
      <c r="DD70" s="329">
        <v>0</v>
      </c>
      <c r="DE70" s="329">
        <v>0</v>
      </c>
      <c r="DF70" s="329">
        <v>0</v>
      </c>
      <c r="DG70" s="329">
        <v>0</v>
      </c>
      <c r="DH70" s="329">
        <v>0</v>
      </c>
      <c r="DI70" s="331"/>
      <c r="DJ70" s="331"/>
      <c r="DK70" s="331"/>
      <c r="DL70" s="331"/>
      <c r="DM70" s="331"/>
      <c r="DN70" s="331"/>
      <c r="DO70" s="331"/>
      <c r="DP70" s="331"/>
      <c r="DQ70" s="331"/>
      <c r="DR70" s="331"/>
      <c r="DS70" s="331"/>
      <c r="DT70" s="331"/>
      <c r="DU70" s="330">
        <v>12.84</v>
      </c>
      <c r="DV70" s="330">
        <v>11.37</v>
      </c>
      <c r="DW70" s="330">
        <v>11.37</v>
      </c>
      <c r="DX70" s="330">
        <v>11.85</v>
      </c>
      <c r="DY70" s="330">
        <v>11.69</v>
      </c>
      <c r="DZ70" s="330">
        <v>11.06</v>
      </c>
      <c r="EA70" s="330">
        <v>10.62</v>
      </c>
      <c r="EB70" s="330">
        <v>13.57</v>
      </c>
      <c r="EC70" s="330">
        <v>12.66</v>
      </c>
      <c r="ED70" s="330">
        <v>12.84</v>
      </c>
      <c r="EE70" s="330">
        <v>12.71</v>
      </c>
      <c r="EF70" s="330">
        <v>13.13</v>
      </c>
      <c r="EG70" s="331"/>
      <c r="EH70" s="331"/>
      <c r="EI70" s="331"/>
      <c r="EJ70" s="331"/>
      <c r="EK70" s="331"/>
      <c r="EL70" s="331"/>
      <c r="EM70" s="331"/>
      <c r="EN70" s="331"/>
      <c r="EO70" s="331"/>
      <c r="EP70" s="331"/>
      <c r="EQ70" s="331"/>
      <c r="ER70" s="331"/>
      <c r="ES70" s="331"/>
      <c r="ET70" s="331"/>
      <c r="EU70" s="331"/>
      <c r="EV70" s="331"/>
      <c r="EW70" s="331"/>
      <c r="EX70" s="331"/>
      <c r="EY70" s="331"/>
      <c r="EZ70" s="331"/>
      <c r="FA70" s="331"/>
      <c r="FB70" s="331"/>
      <c r="FC70" s="331"/>
      <c r="FD70" s="331"/>
      <c r="FE70" s="329">
        <v>0</v>
      </c>
      <c r="FF70" s="329">
        <v>0</v>
      </c>
      <c r="FG70" s="329">
        <v>0</v>
      </c>
      <c r="FH70" s="329">
        <v>0</v>
      </c>
      <c r="FI70" s="329">
        <v>0</v>
      </c>
      <c r="FJ70" s="329">
        <v>0</v>
      </c>
      <c r="FK70" s="329">
        <v>0</v>
      </c>
      <c r="FL70" s="329">
        <v>0</v>
      </c>
      <c r="FM70" s="329">
        <v>0</v>
      </c>
      <c r="FN70" s="329">
        <v>0</v>
      </c>
      <c r="FO70" s="329">
        <v>0</v>
      </c>
      <c r="FP70" s="329">
        <v>0</v>
      </c>
      <c r="FQ70" s="329">
        <v>0</v>
      </c>
      <c r="FR70" s="329">
        <v>0</v>
      </c>
      <c r="FS70" s="329">
        <v>0</v>
      </c>
      <c r="FT70" s="329">
        <v>0</v>
      </c>
      <c r="FU70" s="329">
        <v>0</v>
      </c>
      <c r="FV70" s="329">
        <v>0</v>
      </c>
      <c r="FW70" s="329">
        <v>0</v>
      </c>
      <c r="FX70" s="329">
        <v>0</v>
      </c>
      <c r="FY70" s="329">
        <v>0</v>
      </c>
      <c r="FZ70" s="329">
        <v>0</v>
      </c>
      <c r="GA70" s="329">
        <v>0</v>
      </c>
      <c r="GB70" s="329">
        <v>0</v>
      </c>
      <c r="GC70" s="330">
        <v>1565.31</v>
      </c>
      <c r="GD70" s="330">
        <v>1386.78</v>
      </c>
      <c r="GE70" s="330">
        <v>1386.78</v>
      </c>
      <c r="GF70" s="330">
        <v>1444.17</v>
      </c>
      <c r="GG70" s="330">
        <v>1425.03</v>
      </c>
      <c r="GH70" s="330">
        <v>1006.37</v>
      </c>
      <c r="GI70" s="330">
        <v>965.93</v>
      </c>
      <c r="GJ70" s="330">
        <v>1234.77</v>
      </c>
      <c r="GK70" s="330">
        <v>1151.5</v>
      </c>
      <c r="GL70" s="330">
        <v>1168.1500000000001</v>
      </c>
      <c r="GM70" s="330">
        <v>1156.25</v>
      </c>
      <c r="GN70" s="330">
        <v>1428.98</v>
      </c>
      <c r="GO70" s="331"/>
      <c r="GP70" s="331"/>
      <c r="GQ70" s="331"/>
      <c r="GR70" s="331"/>
      <c r="GS70" s="331"/>
      <c r="GT70" s="331"/>
      <c r="GU70" s="331"/>
      <c r="GV70" s="331"/>
      <c r="GW70" s="331"/>
      <c r="GX70" s="331"/>
      <c r="GY70" s="331"/>
      <c r="GZ70" s="331"/>
      <c r="HA70" s="330">
        <v>13.01</v>
      </c>
      <c r="HB70" s="330">
        <v>10.56</v>
      </c>
      <c r="HC70" s="330">
        <v>10.4</v>
      </c>
      <c r="HD70" s="330">
        <v>12.24</v>
      </c>
      <c r="HE70" s="330">
        <v>10.4</v>
      </c>
      <c r="HF70" s="330">
        <v>17.93</v>
      </c>
      <c r="HG70" s="330">
        <v>16.59</v>
      </c>
      <c r="HH70" s="330">
        <v>16.59</v>
      </c>
      <c r="HI70" s="330">
        <v>15.25</v>
      </c>
      <c r="HJ70" s="330">
        <v>15.25</v>
      </c>
      <c r="HK70" s="330">
        <v>14.45</v>
      </c>
      <c r="HL70" s="330">
        <v>16.32</v>
      </c>
      <c r="HM70" s="331"/>
      <c r="HN70" s="331"/>
      <c r="HO70" s="331"/>
      <c r="HP70" s="331"/>
      <c r="HQ70" s="331"/>
      <c r="HR70" s="331"/>
      <c r="HS70" s="331"/>
      <c r="HT70" s="331"/>
      <c r="HU70" s="331"/>
      <c r="HV70" s="331"/>
      <c r="HW70" s="331"/>
      <c r="HX70" s="331"/>
      <c r="HY70" s="329">
        <v>0</v>
      </c>
      <c r="HZ70" s="329">
        <v>0</v>
      </c>
      <c r="IA70" s="329">
        <v>0</v>
      </c>
      <c r="IB70" s="329">
        <v>0</v>
      </c>
      <c r="IC70" s="329">
        <v>0</v>
      </c>
      <c r="ID70" s="329">
        <v>0</v>
      </c>
      <c r="IE70" s="329">
        <v>0</v>
      </c>
      <c r="IF70" s="329">
        <v>0</v>
      </c>
      <c r="IG70" s="329">
        <v>0</v>
      </c>
      <c r="IH70" s="329">
        <v>0</v>
      </c>
      <c r="II70" s="329">
        <v>0</v>
      </c>
      <c r="IJ70" s="329">
        <v>0</v>
      </c>
      <c r="IK70" s="331"/>
      <c r="IL70" s="331"/>
      <c r="IM70" s="331"/>
      <c r="IN70" s="331"/>
      <c r="IO70" s="331"/>
      <c r="IP70" s="331"/>
      <c r="IQ70" s="331"/>
      <c r="IR70" s="331"/>
      <c r="IS70" s="331"/>
      <c r="IT70" s="331"/>
      <c r="IU70" s="331"/>
      <c r="IV70" s="331"/>
      <c r="IW70" s="331"/>
      <c r="IX70" s="331"/>
      <c r="IY70" s="331"/>
      <c r="IZ70" s="331"/>
      <c r="JA70" s="331"/>
      <c r="JB70" s="331"/>
      <c r="JC70" s="331"/>
      <c r="JD70" s="331"/>
      <c r="JE70" s="331"/>
      <c r="JF70" s="331"/>
      <c r="JG70" s="331"/>
      <c r="JH70" s="331"/>
      <c r="JI70" s="330">
        <v>35.81</v>
      </c>
      <c r="JJ70" s="331"/>
      <c r="JK70" s="331"/>
      <c r="JL70" s="331"/>
      <c r="JM70" s="331"/>
      <c r="JN70" s="331"/>
      <c r="JO70" s="331"/>
      <c r="JP70" s="331"/>
      <c r="JQ70" s="331"/>
      <c r="JR70" s="331"/>
      <c r="JS70" s="331"/>
      <c r="JT70" s="331"/>
      <c r="JU70" s="331"/>
      <c r="JV70" s="329">
        <v>0</v>
      </c>
      <c r="JW70" s="329">
        <v>0</v>
      </c>
      <c r="JX70" s="329">
        <v>0</v>
      </c>
      <c r="JY70" s="329">
        <v>0</v>
      </c>
      <c r="JZ70" s="329">
        <v>0</v>
      </c>
      <c r="KA70" s="329">
        <v>0</v>
      </c>
      <c r="KB70" s="329">
        <v>0</v>
      </c>
      <c r="KC70" s="329">
        <v>0</v>
      </c>
      <c r="KD70" s="329">
        <v>0</v>
      </c>
      <c r="KE70" s="329">
        <v>0</v>
      </c>
      <c r="KF70" s="329">
        <v>0</v>
      </c>
      <c r="KG70" s="329">
        <v>0</v>
      </c>
      <c r="KH70" s="329">
        <v>0</v>
      </c>
      <c r="KI70" s="329">
        <v>0</v>
      </c>
      <c r="KJ70" s="329">
        <v>0</v>
      </c>
      <c r="KK70" s="329">
        <v>0</v>
      </c>
      <c r="KL70" s="329">
        <v>0</v>
      </c>
      <c r="KM70" s="329">
        <v>0</v>
      </c>
      <c r="KN70" s="329">
        <v>0</v>
      </c>
      <c r="KO70" s="329">
        <v>0</v>
      </c>
      <c r="KP70" s="329">
        <v>0</v>
      </c>
      <c r="KQ70" s="329">
        <v>0</v>
      </c>
      <c r="KR70" s="329">
        <v>0</v>
      </c>
      <c r="KS70" s="329">
        <v>0</v>
      </c>
      <c r="KT70" s="331"/>
      <c r="KU70" s="331"/>
      <c r="KV70" s="331"/>
      <c r="KW70" s="331"/>
      <c r="KX70" s="331"/>
      <c r="KY70" s="331"/>
      <c r="KZ70" s="331"/>
      <c r="LA70" s="331"/>
      <c r="LB70" s="331"/>
      <c r="LC70" s="331"/>
      <c r="LD70" s="331"/>
      <c r="LE70" s="331"/>
      <c r="LF70" s="331"/>
      <c r="LG70" s="331"/>
      <c r="LH70" s="331"/>
      <c r="LI70" s="331"/>
      <c r="LJ70" s="331"/>
      <c r="LK70" s="331"/>
      <c r="LL70" s="331"/>
      <c r="LM70" s="331"/>
      <c r="LN70" s="331"/>
      <c r="LO70" s="331"/>
      <c r="LP70" s="331"/>
      <c r="LQ70" s="331"/>
      <c r="LR70" s="331"/>
      <c r="LS70" s="331"/>
      <c r="LT70" s="331"/>
      <c r="LU70" s="331"/>
      <c r="LV70" s="331"/>
      <c r="LW70" s="331"/>
      <c r="LX70" s="331"/>
      <c r="LY70" s="331"/>
      <c r="LZ70" s="331"/>
      <c r="MA70" s="331"/>
      <c r="MB70" s="331"/>
      <c r="MC70" s="331"/>
      <c r="MD70" s="331"/>
      <c r="ME70" s="331"/>
      <c r="MF70" s="331"/>
      <c r="MG70" s="331"/>
      <c r="MH70" s="331"/>
      <c r="MI70" s="331"/>
      <c r="MJ70" s="331"/>
      <c r="MK70" s="331"/>
      <c r="ML70" s="331"/>
      <c r="MM70" s="331"/>
      <c r="MN70" s="331"/>
      <c r="MO70" s="331"/>
      <c r="MP70" s="331"/>
      <c r="MQ70" s="331"/>
      <c r="MR70" s="331"/>
      <c r="MS70" s="331"/>
      <c r="MT70" s="331"/>
      <c r="MU70" s="331"/>
      <c r="MV70" s="331"/>
      <c r="MW70" s="331"/>
      <c r="MX70" s="331"/>
      <c r="MY70" s="331"/>
      <c r="MZ70" s="331"/>
      <c r="NA70" s="331"/>
      <c r="NB70" s="331"/>
      <c r="NC70" s="331"/>
      <c r="ND70" s="331"/>
      <c r="NE70" s="331"/>
      <c r="NF70" s="331"/>
      <c r="NG70" s="331"/>
      <c r="NH70" s="331"/>
      <c r="NI70" s="331"/>
      <c r="NJ70" s="331"/>
      <c r="NK70" s="331"/>
      <c r="NL70" s="331"/>
      <c r="NM70" s="331"/>
      <c r="NN70" s="331"/>
      <c r="NO70" s="331"/>
      <c r="NP70" s="331"/>
      <c r="NQ70" s="331"/>
      <c r="NR70" s="331"/>
      <c r="NS70" s="331"/>
      <c r="NT70" s="331"/>
      <c r="NU70" s="331"/>
      <c r="NV70" s="331"/>
      <c r="NW70" s="331"/>
      <c r="NX70" s="331"/>
      <c r="NY70" s="331"/>
      <c r="NZ70" s="331"/>
      <c r="OA70" s="331"/>
      <c r="OB70" s="331"/>
      <c r="OC70" s="331"/>
      <c r="OD70" s="331"/>
      <c r="OE70" s="331"/>
      <c r="OF70" s="331"/>
      <c r="OG70" s="331"/>
      <c r="OH70" s="331"/>
      <c r="OI70" s="331"/>
      <c r="OJ70" s="331"/>
      <c r="OK70" s="331"/>
      <c r="OL70" s="332">
        <f t="shared" si="16"/>
        <v>27685.210000000006</v>
      </c>
    </row>
    <row r="71" spans="1:402" ht="13.5" thickBot="1">
      <c r="A71" s="328" t="s">
        <v>470</v>
      </c>
      <c r="B71" s="328" t="s">
        <v>405</v>
      </c>
      <c r="C71" s="328" t="s">
        <v>476</v>
      </c>
      <c r="D71" s="328" t="s">
        <v>481</v>
      </c>
      <c r="E71" s="329">
        <v>0</v>
      </c>
      <c r="F71" s="329">
        <v>0</v>
      </c>
      <c r="G71" s="329">
        <v>0</v>
      </c>
      <c r="H71" s="329">
        <v>0</v>
      </c>
      <c r="I71" s="329">
        <v>0</v>
      </c>
      <c r="J71" s="329">
        <v>0</v>
      </c>
      <c r="K71" s="329">
        <v>0</v>
      </c>
      <c r="L71" s="329">
        <v>0</v>
      </c>
      <c r="M71" s="329">
        <v>0</v>
      </c>
      <c r="N71" s="329">
        <v>0</v>
      </c>
      <c r="O71" s="329">
        <v>0</v>
      </c>
      <c r="P71" s="329">
        <v>0</v>
      </c>
      <c r="Q71" s="329">
        <v>0</v>
      </c>
      <c r="R71" s="329">
        <v>0</v>
      </c>
      <c r="S71" s="329">
        <v>0</v>
      </c>
      <c r="T71" s="329">
        <v>0</v>
      </c>
      <c r="U71" s="329">
        <v>0</v>
      </c>
      <c r="V71" s="329">
        <v>0</v>
      </c>
      <c r="W71" s="329">
        <v>0</v>
      </c>
      <c r="X71" s="329">
        <v>0</v>
      </c>
      <c r="Y71" s="329">
        <v>0</v>
      </c>
      <c r="Z71" s="329">
        <v>0</v>
      </c>
      <c r="AA71" s="329">
        <v>0</v>
      </c>
      <c r="AB71" s="329">
        <v>0</v>
      </c>
      <c r="AC71" s="329">
        <v>0</v>
      </c>
      <c r="AD71" s="329">
        <v>0</v>
      </c>
      <c r="AE71" s="329">
        <v>0</v>
      </c>
      <c r="AF71" s="329">
        <v>0</v>
      </c>
      <c r="AG71" s="329">
        <v>0</v>
      </c>
      <c r="AH71" s="329">
        <v>0</v>
      </c>
      <c r="AI71" s="329">
        <v>0</v>
      </c>
      <c r="AJ71" s="329">
        <v>0</v>
      </c>
      <c r="AK71" s="329">
        <v>0</v>
      </c>
      <c r="AL71" s="329">
        <v>0</v>
      </c>
      <c r="AM71" s="329">
        <v>0</v>
      </c>
      <c r="AN71" s="329">
        <v>0</v>
      </c>
      <c r="AO71" s="330">
        <v>780.27</v>
      </c>
      <c r="AP71" s="330">
        <v>922.18</v>
      </c>
      <c r="AQ71" s="330">
        <v>914.71</v>
      </c>
      <c r="AR71" s="330">
        <v>914.71</v>
      </c>
      <c r="AS71" s="330">
        <v>985.66</v>
      </c>
      <c r="AT71" s="330">
        <v>910.98</v>
      </c>
      <c r="AU71" s="330">
        <v>996.87</v>
      </c>
      <c r="AV71" s="330">
        <v>922.18</v>
      </c>
      <c r="AW71" s="330">
        <v>974.46</v>
      </c>
      <c r="AX71" s="330">
        <v>884.83</v>
      </c>
      <c r="AY71" s="330">
        <v>955.79</v>
      </c>
      <c r="AZ71" s="330">
        <v>824.46</v>
      </c>
      <c r="BA71" s="329">
        <v>0</v>
      </c>
      <c r="BB71" s="329">
        <v>0</v>
      </c>
      <c r="BC71" s="329">
        <v>0</v>
      </c>
      <c r="BD71" s="329">
        <v>0</v>
      </c>
      <c r="BE71" s="329">
        <v>0</v>
      </c>
      <c r="BF71" s="329">
        <v>0</v>
      </c>
      <c r="BG71" s="329">
        <v>0</v>
      </c>
      <c r="BH71" s="329">
        <v>0</v>
      </c>
      <c r="BI71" s="329">
        <v>0</v>
      </c>
      <c r="BJ71" s="329">
        <v>0</v>
      </c>
      <c r="BK71" s="329">
        <v>0</v>
      </c>
      <c r="BL71" s="329">
        <v>0</v>
      </c>
      <c r="BM71" s="331"/>
      <c r="BN71" s="331"/>
      <c r="BO71" s="331"/>
      <c r="BP71" s="331"/>
      <c r="BQ71" s="331"/>
      <c r="BR71" s="331"/>
      <c r="BS71" s="331"/>
      <c r="BT71" s="331"/>
      <c r="BU71" s="331"/>
      <c r="BV71" s="331"/>
      <c r="BW71" s="331"/>
      <c r="BX71" s="331"/>
      <c r="BY71" s="331"/>
      <c r="BZ71" s="331"/>
      <c r="CA71" s="331"/>
      <c r="CB71" s="331"/>
      <c r="CC71" s="331"/>
      <c r="CD71" s="331"/>
      <c r="CE71" s="331"/>
      <c r="CF71" s="331"/>
      <c r="CG71" s="331"/>
      <c r="CH71" s="331"/>
      <c r="CI71" s="331"/>
      <c r="CJ71" s="331"/>
      <c r="CK71" s="329">
        <v>0</v>
      </c>
      <c r="CL71" s="329">
        <v>0</v>
      </c>
      <c r="CM71" s="329">
        <v>0</v>
      </c>
      <c r="CN71" s="329">
        <v>0</v>
      </c>
      <c r="CO71" s="329">
        <v>0</v>
      </c>
      <c r="CP71" s="329">
        <v>0</v>
      </c>
      <c r="CQ71" s="329">
        <v>0</v>
      </c>
      <c r="CR71" s="329">
        <v>0</v>
      </c>
      <c r="CS71" s="329">
        <v>0</v>
      </c>
      <c r="CT71" s="329">
        <v>0</v>
      </c>
      <c r="CU71" s="329">
        <v>0</v>
      </c>
      <c r="CV71" s="329">
        <v>0</v>
      </c>
      <c r="CW71" s="329">
        <v>0</v>
      </c>
      <c r="CX71" s="329">
        <v>0</v>
      </c>
      <c r="CY71" s="329">
        <v>0</v>
      </c>
      <c r="CZ71" s="329">
        <v>0</v>
      </c>
      <c r="DA71" s="329">
        <v>0</v>
      </c>
      <c r="DB71" s="329">
        <v>0</v>
      </c>
      <c r="DC71" s="329">
        <v>0</v>
      </c>
      <c r="DD71" s="329">
        <v>0</v>
      </c>
      <c r="DE71" s="329">
        <v>0</v>
      </c>
      <c r="DF71" s="329">
        <v>0</v>
      </c>
      <c r="DG71" s="329">
        <v>0</v>
      </c>
      <c r="DH71" s="329">
        <v>0</v>
      </c>
      <c r="DI71" s="331"/>
      <c r="DJ71" s="331"/>
      <c r="DK71" s="331"/>
      <c r="DL71" s="331"/>
      <c r="DM71" s="331"/>
      <c r="DN71" s="331"/>
      <c r="DO71" s="331"/>
      <c r="DP71" s="331"/>
      <c r="DQ71" s="331"/>
      <c r="DR71" s="331"/>
      <c r="DS71" s="331"/>
      <c r="DT71" s="331"/>
      <c r="DU71" s="330">
        <v>9.0500000000000007</v>
      </c>
      <c r="DV71" s="330">
        <v>11.03</v>
      </c>
      <c r="DW71" s="330">
        <v>10.93</v>
      </c>
      <c r="DX71" s="330">
        <v>10.93</v>
      </c>
      <c r="DY71" s="330">
        <v>11.92</v>
      </c>
      <c r="DZ71" s="330">
        <v>10.88</v>
      </c>
      <c r="EA71" s="330">
        <v>12.08</v>
      </c>
      <c r="EB71" s="330">
        <v>11.03</v>
      </c>
      <c r="EC71" s="330">
        <v>11.77</v>
      </c>
      <c r="ED71" s="330">
        <v>10.51</v>
      </c>
      <c r="EE71" s="330">
        <v>11.51</v>
      </c>
      <c r="EF71" s="330">
        <v>9.67</v>
      </c>
      <c r="EG71" s="331"/>
      <c r="EH71" s="331"/>
      <c r="EI71" s="331"/>
      <c r="EJ71" s="331"/>
      <c r="EK71" s="331"/>
      <c r="EL71" s="331"/>
      <c r="EM71" s="331"/>
      <c r="EN71" s="331"/>
      <c r="EO71" s="331"/>
      <c r="EP71" s="331"/>
      <c r="EQ71" s="331"/>
      <c r="ER71" s="331"/>
      <c r="ES71" s="331"/>
      <c r="ET71" s="331"/>
      <c r="EU71" s="331"/>
      <c r="EV71" s="331"/>
      <c r="EW71" s="331"/>
      <c r="EX71" s="331"/>
      <c r="EY71" s="331"/>
      <c r="EZ71" s="331"/>
      <c r="FA71" s="331"/>
      <c r="FB71" s="331"/>
      <c r="FC71" s="331"/>
      <c r="FD71" s="331"/>
      <c r="FE71" s="329">
        <v>0</v>
      </c>
      <c r="FF71" s="329">
        <v>0</v>
      </c>
      <c r="FG71" s="329">
        <v>0</v>
      </c>
      <c r="FH71" s="329">
        <v>0</v>
      </c>
      <c r="FI71" s="329">
        <v>0</v>
      </c>
      <c r="FJ71" s="329">
        <v>0</v>
      </c>
      <c r="FK71" s="329">
        <v>0</v>
      </c>
      <c r="FL71" s="329">
        <v>0</v>
      </c>
      <c r="FM71" s="329">
        <v>0</v>
      </c>
      <c r="FN71" s="329">
        <v>0</v>
      </c>
      <c r="FO71" s="329">
        <v>0</v>
      </c>
      <c r="FP71" s="329">
        <v>0</v>
      </c>
      <c r="FQ71" s="329">
        <v>0</v>
      </c>
      <c r="FR71" s="329">
        <v>0</v>
      </c>
      <c r="FS71" s="329">
        <v>0</v>
      </c>
      <c r="FT71" s="329">
        <v>0</v>
      </c>
      <c r="FU71" s="329">
        <v>0</v>
      </c>
      <c r="FV71" s="329">
        <v>0</v>
      </c>
      <c r="FW71" s="329">
        <v>0</v>
      </c>
      <c r="FX71" s="329">
        <v>0</v>
      </c>
      <c r="FY71" s="329">
        <v>0</v>
      </c>
      <c r="FZ71" s="329">
        <v>0</v>
      </c>
      <c r="GA71" s="329">
        <v>0</v>
      </c>
      <c r="GB71" s="329">
        <v>0</v>
      </c>
      <c r="GC71" s="330">
        <v>130.66</v>
      </c>
      <c r="GD71" s="330">
        <v>155.81</v>
      </c>
      <c r="GE71" s="330">
        <v>154.49</v>
      </c>
      <c r="GF71" s="330">
        <v>154.49</v>
      </c>
      <c r="GG71" s="330">
        <v>167.06</v>
      </c>
      <c r="GH71" s="330">
        <v>149.24</v>
      </c>
      <c r="GI71" s="330">
        <v>164.46</v>
      </c>
      <c r="GJ71" s="330">
        <v>151.22999999999999</v>
      </c>
      <c r="GK71" s="330">
        <v>160.49</v>
      </c>
      <c r="GL71" s="330">
        <v>144.61000000000001</v>
      </c>
      <c r="GM71" s="330">
        <v>157.18</v>
      </c>
      <c r="GN71" s="330">
        <v>183.49</v>
      </c>
      <c r="GO71" s="331"/>
      <c r="GP71" s="331"/>
      <c r="GQ71" s="331"/>
      <c r="GR71" s="331"/>
      <c r="GS71" s="331"/>
      <c r="GT71" s="331"/>
      <c r="GU71" s="331"/>
      <c r="GV71" s="331"/>
      <c r="GW71" s="331"/>
      <c r="GX71" s="331"/>
      <c r="GY71" s="331"/>
      <c r="GZ71" s="331"/>
      <c r="HA71" s="330">
        <v>19.28</v>
      </c>
      <c r="HB71" s="330">
        <v>32.74</v>
      </c>
      <c r="HC71" s="329">
        <v>41</v>
      </c>
      <c r="HD71" s="330">
        <v>37.94</v>
      </c>
      <c r="HE71" s="330">
        <v>32.74</v>
      </c>
      <c r="HF71" s="330">
        <v>66.900000000000006</v>
      </c>
      <c r="HG71" s="330">
        <v>62.62</v>
      </c>
      <c r="HH71" s="330">
        <v>64.760000000000005</v>
      </c>
      <c r="HI71" s="330">
        <v>63.15</v>
      </c>
      <c r="HJ71" s="330">
        <v>63.69</v>
      </c>
      <c r="HK71" s="330">
        <v>61.01</v>
      </c>
      <c r="HL71" s="330">
        <v>64.22</v>
      </c>
      <c r="HM71" s="331"/>
      <c r="HN71" s="331"/>
      <c r="HO71" s="331"/>
      <c r="HP71" s="331"/>
      <c r="HQ71" s="331"/>
      <c r="HR71" s="331"/>
      <c r="HS71" s="331"/>
      <c r="HT71" s="331"/>
      <c r="HU71" s="331"/>
      <c r="HV71" s="331"/>
      <c r="HW71" s="331"/>
      <c r="HX71" s="331"/>
      <c r="HY71" s="329">
        <v>0</v>
      </c>
      <c r="HZ71" s="329">
        <v>0</v>
      </c>
      <c r="IA71" s="329">
        <v>0</v>
      </c>
      <c r="IB71" s="329">
        <v>0</v>
      </c>
      <c r="IC71" s="329">
        <v>0</v>
      </c>
      <c r="ID71" s="329">
        <v>0</v>
      </c>
      <c r="IE71" s="329">
        <v>0</v>
      </c>
      <c r="IF71" s="329">
        <v>0</v>
      </c>
      <c r="IG71" s="329">
        <v>0</v>
      </c>
      <c r="IH71" s="329">
        <v>0</v>
      </c>
      <c r="II71" s="329">
        <v>0</v>
      </c>
      <c r="IJ71" s="329">
        <v>0</v>
      </c>
      <c r="IK71" s="331"/>
      <c r="IL71" s="331"/>
      <c r="IM71" s="331"/>
      <c r="IN71" s="331"/>
      <c r="IO71" s="331"/>
      <c r="IP71" s="331"/>
      <c r="IQ71" s="331"/>
      <c r="IR71" s="331"/>
      <c r="IS71" s="331"/>
      <c r="IT71" s="331"/>
      <c r="IU71" s="331"/>
      <c r="IV71" s="331"/>
      <c r="IW71" s="331"/>
      <c r="IX71" s="331"/>
      <c r="IY71" s="331"/>
      <c r="IZ71" s="331"/>
      <c r="JA71" s="331"/>
      <c r="JB71" s="331"/>
      <c r="JC71" s="331"/>
      <c r="JD71" s="331"/>
      <c r="JE71" s="331"/>
      <c r="JF71" s="331"/>
      <c r="JG71" s="331"/>
      <c r="JH71" s="331"/>
      <c r="JI71" s="330">
        <v>26.37</v>
      </c>
      <c r="JJ71" s="331"/>
      <c r="JK71" s="331"/>
      <c r="JL71" s="331"/>
      <c r="JM71" s="331"/>
      <c r="JN71" s="331"/>
      <c r="JO71" s="331"/>
      <c r="JP71" s="331"/>
      <c r="JQ71" s="331"/>
      <c r="JR71" s="331"/>
      <c r="JS71" s="331"/>
      <c r="JT71" s="331"/>
      <c r="JU71" s="331"/>
      <c r="JV71" s="329">
        <v>0</v>
      </c>
      <c r="JW71" s="329">
        <v>0</v>
      </c>
      <c r="JX71" s="329">
        <v>0</v>
      </c>
      <c r="JY71" s="329">
        <v>0</v>
      </c>
      <c r="JZ71" s="329">
        <v>0</v>
      </c>
      <c r="KA71" s="329">
        <v>0</v>
      </c>
      <c r="KB71" s="329">
        <v>0</v>
      </c>
      <c r="KC71" s="329">
        <v>0</v>
      </c>
      <c r="KD71" s="329">
        <v>0</v>
      </c>
      <c r="KE71" s="329">
        <v>0</v>
      </c>
      <c r="KF71" s="329">
        <v>0</v>
      </c>
      <c r="KG71" s="329">
        <v>0</v>
      </c>
      <c r="KH71" s="329">
        <v>0</v>
      </c>
      <c r="KI71" s="329">
        <v>0</v>
      </c>
      <c r="KJ71" s="329">
        <v>0</v>
      </c>
      <c r="KK71" s="329">
        <v>0</v>
      </c>
      <c r="KL71" s="329">
        <v>0</v>
      </c>
      <c r="KM71" s="329">
        <v>0</v>
      </c>
      <c r="KN71" s="329">
        <v>0</v>
      </c>
      <c r="KO71" s="329">
        <v>0</v>
      </c>
      <c r="KP71" s="329">
        <v>0</v>
      </c>
      <c r="KQ71" s="329">
        <v>0</v>
      </c>
      <c r="KR71" s="329">
        <v>0</v>
      </c>
      <c r="KS71" s="329">
        <v>0</v>
      </c>
      <c r="KT71" s="331"/>
      <c r="KU71" s="331"/>
      <c r="KV71" s="331"/>
      <c r="KW71" s="331"/>
      <c r="KX71" s="331"/>
      <c r="KY71" s="331"/>
      <c r="KZ71" s="331"/>
      <c r="LA71" s="331"/>
      <c r="LB71" s="331"/>
      <c r="LC71" s="331"/>
      <c r="LD71" s="331"/>
      <c r="LE71" s="331"/>
      <c r="LF71" s="331"/>
      <c r="LG71" s="331"/>
      <c r="LH71" s="331"/>
      <c r="LI71" s="331"/>
      <c r="LJ71" s="331"/>
      <c r="LK71" s="331"/>
      <c r="LL71" s="331"/>
      <c r="LM71" s="331"/>
      <c r="LN71" s="331"/>
      <c r="LO71" s="331"/>
      <c r="LP71" s="331"/>
      <c r="LQ71" s="331"/>
      <c r="LR71" s="331"/>
      <c r="LS71" s="331"/>
      <c r="LT71" s="331"/>
      <c r="LU71" s="331"/>
      <c r="LV71" s="331"/>
      <c r="LW71" s="331"/>
      <c r="LX71" s="331"/>
      <c r="LY71" s="331"/>
      <c r="LZ71" s="331"/>
      <c r="MA71" s="331"/>
      <c r="MB71" s="331"/>
      <c r="MC71" s="331"/>
      <c r="MD71" s="331"/>
      <c r="ME71" s="331"/>
      <c r="MF71" s="331"/>
      <c r="MG71" s="331"/>
      <c r="MH71" s="331"/>
      <c r="MI71" s="331"/>
      <c r="MJ71" s="331"/>
      <c r="MK71" s="331"/>
      <c r="ML71" s="331"/>
      <c r="MM71" s="331"/>
      <c r="MN71" s="331"/>
      <c r="MO71" s="331"/>
      <c r="MP71" s="331"/>
      <c r="MQ71" s="331"/>
      <c r="MR71" s="331"/>
      <c r="MS71" s="331"/>
      <c r="MT71" s="331"/>
      <c r="MU71" s="331"/>
      <c r="MV71" s="331"/>
      <c r="MW71" s="331"/>
      <c r="MX71" s="331"/>
      <c r="MY71" s="331"/>
      <c r="MZ71" s="331"/>
      <c r="NA71" s="331"/>
      <c r="NB71" s="331"/>
      <c r="NC71" s="331"/>
      <c r="ND71" s="331"/>
      <c r="NE71" s="331"/>
      <c r="NF71" s="331"/>
      <c r="NG71" s="331"/>
      <c r="NH71" s="331"/>
      <c r="NI71" s="331"/>
      <c r="NJ71" s="331"/>
      <c r="NK71" s="331"/>
      <c r="NL71" s="331"/>
      <c r="NM71" s="331"/>
      <c r="NN71" s="331"/>
      <c r="NO71" s="331"/>
      <c r="NP71" s="331"/>
      <c r="NQ71" s="331"/>
      <c r="NR71" s="331"/>
      <c r="NS71" s="331"/>
      <c r="NT71" s="331"/>
      <c r="NU71" s="331"/>
      <c r="NV71" s="331"/>
      <c r="NW71" s="331"/>
      <c r="NX71" s="331"/>
      <c r="NY71" s="331"/>
      <c r="NZ71" s="331"/>
      <c r="OA71" s="331"/>
      <c r="OB71" s="331"/>
      <c r="OC71" s="331"/>
      <c r="OD71" s="331"/>
      <c r="OE71" s="331"/>
      <c r="OF71" s="331"/>
      <c r="OG71" s="331"/>
      <c r="OH71" s="331"/>
      <c r="OI71" s="331"/>
      <c r="OJ71" s="331"/>
      <c r="OK71" s="331"/>
      <c r="OL71" s="332">
        <f t="shared" si="16"/>
        <v>13628.039999999999</v>
      </c>
    </row>
    <row r="72" spans="1:402" s="337" customFormat="1" ht="12.75" customHeight="1">
      <c r="D72" s="339" t="s">
        <v>482</v>
      </c>
      <c r="E72" s="340">
        <f>SUM(E63:E71)</f>
        <v>0</v>
      </c>
      <c r="F72" s="340">
        <f t="shared" ref="F72:BQ72" si="17">SUM(F63:F71)</f>
        <v>0</v>
      </c>
      <c r="G72" s="340">
        <f t="shared" si="17"/>
        <v>0</v>
      </c>
      <c r="H72" s="340">
        <f t="shared" si="17"/>
        <v>0</v>
      </c>
      <c r="I72" s="340">
        <f t="shared" si="17"/>
        <v>0</v>
      </c>
      <c r="J72" s="340">
        <f t="shared" si="17"/>
        <v>0</v>
      </c>
      <c r="K72" s="340">
        <f t="shared" si="17"/>
        <v>0</v>
      </c>
      <c r="L72" s="340">
        <f t="shared" si="17"/>
        <v>0</v>
      </c>
      <c r="M72" s="340">
        <f t="shared" si="17"/>
        <v>0</v>
      </c>
      <c r="N72" s="340">
        <f t="shared" si="17"/>
        <v>0</v>
      </c>
      <c r="O72" s="340">
        <f t="shared" si="17"/>
        <v>0</v>
      </c>
      <c r="P72" s="340">
        <f t="shared" si="17"/>
        <v>0</v>
      </c>
      <c r="Q72" s="340">
        <f t="shared" si="17"/>
        <v>0</v>
      </c>
      <c r="R72" s="340">
        <f t="shared" si="17"/>
        <v>0</v>
      </c>
      <c r="S72" s="340">
        <f t="shared" si="17"/>
        <v>0</v>
      </c>
      <c r="T72" s="340">
        <f t="shared" si="17"/>
        <v>0</v>
      </c>
      <c r="U72" s="340">
        <f t="shared" si="17"/>
        <v>0</v>
      </c>
      <c r="V72" s="340">
        <f t="shared" si="17"/>
        <v>0</v>
      </c>
      <c r="W72" s="340">
        <f t="shared" si="17"/>
        <v>0</v>
      </c>
      <c r="X72" s="340">
        <f t="shared" si="17"/>
        <v>0</v>
      </c>
      <c r="Y72" s="340">
        <f t="shared" si="17"/>
        <v>0</v>
      </c>
      <c r="Z72" s="340">
        <f t="shared" si="17"/>
        <v>0</v>
      </c>
      <c r="AA72" s="340">
        <f t="shared" si="17"/>
        <v>0</v>
      </c>
      <c r="AB72" s="340">
        <f t="shared" si="17"/>
        <v>0</v>
      </c>
      <c r="AC72" s="340">
        <f t="shared" si="17"/>
        <v>0</v>
      </c>
      <c r="AD72" s="340">
        <f t="shared" si="17"/>
        <v>0</v>
      </c>
      <c r="AE72" s="340">
        <f t="shared" si="17"/>
        <v>0</v>
      </c>
      <c r="AF72" s="340">
        <f t="shared" si="17"/>
        <v>0</v>
      </c>
      <c r="AG72" s="340">
        <f t="shared" si="17"/>
        <v>0</v>
      </c>
      <c r="AH72" s="340">
        <f t="shared" si="17"/>
        <v>0</v>
      </c>
      <c r="AI72" s="340">
        <f t="shared" si="17"/>
        <v>0</v>
      </c>
      <c r="AJ72" s="340">
        <f t="shared" si="17"/>
        <v>0</v>
      </c>
      <c r="AK72" s="340">
        <f t="shared" si="17"/>
        <v>0</v>
      </c>
      <c r="AL72" s="340">
        <f t="shared" si="17"/>
        <v>0</v>
      </c>
      <c r="AM72" s="340">
        <f t="shared" si="17"/>
        <v>0</v>
      </c>
      <c r="AN72" s="340">
        <f t="shared" si="17"/>
        <v>0</v>
      </c>
      <c r="AO72" s="340">
        <f t="shared" si="17"/>
        <v>6253.7800000000007</v>
      </c>
      <c r="AP72" s="340">
        <f t="shared" si="17"/>
        <v>6179.4</v>
      </c>
      <c r="AQ72" s="340">
        <f t="shared" si="17"/>
        <v>5968.7199999999993</v>
      </c>
      <c r="AR72" s="340">
        <f t="shared" si="17"/>
        <v>5875.04</v>
      </c>
      <c r="AS72" s="340">
        <f t="shared" si="17"/>
        <v>5900.2599999999993</v>
      </c>
      <c r="AT72" s="340">
        <f t="shared" si="17"/>
        <v>5799.43</v>
      </c>
      <c r="AU72" s="340">
        <f t="shared" si="17"/>
        <v>5878.48</v>
      </c>
      <c r="AV72" s="340">
        <f t="shared" si="17"/>
        <v>6208.34</v>
      </c>
      <c r="AW72" s="340">
        <f t="shared" si="17"/>
        <v>6248.1599999999989</v>
      </c>
      <c r="AX72" s="340">
        <f t="shared" si="17"/>
        <v>6172.869999999999</v>
      </c>
      <c r="AY72" s="340">
        <f t="shared" si="17"/>
        <v>6189.0599999999995</v>
      </c>
      <c r="AZ72" s="340">
        <f t="shared" si="17"/>
        <v>5986.45</v>
      </c>
      <c r="BA72" s="340">
        <f t="shared" si="17"/>
        <v>0</v>
      </c>
      <c r="BB72" s="340">
        <f t="shared" si="17"/>
        <v>0</v>
      </c>
      <c r="BC72" s="340">
        <f t="shared" si="17"/>
        <v>0</v>
      </c>
      <c r="BD72" s="340">
        <f t="shared" si="17"/>
        <v>0</v>
      </c>
      <c r="BE72" s="340">
        <f t="shared" si="17"/>
        <v>0</v>
      </c>
      <c r="BF72" s="340">
        <f t="shared" si="17"/>
        <v>0</v>
      </c>
      <c r="BG72" s="340">
        <f t="shared" si="17"/>
        <v>0</v>
      </c>
      <c r="BH72" s="340">
        <f t="shared" si="17"/>
        <v>0</v>
      </c>
      <c r="BI72" s="340">
        <f t="shared" si="17"/>
        <v>0</v>
      </c>
      <c r="BJ72" s="340">
        <f t="shared" si="17"/>
        <v>0</v>
      </c>
      <c r="BK72" s="340">
        <f t="shared" si="17"/>
        <v>0</v>
      </c>
      <c r="BL72" s="340">
        <f t="shared" si="17"/>
        <v>0</v>
      </c>
      <c r="BM72" s="340">
        <f t="shared" si="17"/>
        <v>0</v>
      </c>
      <c r="BN72" s="340">
        <f t="shared" si="17"/>
        <v>0</v>
      </c>
      <c r="BO72" s="340">
        <f t="shared" si="17"/>
        <v>0</v>
      </c>
      <c r="BP72" s="340">
        <f t="shared" si="17"/>
        <v>0</v>
      </c>
      <c r="BQ72" s="340">
        <f t="shared" si="17"/>
        <v>0</v>
      </c>
      <c r="BR72" s="340">
        <f t="shared" ref="BR72:EC72" si="18">SUM(BR63:BR71)</f>
        <v>0</v>
      </c>
      <c r="BS72" s="340">
        <f t="shared" si="18"/>
        <v>0</v>
      </c>
      <c r="BT72" s="340">
        <f t="shared" si="18"/>
        <v>0</v>
      </c>
      <c r="BU72" s="340">
        <f t="shared" si="18"/>
        <v>0</v>
      </c>
      <c r="BV72" s="340">
        <f t="shared" si="18"/>
        <v>0</v>
      </c>
      <c r="BW72" s="340">
        <f t="shared" si="18"/>
        <v>0</v>
      </c>
      <c r="BX72" s="340">
        <f t="shared" si="18"/>
        <v>0</v>
      </c>
      <c r="BY72" s="340">
        <f t="shared" si="18"/>
        <v>0</v>
      </c>
      <c r="BZ72" s="340">
        <f t="shared" si="18"/>
        <v>0</v>
      </c>
      <c r="CA72" s="340">
        <f t="shared" si="18"/>
        <v>0</v>
      </c>
      <c r="CB72" s="340">
        <f t="shared" si="18"/>
        <v>0</v>
      </c>
      <c r="CC72" s="340">
        <f t="shared" si="18"/>
        <v>0</v>
      </c>
      <c r="CD72" s="340">
        <f t="shared" si="18"/>
        <v>0</v>
      </c>
      <c r="CE72" s="340">
        <f t="shared" si="18"/>
        <v>0</v>
      </c>
      <c r="CF72" s="340">
        <f t="shared" si="18"/>
        <v>0</v>
      </c>
      <c r="CG72" s="340">
        <f t="shared" si="18"/>
        <v>0</v>
      </c>
      <c r="CH72" s="340">
        <f t="shared" si="18"/>
        <v>0</v>
      </c>
      <c r="CI72" s="340">
        <f t="shared" si="18"/>
        <v>0</v>
      </c>
      <c r="CJ72" s="340">
        <f t="shared" si="18"/>
        <v>0</v>
      </c>
      <c r="CK72" s="340">
        <f t="shared" si="18"/>
        <v>0</v>
      </c>
      <c r="CL72" s="340">
        <f t="shared" si="18"/>
        <v>0</v>
      </c>
      <c r="CM72" s="340">
        <f t="shared" si="18"/>
        <v>0</v>
      </c>
      <c r="CN72" s="340">
        <f t="shared" si="18"/>
        <v>0</v>
      </c>
      <c r="CO72" s="340">
        <f t="shared" si="18"/>
        <v>0</v>
      </c>
      <c r="CP72" s="340">
        <f t="shared" si="18"/>
        <v>0</v>
      </c>
      <c r="CQ72" s="340">
        <f t="shared" si="18"/>
        <v>0</v>
      </c>
      <c r="CR72" s="340">
        <f t="shared" si="18"/>
        <v>0</v>
      </c>
      <c r="CS72" s="340">
        <f t="shared" si="18"/>
        <v>0</v>
      </c>
      <c r="CT72" s="340">
        <f t="shared" si="18"/>
        <v>0</v>
      </c>
      <c r="CU72" s="340">
        <f t="shared" si="18"/>
        <v>0</v>
      </c>
      <c r="CV72" s="340">
        <f t="shared" si="18"/>
        <v>0</v>
      </c>
      <c r="CW72" s="340">
        <f t="shared" si="18"/>
        <v>0</v>
      </c>
      <c r="CX72" s="340">
        <f t="shared" si="18"/>
        <v>0</v>
      </c>
      <c r="CY72" s="340">
        <f t="shared" si="18"/>
        <v>0</v>
      </c>
      <c r="CZ72" s="340">
        <f t="shared" si="18"/>
        <v>0</v>
      </c>
      <c r="DA72" s="340">
        <f t="shared" si="18"/>
        <v>0</v>
      </c>
      <c r="DB72" s="340">
        <f t="shared" si="18"/>
        <v>0</v>
      </c>
      <c r="DC72" s="340">
        <f t="shared" si="18"/>
        <v>0</v>
      </c>
      <c r="DD72" s="340">
        <f t="shared" si="18"/>
        <v>0</v>
      </c>
      <c r="DE72" s="340">
        <f t="shared" si="18"/>
        <v>0</v>
      </c>
      <c r="DF72" s="340">
        <f t="shared" si="18"/>
        <v>0</v>
      </c>
      <c r="DG72" s="340">
        <f t="shared" si="18"/>
        <v>0</v>
      </c>
      <c r="DH72" s="340">
        <f t="shared" si="18"/>
        <v>0</v>
      </c>
      <c r="DI72" s="340">
        <f t="shared" si="18"/>
        <v>178.25</v>
      </c>
      <c r="DJ72" s="340">
        <f t="shared" si="18"/>
        <v>171.16</v>
      </c>
      <c r="DK72" s="340">
        <f t="shared" si="18"/>
        <v>157.88</v>
      </c>
      <c r="DL72" s="340">
        <f t="shared" si="18"/>
        <v>145.88</v>
      </c>
      <c r="DM72" s="340">
        <f t="shared" si="18"/>
        <v>146.69</v>
      </c>
      <c r="DN72" s="340">
        <f t="shared" si="18"/>
        <v>148.05000000000001</v>
      </c>
      <c r="DO72" s="340">
        <f t="shared" si="18"/>
        <v>150.82</v>
      </c>
      <c r="DP72" s="340">
        <f t="shared" si="18"/>
        <v>160.57999999999998</v>
      </c>
      <c r="DQ72" s="340">
        <f t="shared" si="18"/>
        <v>166.06</v>
      </c>
      <c r="DR72" s="340">
        <f t="shared" si="18"/>
        <v>167.12000000000003</v>
      </c>
      <c r="DS72" s="340">
        <f t="shared" si="18"/>
        <v>164.57999999999998</v>
      </c>
      <c r="DT72" s="340">
        <f t="shared" si="18"/>
        <v>176.92</v>
      </c>
      <c r="DU72" s="340">
        <f t="shared" si="18"/>
        <v>70.66</v>
      </c>
      <c r="DV72" s="340">
        <f t="shared" si="18"/>
        <v>69.609999999999985</v>
      </c>
      <c r="DW72" s="340">
        <f t="shared" si="18"/>
        <v>66.66</v>
      </c>
      <c r="DX72" s="340">
        <f t="shared" si="18"/>
        <v>65.37</v>
      </c>
      <c r="DY72" s="340">
        <f t="shared" si="18"/>
        <v>65.709999999999994</v>
      </c>
      <c r="DZ72" s="340">
        <f t="shared" si="18"/>
        <v>64.3</v>
      </c>
      <c r="EA72" s="340">
        <f t="shared" si="18"/>
        <v>65.41</v>
      </c>
      <c r="EB72" s="340">
        <f t="shared" si="18"/>
        <v>70.02</v>
      </c>
      <c r="EC72" s="340">
        <f t="shared" si="18"/>
        <v>70.58</v>
      </c>
      <c r="ED72" s="340">
        <f t="shared" ref="ED72:GO72" si="19">SUM(ED63:ED71)</f>
        <v>69.52000000000001</v>
      </c>
      <c r="EE72" s="340">
        <f t="shared" si="19"/>
        <v>69.760000000000005</v>
      </c>
      <c r="EF72" s="340">
        <f t="shared" si="19"/>
        <v>66.930000000000007</v>
      </c>
      <c r="EG72" s="340">
        <f t="shared" si="19"/>
        <v>0</v>
      </c>
      <c r="EH72" s="340">
        <f t="shared" si="19"/>
        <v>0</v>
      </c>
      <c r="EI72" s="340">
        <f t="shared" si="19"/>
        <v>0</v>
      </c>
      <c r="EJ72" s="340">
        <f t="shared" si="19"/>
        <v>0</v>
      </c>
      <c r="EK72" s="340">
        <f t="shared" si="19"/>
        <v>0</v>
      </c>
      <c r="EL72" s="340">
        <f t="shared" si="19"/>
        <v>0</v>
      </c>
      <c r="EM72" s="340">
        <f t="shared" si="19"/>
        <v>0</v>
      </c>
      <c r="EN72" s="340">
        <f t="shared" si="19"/>
        <v>0</v>
      </c>
      <c r="EO72" s="340">
        <f t="shared" si="19"/>
        <v>0</v>
      </c>
      <c r="EP72" s="340">
        <f t="shared" si="19"/>
        <v>0</v>
      </c>
      <c r="EQ72" s="340">
        <f t="shared" si="19"/>
        <v>0</v>
      </c>
      <c r="ER72" s="340">
        <f t="shared" si="19"/>
        <v>0</v>
      </c>
      <c r="ES72" s="340">
        <f t="shared" si="19"/>
        <v>0</v>
      </c>
      <c r="ET72" s="340">
        <f t="shared" si="19"/>
        <v>0</v>
      </c>
      <c r="EU72" s="340">
        <f t="shared" si="19"/>
        <v>0</v>
      </c>
      <c r="EV72" s="340">
        <f t="shared" si="19"/>
        <v>0</v>
      </c>
      <c r="EW72" s="340">
        <f t="shared" si="19"/>
        <v>0</v>
      </c>
      <c r="EX72" s="340">
        <f t="shared" si="19"/>
        <v>0</v>
      </c>
      <c r="EY72" s="340">
        <f t="shared" si="19"/>
        <v>0</v>
      </c>
      <c r="EZ72" s="340">
        <f t="shared" si="19"/>
        <v>0</v>
      </c>
      <c r="FA72" s="340">
        <f t="shared" si="19"/>
        <v>0</v>
      </c>
      <c r="FB72" s="340">
        <f t="shared" si="19"/>
        <v>0</v>
      </c>
      <c r="FC72" s="340">
        <f t="shared" si="19"/>
        <v>0</v>
      </c>
      <c r="FD72" s="340">
        <f t="shared" si="19"/>
        <v>0</v>
      </c>
      <c r="FE72" s="340">
        <f t="shared" si="19"/>
        <v>0</v>
      </c>
      <c r="FF72" s="340">
        <f t="shared" si="19"/>
        <v>0</v>
      </c>
      <c r="FG72" s="340">
        <f t="shared" si="19"/>
        <v>0</v>
      </c>
      <c r="FH72" s="340">
        <f t="shared" si="19"/>
        <v>0</v>
      </c>
      <c r="FI72" s="340">
        <f t="shared" si="19"/>
        <v>0</v>
      </c>
      <c r="FJ72" s="340">
        <f t="shared" si="19"/>
        <v>0</v>
      </c>
      <c r="FK72" s="340">
        <f t="shared" si="19"/>
        <v>0</v>
      </c>
      <c r="FL72" s="340">
        <f t="shared" si="19"/>
        <v>0</v>
      </c>
      <c r="FM72" s="340">
        <f t="shared" si="19"/>
        <v>0</v>
      </c>
      <c r="FN72" s="340">
        <f t="shared" si="19"/>
        <v>0</v>
      </c>
      <c r="FO72" s="340">
        <f t="shared" si="19"/>
        <v>0</v>
      </c>
      <c r="FP72" s="340">
        <f t="shared" si="19"/>
        <v>0</v>
      </c>
      <c r="FQ72" s="340">
        <f t="shared" si="19"/>
        <v>0</v>
      </c>
      <c r="FR72" s="340">
        <f t="shared" si="19"/>
        <v>0</v>
      </c>
      <c r="FS72" s="340">
        <f t="shared" si="19"/>
        <v>0</v>
      </c>
      <c r="FT72" s="340">
        <f t="shared" si="19"/>
        <v>0</v>
      </c>
      <c r="FU72" s="340">
        <f t="shared" si="19"/>
        <v>0</v>
      </c>
      <c r="FV72" s="340">
        <f t="shared" si="19"/>
        <v>0</v>
      </c>
      <c r="FW72" s="340">
        <f t="shared" si="19"/>
        <v>0</v>
      </c>
      <c r="FX72" s="340">
        <f t="shared" si="19"/>
        <v>0</v>
      </c>
      <c r="FY72" s="340">
        <f t="shared" si="19"/>
        <v>0</v>
      </c>
      <c r="FZ72" s="340">
        <f t="shared" si="19"/>
        <v>0</v>
      </c>
      <c r="GA72" s="340">
        <f t="shared" si="19"/>
        <v>0</v>
      </c>
      <c r="GB72" s="340">
        <f t="shared" si="19"/>
        <v>0</v>
      </c>
      <c r="GC72" s="340">
        <f t="shared" si="19"/>
        <v>7522.18</v>
      </c>
      <c r="GD72" s="340">
        <f t="shared" si="19"/>
        <v>6169.47</v>
      </c>
      <c r="GE72" s="340">
        <f t="shared" si="19"/>
        <v>5771.66</v>
      </c>
      <c r="GF72" s="340">
        <f t="shared" si="19"/>
        <v>5693.63</v>
      </c>
      <c r="GG72" s="340">
        <f t="shared" si="19"/>
        <v>5750.94</v>
      </c>
      <c r="GH72" s="340">
        <f t="shared" si="19"/>
        <v>4686.16</v>
      </c>
      <c r="GI72" s="340">
        <f t="shared" si="19"/>
        <v>4930.95</v>
      </c>
      <c r="GJ72" s="340">
        <f t="shared" si="19"/>
        <v>5516.51</v>
      </c>
      <c r="GK72" s="340">
        <f t="shared" si="19"/>
        <v>5379.5</v>
      </c>
      <c r="GL72" s="340">
        <f t="shared" si="19"/>
        <v>5387.9999999999991</v>
      </c>
      <c r="GM72" s="340">
        <f t="shared" si="19"/>
        <v>5338.96</v>
      </c>
      <c r="GN72" s="340">
        <f t="shared" si="19"/>
        <v>6285.57</v>
      </c>
      <c r="GO72" s="340">
        <f t="shared" si="19"/>
        <v>635.43000000000006</v>
      </c>
      <c r="GP72" s="340">
        <f t="shared" ref="GP72:JA72" si="20">SUM(GP63:GP71)</f>
        <v>610.16999999999996</v>
      </c>
      <c r="GQ72" s="340">
        <f t="shared" si="20"/>
        <v>562.83000000000004</v>
      </c>
      <c r="GR72" s="340">
        <f t="shared" si="20"/>
        <v>520.08000000000004</v>
      </c>
      <c r="GS72" s="340">
        <f t="shared" si="20"/>
        <v>522.94000000000005</v>
      </c>
      <c r="GT72" s="340">
        <f t="shared" si="20"/>
        <v>515.5</v>
      </c>
      <c r="GU72" s="340">
        <f t="shared" si="20"/>
        <v>525.12</v>
      </c>
      <c r="GV72" s="340">
        <f t="shared" si="20"/>
        <v>559.09999999999991</v>
      </c>
      <c r="GW72" s="340">
        <f t="shared" si="20"/>
        <v>578.18000000000006</v>
      </c>
      <c r="GX72" s="340">
        <f t="shared" si="20"/>
        <v>581.91000000000008</v>
      </c>
      <c r="GY72" s="340">
        <f t="shared" si="20"/>
        <v>573.06999999999994</v>
      </c>
      <c r="GZ72" s="340">
        <f t="shared" si="20"/>
        <v>549.31999999999994</v>
      </c>
      <c r="HA72" s="340">
        <f t="shared" si="20"/>
        <v>110.01</v>
      </c>
      <c r="HB72" s="340">
        <f t="shared" si="20"/>
        <v>104.66</v>
      </c>
      <c r="HC72" s="340">
        <f t="shared" si="20"/>
        <v>119.08000000000001</v>
      </c>
      <c r="HD72" s="340">
        <f t="shared" si="20"/>
        <v>93.539999999999992</v>
      </c>
      <c r="HE72" s="340">
        <f t="shared" si="20"/>
        <v>94.69</v>
      </c>
      <c r="HF72" s="340">
        <f t="shared" si="20"/>
        <v>210.6</v>
      </c>
      <c r="HG72" s="340">
        <f t="shared" si="20"/>
        <v>220.95000000000002</v>
      </c>
      <c r="HH72" s="340">
        <f t="shared" si="20"/>
        <v>245.47000000000003</v>
      </c>
      <c r="HI72" s="340">
        <f t="shared" si="20"/>
        <v>264.39</v>
      </c>
      <c r="HJ72" s="340">
        <f t="shared" si="20"/>
        <v>263.83</v>
      </c>
      <c r="HK72" s="340">
        <f t="shared" si="20"/>
        <v>246.70999999999998</v>
      </c>
      <c r="HL72" s="340">
        <f t="shared" si="20"/>
        <v>257.77999999999997</v>
      </c>
      <c r="HM72" s="340">
        <f t="shared" si="20"/>
        <v>0</v>
      </c>
      <c r="HN72" s="340">
        <f t="shared" si="20"/>
        <v>0</v>
      </c>
      <c r="HO72" s="340">
        <f t="shared" si="20"/>
        <v>0</v>
      </c>
      <c r="HP72" s="340">
        <f t="shared" si="20"/>
        <v>0</v>
      </c>
      <c r="HQ72" s="340">
        <f t="shared" si="20"/>
        <v>0</v>
      </c>
      <c r="HR72" s="340">
        <f t="shared" si="20"/>
        <v>0</v>
      </c>
      <c r="HS72" s="340">
        <f t="shared" si="20"/>
        <v>0</v>
      </c>
      <c r="HT72" s="340">
        <f t="shared" si="20"/>
        <v>0</v>
      </c>
      <c r="HU72" s="340">
        <f t="shared" si="20"/>
        <v>0</v>
      </c>
      <c r="HV72" s="340">
        <f t="shared" si="20"/>
        <v>0</v>
      </c>
      <c r="HW72" s="340">
        <f t="shared" si="20"/>
        <v>0</v>
      </c>
      <c r="HX72" s="340">
        <f t="shared" si="20"/>
        <v>0</v>
      </c>
      <c r="HY72" s="340">
        <f t="shared" si="20"/>
        <v>0</v>
      </c>
      <c r="HZ72" s="340">
        <f t="shared" si="20"/>
        <v>0</v>
      </c>
      <c r="IA72" s="340">
        <f t="shared" si="20"/>
        <v>0</v>
      </c>
      <c r="IB72" s="340">
        <f t="shared" si="20"/>
        <v>0</v>
      </c>
      <c r="IC72" s="340">
        <f t="shared" si="20"/>
        <v>0</v>
      </c>
      <c r="ID72" s="340">
        <f t="shared" si="20"/>
        <v>0</v>
      </c>
      <c r="IE72" s="340">
        <f t="shared" si="20"/>
        <v>0</v>
      </c>
      <c r="IF72" s="340">
        <f t="shared" si="20"/>
        <v>0</v>
      </c>
      <c r="IG72" s="340">
        <f t="shared" si="20"/>
        <v>0</v>
      </c>
      <c r="IH72" s="340">
        <f t="shared" si="20"/>
        <v>0</v>
      </c>
      <c r="II72" s="340">
        <f t="shared" si="20"/>
        <v>0</v>
      </c>
      <c r="IJ72" s="340">
        <f t="shared" si="20"/>
        <v>0</v>
      </c>
      <c r="IK72" s="340">
        <f t="shared" si="20"/>
        <v>0</v>
      </c>
      <c r="IL72" s="340">
        <f t="shared" si="20"/>
        <v>0</v>
      </c>
      <c r="IM72" s="340">
        <f t="shared" si="20"/>
        <v>0</v>
      </c>
      <c r="IN72" s="340">
        <f t="shared" si="20"/>
        <v>0</v>
      </c>
      <c r="IO72" s="340">
        <f t="shared" si="20"/>
        <v>0</v>
      </c>
      <c r="IP72" s="340">
        <f t="shared" si="20"/>
        <v>0</v>
      </c>
      <c r="IQ72" s="340">
        <f t="shared" si="20"/>
        <v>0</v>
      </c>
      <c r="IR72" s="340">
        <f t="shared" si="20"/>
        <v>0</v>
      </c>
      <c r="IS72" s="340">
        <f t="shared" si="20"/>
        <v>0</v>
      </c>
      <c r="IT72" s="340">
        <f t="shared" si="20"/>
        <v>0</v>
      </c>
      <c r="IU72" s="340">
        <f t="shared" si="20"/>
        <v>0</v>
      </c>
      <c r="IV72" s="340">
        <f t="shared" si="20"/>
        <v>0</v>
      </c>
      <c r="IW72" s="340">
        <f t="shared" si="20"/>
        <v>0</v>
      </c>
      <c r="IX72" s="340">
        <f t="shared" si="20"/>
        <v>0</v>
      </c>
      <c r="IY72" s="340">
        <f t="shared" si="20"/>
        <v>0</v>
      </c>
      <c r="IZ72" s="340">
        <f t="shared" si="20"/>
        <v>0</v>
      </c>
      <c r="JA72" s="340">
        <f t="shared" si="20"/>
        <v>0</v>
      </c>
      <c r="JB72" s="340">
        <f t="shared" ref="JB72:LM72" si="21">SUM(JB63:JB71)</f>
        <v>0</v>
      </c>
      <c r="JC72" s="340">
        <f t="shared" si="21"/>
        <v>0</v>
      </c>
      <c r="JD72" s="340">
        <f t="shared" si="21"/>
        <v>0</v>
      </c>
      <c r="JE72" s="340">
        <f t="shared" si="21"/>
        <v>0</v>
      </c>
      <c r="JF72" s="340">
        <f t="shared" si="21"/>
        <v>0</v>
      </c>
      <c r="JG72" s="340">
        <f t="shared" si="21"/>
        <v>0</v>
      </c>
      <c r="JH72" s="340">
        <f t="shared" si="21"/>
        <v>0</v>
      </c>
      <c r="JI72" s="340">
        <f t="shared" si="21"/>
        <v>182.56</v>
      </c>
      <c r="JJ72" s="340">
        <f t="shared" si="21"/>
        <v>-11.78</v>
      </c>
      <c r="JK72" s="340">
        <f t="shared" si="21"/>
        <v>-11.309999999999999</v>
      </c>
      <c r="JL72" s="340">
        <f t="shared" si="21"/>
        <v>-10.430000000000001</v>
      </c>
      <c r="JM72" s="340">
        <f t="shared" si="21"/>
        <v>-9.64</v>
      </c>
      <c r="JN72" s="340">
        <f t="shared" si="21"/>
        <v>-9.6900000000000013</v>
      </c>
      <c r="JO72" s="340">
        <f t="shared" si="21"/>
        <v>-9.7899999999999991</v>
      </c>
      <c r="JP72" s="340">
        <f t="shared" si="21"/>
        <v>-9.9600000000000009</v>
      </c>
      <c r="JQ72" s="340">
        <f t="shared" si="21"/>
        <v>-10.62</v>
      </c>
      <c r="JR72" s="340">
        <f t="shared" si="21"/>
        <v>-10.98</v>
      </c>
      <c r="JS72" s="340">
        <f t="shared" si="21"/>
        <v>-11.040000000000001</v>
      </c>
      <c r="JT72" s="340">
        <f t="shared" si="21"/>
        <v>-10.879999999999999</v>
      </c>
      <c r="JU72" s="340">
        <f t="shared" si="21"/>
        <v>-9.129999999999999</v>
      </c>
      <c r="JV72" s="340">
        <f t="shared" si="21"/>
        <v>0</v>
      </c>
      <c r="JW72" s="340">
        <f t="shared" si="21"/>
        <v>0</v>
      </c>
      <c r="JX72" s="340">
        <f t="shared" si="21"/>
        <v>0</v>
      </c>
      <c r="JY72" s="340">
        <f t="shared" si="21"/>
        <v>0</v>
      </c>
      <c r="JZ72" s="340">
        <f t="shared" si="21"/>
        <v>0</v>
      </c>
      <c r="KA72" s="340">
        <f t="shared" si="21"/>
        <v>0</v>
      </c>
      <c r="KB72" s="340">
        <f t="shared" si="21"/>
        <v>0</v>
      </c>
      <c r="KC72" s="340">
        <f t="shared" si="21"/>
        <v>0</v>
      </c>
      <c r="KD72" s="340">
        <f t="shared" si="21"/>
        <v>0</v>
      </c>
      <c r="KE72" s="340">
        <f t="shared" si="21"/>
        <v>0</v>
      </c>
      <c r="KF72" s="340">
        <f t="shared" si="21"/>
        <v>0</v>
      </c>
      <c r="KG72" s="340">
        <f t="shared" si="21"/>
        <v>0</v>
      </c>
      <c r="KH72" s="340">
        <f t="shared" si="21"/>
        <v>0</v>
      </c>
      <c r="KI72" s="340">
        <f t="shared" si="21"/>
        <v>0</v>
      </c>
      <c r="KJ72" s="340">
        <f t="shared" si="21"/>
        <v>0</v>
      </c>
      <c r="KK72" s="340">
        <f t="shared" si="21"/>
        <v>0</v>
      </c>
      <c r="KL72" s="340">
        <f t="shared" si="21"/>
        <v>0</v>
      </c>
      <c r="KM72" s="340">
        <f t="shared" si="21"/>
        <v>0</v>
      </c>
      <c r="KN72" s="340">
        <f t="shared" si="21"/>
        <v>0</v>
      </c>
      <c r="KO72" s="340">
        <f t="shared" si="21"/>
        <v>0</v>
      </c>
      <c r="KP72" s="340">
        <f t="shared" si="21"/>
        <v>0</v>
      </c>
      <c r="KQ72" s="340">
        <f t="shared" si="21"/>
        <v>0</v>
      </c>
      <c r="KR72" s="340">
        <f t="shared" si="21"/>
        <v>0</v>
      </c>
      <c r="KS72" s="340">
        <f t="shared" si="21"/>
        <v>0</v>
      </c>
      <c r="KT72" s="340">
        <f t="shared" si="21"/>
        <v>0</v>
      </c>
      <c r="KU72" s="340">
        <f t="shared" si="21"/>
        <v>0</v>
      </c>
      <c r="KV72" s="340">
        <f t="shared" si="21"/>
        <v>0</v>
      </c>
      <c r="KW72" s="340">
        <f t="shared" si="21"/>
        <v>0</v>
      </c>
      <c r="KX72" s="340">
        <f t="shared" si="21"/>
        <v>0</v>
      </c>
      <c r="KY72" s="340">
        <f t="shared" si="21"/>
        <v>0</v>
      </c>
      <c r="KZ72" s="340">
        <f t="shared" si="21"/>
        <v>0</v>
      </c>
      <c r="LA72" s="340">
        <f t="shared" si="21"/>
        <v>0</v>
      </c>
      <c r="LB72" s="340">
        <f t="shared" si="21"/>
        <v>0</v>
      </c>
      <c r="LC72" s="340">
        <f t="shared" si="21"/>
        <v>0</v>
      </c>
      <c r="LD72" s="340">
        <f t="shared" si="21"/>
        <v>0</v>
      </c>
      <c r="LE72" s="340">
        <f t="shared" si="21"/>
        <v>0</v>
      </c>
      <c r="LF72" s="340">
        <f t="shared" si="21"/>
        <v>0</v>
      </c>
      <c r="LG72" s="340">
        <f t="shared" si="21"/>
        <v>0</v>
      </c>
      <c r="LH72" s="340">
        <f t="shared" si="21"/>
        <v>0</v>
      </c>
      <c r="LI72" s="340">
        <f t="shared" si="21"/>
        <v>0</v>
      </c>
      <c r="LJ72" s="340">
        <f t="shared" si="21"/>
        <v>0</v>
      </c>
      <c r="LK72" s="340">
        <f t="shared" si="21"/>
        <v>0</v>
      </c>
      <c r="LL72" s="340">
        <f t="shared" si="21"/>
        <v>0</v>
      </c>
      <c r="LM72" s="340">
        <f t="shared" si="21"/>
        <v>0</v>
      </c>
      <c r="LN72" s="340">
        <f t="shared" ref="LN72:NY72" si="22">SUM(LN63:LN71)</f>
        <v>0</v>
      </c>
      <c r="LO72" s="340">
        <f t="shared" si="22"/>
        <v>0</v>
      </c>
      <c r="LP72" s="340">
        <f t="shared" si="22"/>
        <v>0</v>
      </c>
      <c r="LQ72" s="340">
        <f t="shared" si="22"/>
        <v>0</v>
      </c>
      <c r="LR72" s="340">
        <f t="shared" si="22"/>
        <v>0</v>
      </c>
      <c r="LS72" s="340">
        <f t="shared" si="22"/>
        <v>0</v>
      </c>
      <c r="LT72" s="340">
        <f t="shared" si="22"/>
        <v>0</v>
      </c>
      <c r="LU72" s="340">
        <f t="shared" si="22"/>
        <v>0</v>
      </c>
      <c r="LV72" s="340">
        <f t="shared" si="22"/>
        <v>0</v>
      </c>
      <c r="LW72" s="340">
        <f t="shared" si="22"/>
        <v>0</v>
      </c>
      <c r="LX72" s="340">
        <f t="shared" si="22"/>
        <v>0</v>
      </c>
      <c r="LY72" s="340">
        <f t="shared" si="22"/>
        <v>0</v>
      </c>
      <c r="LZ72" s="340">
        <f t="shared" si="22"/>
        <v>0</v>
      </c>
      <c r="MA72" s="340">
        <f t="shared" si="22"/>
        <v>0</v>
      </c>
      <c r="MB72" s="340">
        <f t="shared" si="22"/>
        <v>0</v>
      </c>
      <c r="MC72" s="340">
        <f t="shared" si="22"/>
        <v>0</v>
      </c>
      <c r="MD72" s="340">
        <f t="shared" si="22"/>
        <v>0</v>
      </c>
      <c r="ME72" s="340">
        <f t="shared" si="22"/>
        <v>0</v>
      </c>
      <c r="MF72" s="340">
        <f t="shared" si="22"/>
        <v>0</v>
      </c>
      <c r="MG72" s="340">
        <f t="shared" si="22"/>
        <v>0</v>
      </c>
      <c r="MH72" s="340">
        <f t="shared" si="22"/>
        <v>0</v>
      </c>
      <c r="MI72" s="340">
        <f t="shared" si="22"/>
        <v>0</v>
      </c>
      <c r="MJ72" s="340">
        <f t="shared" si="22"/>
        <v>0</v>
      </c>
      <c r="MK72" s="340">
        <f t="shared" si="22"/>
        <v>0</v>
      </c>
      <c r="ML72" s="340">
        <f t="shared" si="22"/>
        <v>0</v>
      </c>
      <c r="MM72" s="340">
        <f t="shared" si="22"/>
        <v>0</v>
      </c>
      <c r="MN72" s="340">
        <f t="shared" si="22"/>
        <v>0</v>
      </c>
      <c r="MO72" s="340">
        <f t="shared" si="22"/>
        <v>0</v>
      </c>
      <c r="MP72" s="340">
        <f t="shared" si="22"/>
        <v>0</v>
      </c>
      <c r="MQ72" s="340">
        <f t="shared" si="22"/>
        <v>0</v>
      </c>
      <c r="MR72" s="340">
        <f t="shared" si="22"/>
        <v>0</v>
      </c>
      <c r="MS72" s="340">
        <f t="shared" si="22"/>
        <v>0</v>
      </c>
      <c r="MT72" s="340">
        <f t="shared" si="22"/>
        <v>0</v>
      </c>
      <c r="MU72" s="340">
        <f t="shared" si="22"/>
        <v>0</v>
      </c>
      <c r="MV72" s="340">
        <f t="shared" si="22"/>
        <v>0</v>
      </c>
      <c r="MW72" s="340">
        <f t="shared" si="22"/>
        <v>0</v>
      </c>
      <c r="MX72" s="340">
        <f t="shared" si="22"/>
        <v>0</v>
      </c>
      <c r="MY72" s="340">
        <f t="shared" si="22"/>
        <v>0</v>
      </c>
      <c r="MZ72" s="340">
        <f t="shared" si="22"/>
        <v>0</v>
      </c>
      <c r="NA72" s="340">
        <f t="shared" si="22"/>
        <v>0</v>
      </c>
      <c r="NB72" s="340">
        <f t="shared" si="22"/>
        <v>0</v>
      </c>
      <c r="NC72" s="340">
        <f t="shared" si="22"/>
        <v>0</v>
      </c>
      <c r="ND72" s="340">
        <f t="shared" si="22"/>
        <v>0</v>
      </c>
      <c r="NE72" s="340">
        <f t="shared" si="22"/>
        <v>0</v>
      </c>
      <c r="NF72" s="340">
        <f t="shared" si="22"/>
        <v>0</v>
      </c>
      <c r="NG72" s="340">
        <f t="shared" si="22"/>
        <v>0</v>
      </c>
      <c r="NH72" s="340">
        <f t="shared" si="22"/>
        <v>0</v>
      </c>
      <c r="NI72" s="340">
        <f t="shared" si="22"/>
        <v>0</v>
      </c>
      <c r="NJ72" s="340">
        <f t="shared" si="22"/>
        <v>0</v>
      </c>
      <c r="NK72" s="340">
        <f t="shared" si="22"/>
        <v>0</v>
      </c>
      <c r="NL72" s="340">
        <f t="shared" si="22"/>
        <v>0</v>
      </c>
      <c r="NM72" s="340">
        <f t="shared" si="22"/>
        <v>0</v>
      </c>
      <c r="NN72" s="340">
        <f t="shared" si="22"/>
        <v>0</v>
      </c>
      <c r="NO72" s="340">
        <f t="shared" si="22"/>
        <v>0</v>
      </c>
      <c r="NP72" s="340">
        <f t="shared" si="22"/>
        <v>0</v>
      </c>
      <c r="NQ72" s="340">
        <f t="shared" si="22"/>
        <v>0</v>
      </c>
      <c r="NR72" s="340">
        <f t="shared" si="22"/>
        <v>0</v>
      </c>
      <c r="NS72" s="340">
        <f t="shared" si="22"/>
        <v>0</v>
      </c>
      <c r="NT72" s="340">
        <f t="shared" si="22"/>
        <v>0</v>
      </c>
      <c r="NU72" s="340">
        <f t="shared" si="22"/>
        <v>0</v>
      </c>
      <c r="NV72" s="340">
        <f t="shared" si="22"/>
        <v>0</v>
      </c>
      <c r="NW72" s="340">
        <f t="shared" si="22"/>
        <v>0</v>
      </c>
      <c r="NX72" s="340">
        <f t="shared" si="22"/>
        <v>0</v>
      </c>
      <c r="NY72" s="340">
        <f t="shared" si="22"/>
        <v>0</v>
      </c>
      <c r="NZ72" s="340">
        <f t="shared" ref="NZ72:OK72" si="23">SUM(NZ63:NZ71)</f>
        <v>0</v>
      </c>
      <c r="OA72" s="340">
        <f t="shared" si="23"/>
        <v>0</v>
      </c>
      <c r="OB72" s="340">
        <f t="shared" si="23"/>
        <v>0</v>
      </c>
      <c r="OC72" s="340">
        <f t="shared" si="23"/>
        <v>0</v>
      </c>
      <c r="OD72" s="340">
        <f t="shared" si="23"/>
        <v>0</v>
      </c>
      <c r="OE72" s="340">
        <f t="shared" si="23"/>
        <v>0</v>
      </c>
      <c r="OF72" s="340">
        <f t="shared" si="23"/>
        <v>0</v>
      </c>
      <c r="OG72" s="340">
        <f t="shared" si="23"/>
        <v>0</v>
      </c>
      <c r="OH72" s="340">
        <f t="shared" si="23"/>
        <v>0</v>
      </c>
      <c r="OI72" s="340">
        <f t="shared" si="23"/>
        <v>0</v>
      </c>
      <c r="OJ72" s="340">
        <f t="shared" si="23"/>
        <v>0</v>
      </c>
      <c r="OK72" s="340">
        <f t="shared" si="23"/>
        <v>0</v>
      </c>
      <c r="OL72" s="336">
        <f t="shared" si="16"/>
        <v>152864.71000000002</v>
      </c>
    </row>
    <row r="73" spans="1:402" s="341" customFormat="1" ht="12.75" customHeight="1">
      <c r="D73" s="342" t="s">
        <v>483</v>
      </c>
      <c r="E73" s="343">
        <f>E60+E62+E72</f>
        <v>0</v>
      </c>
      <c r="F73" s="343">
        <f t="shared" ref="F73:BQ73" si="24">F60+F62+F72</f>
        <v>0</v>
      </c>
      <c r="G73" s="343">
        <f t="shared" si="24"/>
        <v>0</v>
      </c>
      <c r="H73" s="343">
        <f t="shared" si="24"/>
        <v>0</v>
      </c>
      <c r="I73" s="343">
        <f t="shared" si="24"/>
        <v>0</v>
      </c>
      <c r="J73" s="343">
        <f t="shared" si="24"/>
        <v>0</v>
      </c>
      <c r="K73" s="343">
        <f t="shared" si="24"/>
        <v>0</v>
      </c>
      <c r="L73" s="343">
        <f t="shared" si="24"/>
        <v>0</v>
      </c>
      <c r="M73" s="343">
        <f t="shared" si="24"/>
        <v>0</v>
      </c>
      <c r="N73" s="343">
        <f t="shared" si="24"/>
        <v>0</v>
      </c>
      <c r="O73" s="343">
        <f t="shared" si="24"/>
        <v>0</v>
      </c>
      <c r="P73" s="343">
        <f t="shared" si="24"/>
        <v>0</v>
      </c>
      <c r="Q73" s="343">
        <f t="shared" si="24"/>
        <v>0</v>
      </c>
      <c r="R73" s="343">
        <f t="shared" si="24"/>
        <v>0</v>
      </c>
      <c r="S73" s="343">
        <f t="shared" si="24"/>
        <v>0</v>
      </c>
      <c r="T73" s="343">
        <f t="shared" si="24"/>
        <v>0</v>
      </c>
      <c r="U73" s="343">
        <f t="shared" si="24"/>
        <v>0</v>
      </c>
      <c r="V73" s="343">
        <f t="shared" si="24"/>
        <v>0</v>
      </c>
      <c r="W73" s="343">
        <f t="shared" si="24"/>
        <v>0</v>
      </c>
      <c r="X73" s="343">
        <f t="shared" si="24"/>
        <v>0</v>
      </c>
      <c r="Y73" s="343">
        <f t="shared" si="24"/>
        <v>0</v>
      </c>
      <c r="Z73" s="343">
        <f t="shared" si="24"/>
        <v>0</v>
      </c>
      <c r="AA73" s="343">
        <f t="shared" si="24"/>
        <v>0</v>
      </c>
      <c r="AB73" s="343">
        <f t="shared" si="24"/>
        <v>0</v>
      </c>
      <c r="AC73" s="343">
        <f t="shared" si="24"/>
        <v>0</v>
      </c>
      <c r="AD73" s="343">
        <f t="shared" si="24"/>
        <v>0</v>
      </c>
      <c r="AE73" s="343">
        <f t="shared" si="24"/>
        <v>0</v>
      </c>
      <c r="AF73" s="343">
        <f t="shared" si="24"/>
        <v>0</v>
      </c>
      <c r="AG73" s="343">
        <f t="shared" si="24"/>
        <v>0</v>
      </c>
      <c r="AH73" s="343">
        <f t="shared" si="24"/>
        <v>0</v>
      </c>
      <c r="AI73" s="343">
        <f t="shared" si="24"/>
        <v>0</v>
      </c>
      <c r="AJ73" s="343">
        <f t="shared" si="24"/>
        <v>0</v>
      </c>
      <c r="AK73" s="343">
        <f t="shared" si="24"/>
        <v>0</v>
      </c>
      <c r="AL73" s="343">
        <f t="shared" si="24"/>
        <v>0</v>
      </c>
      <c r="AM73" s="343">
        <f t="shared" si="24"/>
        <v>0</v>
      </c>
      <c r="AN73" s="343">
        <f t="shared" si="24"/>
        <v>0</v>
      </c>
      <c r="AO73" s="343">
        <f t="shared" si="24"/>
        <v>573233.54000000027</v>
      </c>
      <c r="AP73" s="343">
        <f t="shared" si="24"/>
        <v>574785.19000000018</v>
      </c>
      <c r="AQ73" s="343">
        <f t="shared" si="24"/>
        <v>568794.11999999976</v>
      </c>
      <c r="AR73" s="343">
        <f t="shared" si="24"/>
        <v>574163.3899999999</v>
      </c>
      <c r="AS73" s="343">
        <f t="shared" si="24"/>
        <v>565219.09999999986</v>
      </c>
      <c r="AT73" s="343">
        <f t="shared" si="24"/>
        <v>570290.23</v>
      </c>
      <c r="AU73" s="343">
        <f t="shared" si="24"/>
        <v>562367.70000000007</v>
      </c>
      <c r="AV73" s="343">
        <f t="shared" si="24"/>
        <v>550093.23</v>
      </c>
      <c r="AW73" s="343">
        <f t="shared" si="24"/>
        <v>565578.39</v>
      </c>
      <c r="AX73" s="343">
        <f t="shared" si="24"/>
        <v>542219.43999999994</v>
      </c>
      <c r="AY73" s="343">
        <f t="shared" si="24"/>
        <v>542711.44000000006</v>
      </c>
      <c r="AZ73" s="343">
        <f t="shared" si="24"/>
        <v>548447.7699999999</v>
      </c>
      <c r="BA73" s="343">
        <f t="shared" si="24"/>
        <v>0</v>
      </c>
      <c r="BB73" s="343">
        <f t="shared" si="24"/>
        <v>0</v>
      </c>
      <c r="BC73" s="343">
        <f t="shared" si="24"/>
        <v>0</v>
      </c>
      <c r="BD73" s="343">
        <f t="shared" si="24"/>
        <v>0</v>
      </c>
      <c r="BE73" s="343">
        <f t="shared" si="24"/>
        <v>0</v>
      </c>
      <c r="BF73" s="343">
        <f t="shared" si="24"/>
        <v>0</v>
      </c>
      <c r="BG73" s="343">
        <f t="shared" si="24"/>
        <v>0</v>
      </c>
      <c r="BH73" s="343">
        <f t="shared" si="24"/>
        <v>0</v>
      </c>
      <c r="BI73" s="343">
        <f t="shared" si="24"/>
        <v>0</v>
      </c>
      <c r="BJ73" s="343">
        <f t="shared" si="24"/>
        <v>0</v>
      </c>
      <c r="BK73" s="343">
        <f t="shared" si="24"/>
        <v>0</v>
      </c>
      <c r="BL73" s="343">
        <f t="shared" si="24"/>
        <v>0</v>
      </c>
      <c r="BM73" s="343">
        <f t="shared" si="24"/>
        <v>0</v>
      </c>
      <c r="BN73" s="343">
        <f t="shared" si="24"/>
        <v>0</v>
      </c>
      <c r="BO73" s="343">
        <f t="shared" si="24"/>
        <v>0</v>
      </c>
      <c r="BP73" s="343">
        <f t="shared" si="24"/>
        <v>0</v>
      </c>
      <c r="BQ73" s="343">
        <f t="shared" si="24"/>
        <v>0</v>
      </c>
      <c r="BR73" s="343">
        <f t="shared" ref="BR73:EC73" si="25">BR60+BR62+BR72</f>
        <v>0</v>
      </c>
      <c r="BS73" s="343">
        <f t="shared" si="25"/>
        <v>0</v>
      </c>
      <c r="BT73" s="343">
        <f t="shared" si="25"/>
        <v>0</v>
      </c>
      <c r="BU73" s="343">
        <f t="shared" si="25"/>
        <v>0</v>
      </c>
      <c r="BV73" s="343">
        <f t="shared" si="25"/>
        <v>0</v>
      </c>
      <c r="BW73" s="343">
        <f t="shared" si="25"/>
        <v>0</v>
      </c>
      <c r="BX73" s="343">
        <f t="shared" si="25"/>
        <v>0</v>
      </c>
      <c r="BY73" s="343">
        <f t="shared" si="25"/>
        <v>0</v>
      </c>
      <c r="BZ73" s="343">
        <f t="shared" si="25"/>
        <v>0</v>
      </c>
      <c r="CA73" s="343">
        <f t="shared" si="25"/>
        <v>0</v>
      </c>
      <c r="CB73" s="343">
        <f t="shared" si="25"/>
        <v>0</v>
      </c>
      <c r="CC73" s="343">
        <f t="shared" si="25"/>
        <v>0</v>
      </c>
      <c r="CD73" s="343">
        <f t="shared" si="25"/>
        <v>0</v>
      </c>
      <c r="CE73" s="343">
        <f t="shared" si="25"/>
        <v>0</v>
      </c>
      <c r="CF73" s="343">
        <f t="shared" si="25"/>
        <v>0</v>
      </c>
      <c r="CG73" s="343">
        <f t="shared" si="25"/>
        <v>0</v>
      </c>
      <c r="CH73" s="343">
        <f t="shared" si="25"/>
        <v>0</v>
      </c>
      <c r="CI73" s="343">
        <f t="shared" si="25"/>
        <v>0</v>
      </c>
      <c r="CJ73" s="343">
        <f t="shared" si="25"/>
        <v>0</v>
      </c>
      <c r="CK73" s="343">
        <f t="shared" si="25"/>
        <v>0</v>
      </c>
      <c r="CL73" s="343">
        <f t="shared" si="25"/>
        <v>0</v>
      </c>
      <c r="CM73" s="343">
        <f t="shared" si="25"/>
        <v>0</v>
      </c>
      <c r="CN73" s="343">
        <f t="shared" si="25"/>
        <v>0</v>
      </c>
      <c r="CO73" s="343">
        <f t="shared" si="25"/>
        <v>0</v>
      </c>
      <c r="CP73" s="343">
        <f t="shared" si="25"/>
        <v>0</v>
      </c>
      <c r="CQ73" s="343">
        <f t="shared" si="25"/>
        <v>0</v>
      </c>
      <c r="CR73" s="343">
        <f t="shared" si="25"/>
        <v>0</v>
      </c>
      <c r="CS73" s="343">
        <f t="shared" si="25"/>
        <v>0</v>
      </c>
      <c r="CT73" s="343">
        <f t="shared" si="25"/>
        <v>0</v>
      </c>
      <c r="CU73" s="343">
        <f t="shared" si="25"/>
        <v>0</v>
      </c>
      <c r="CV73" s="343">
        <f t="shared" si="25"/>
        <v>0</v>
      </c>
      <c r="CW73" s="343">
        <f t="shared" si="25"/>
        <v>0</v>
      </c>
      <c r="CX73" s="343">
        <f t="shared" si="25"/>
        <v>0</v>
      </c>
      <c r="CY73" s="343">
        <f t="shared" si="25"/>
        <v>0</v>
      </c>
      <c r="CZ73" s="343">
        <f t="shared" si="25"/>
        <v>0</v>
      </c>
      <c r="DA73" s="343">
        <f t="shared" si="25"/>
        <v>0</v>
      </c>
      <c r="DB73" s="343">
        <f t="shared" si="25"/>
        <v>0</v>
      </c>
      <c r="DC73" s="343">
        <f t="shared" si="25"/>
        <v>0</v>
      </c>
      <c r="DD73" s="343">
        <f t="shared" si="25"/>
        <v>0</v>
      </c>
      <c r="DE73" s="343">
        <f t="shared" si="25"/>
        <v>0</v>
      </c>
      <c r="DF73" s="343">
        <f t="shared" si="25"/>
        <v>0</v>
      </c>
      <c r="DG73" s="343">
        <f t="shared" si="25"/>
        <v>0</v>
      </c>
      <c r="DH73" s="343">
        <f t="shared" si="25"/>
        <v>0</v>
      </c>
      <c r="DI73" s="343">
        <f t="shared" si="25"/>
        <v>16496.32</v>
      </c>
      <c r="DJ73" s="343">
        <f t="shared" si="25"/>
        <v>16705.890000000003</v>
      </c>
      <c r="DK73" s="343">
        <f t="shared" si="25"/>
        <v>16316.669999999996</v>
      </c>
      <c r="DL73" s="343">
        <f t="shared" si="25"/>
        <v>16483.569999999996</v>
      </c>
      <c r="DM73" s="343">
        <f t="shared" si="25"/>
        <v>16138.309999999998</v>
      </c>
      <c r="DN73" s="343">
        <f t="shared" si="25"/>
        <v>16216.059999999998</v>
      </c>
      <c r="DO73" s="343">
        <f t="shared" si="25"/>
        <v>16056.869999999999</v>
      </c>
      <c r="DP73" s="343">
        <f t="shared" si="25"/>
        <v>16139.940000000002</v>
      </c>
      <c r="DQ73" s="343">
        <f t="shared" si="25"/>
        <v>17427.229999999996</v>
      </c>
      <c r="DR73" s="343">
        <f t="shared" si="25"/>
        <v>16159.900000000003</v>
      </c>
      <c r="DS73" s="343">
        <f t="shared" si="25"/>
        <v>16276.630000000001</v>
      </c>
      <c r="DT73" s="343">
        <f t="shared" si="25"/>
        <v>18681.839999999997</v>
      </c>
      <c r="DU73" s="343">
        <f t="shared" si="25"/>
        <v>7910.4999999999991</v>
      </c>
      <c r="DV73" s="343">
        <f t="shared" si="25"/>
        <v>7923.6599999999989</v>
      </c>
      <c r="DW73" s="343">
        <f t="shared" si="25"/>
        <v>7835.9899999999989</v>
      </c>
      <c r="DX73" s="343">
        <f t="shared" si="25"/>
        <v>7914.9700000000012</v>
      </c>
      <c r="DY73" s="343">
        <f t="shared" si="25"/>
        <v>7791.5700000000006</v>
      </c>
      <c r="DZ73" s="343">
        <f t="shared" si="25"/>
        <v>7866.33</v>
      </c>
      <c r="EA73" s="343">
        <f t="shared" si="25"/>
        <v>7755.36</v>
      </c>
      <c r="EB73" s="343">
        <f t="shared" si="25"/>
        <v>7579.6699999999992</v>
      </c>
      <c r="EC73" s="343">
        <f t="shared" si="25"/>
        <v>7800.3000000000011</v>
      </c>
      <c r="ED73" s="343">
        <f t="shared" ref="ED73:GO73" si="26">ED60+ED62+ED72</f>
        <v>7471.4900000000025</v>
      </c>
      <c r="EE73" s="343">
        <f t="shared" si="26"/>
        <v>7478.2499999999982</v>
      </c>
      <c r="EF73" s="343">
        <f t="shared" si="26"/>
        <v>7564.1799999999994</v>
      </c>
      <c r="EG73" s="343">
        <f t="shared" si="26"/>
        <v>0</v>
      </c>
      <c r="EH73" s="343">
        <f t="shared" si="26"/>
        <v>0</v>
      </c>
      <c r="EI73" s="343">
        <f t="shared" si="26"/>
        <v>0</v>
      </c>
      <c r="EJ73" s="343">
        <f t="shared" si="26"/>
        <v>0</v>
      </c>
      <c r="EK73" s="343">
        <f t="shared" si="26"/>
        <v>0</v>
      </c>
      <c r="EL73" s="343">
        <f t="shared" si="26"/>
        <v>0</v>
      </c>
      <c r="EM73" s="343">
        <f t="shared" si="26"/>
        <v>0</v>
      </c>
      <c r="EN73" s="343">
        <f t="shared" si="26"/>
        <v>0</v>
      </c>
      <c r="EO73" s="343">
        <f t="shared" si="26"/>
        <v>0</v>
      </c>
      <c r="EP73" s="343">
        <f t="shared" si="26"/>
        <v>0</v>
      </c>
      <c r="EQ73" s="343">
        <f t="shared" si="26"/>
        <v>0</v>
      </c>
      <c r="ER73" s="343">
        <f t="shared" si="26"/>
        <v>0</v>
      </c>
      <c r="ES73" s="343">
        <f t="shared" si="26"/>
        <v>0</v>
      </c>
      <c r="ET73" s="343">
        <f t="shared" si="26"/>
        <v>0</v>
      </c>
      <c r="EU73" s="343">
        <f t="shared" si="26"/>
        <v>0</v>
      </c>
      <c r="EV73" s="343">
        <f t="shared" si="26"/>
        <v>0</v>
      </c>
      <c r="EW73" s="343">
        <f t="shared" si="26"/>
        <v>0</v>
      </c>
      <c r="EX73" s="343">
        <f t="shared" si="26"/>
        <v>0</v>
      </c>
      <c r="EY73" s="343">
        <f t="shared" si="26"/>
        <v>0</v>
      </c>
      <c r="EZ73" s="343">
        <f t="shared" si="26"/>
        <v>0</v>
      </c>
      <c r="FA73" s="343">
        <f t="shared" si="26"/>
        <v>0</v>
      </c>
      <c r="FB73" s="343">
        <f t="shared" si="26"/>
        <v>0</v>
      </c>
      <c r="FC73" s="343">
        <f t="shared" si="26"/>
        <v>0</v>
      </c>
      <c r="FD73" s="343">
        <f t="shared" si="26"/>
        <v>0</v>
      </c>
      <c r="FE73" s="343">
        <f t="shared" si="26"/>
        <v>0</v>
      </c>
      <c r="FF73" s="343">
        <f t="shared" si="26"/>
        <v>0</v>
      </c>
      <c r="FG73" s="343">
        <f t="shared" si="26"/>
        <v>0</v>
      </c>
      <c r="FH73" s="343">
        <f t="shared" si="26"/>
        <v>0</v>
      </c>
      <c r="FI73" s="343">
        <f t="shared" si="26"/>
        <v>0</v>
      </c>
      <c r="FJ73" s="343">
        <f t="shared" si="26"/>
        <v>0</v>
      </c>
      <c r="FK73" s="343">
        <f t="shared" si="26"/>
        <v>0</v>
      </c>
      <c r="FL73" s="343">
        <f t="shared" si="26"/>
        <v>0</v>
      </c>
      <c r="FM73" s="343">
        <f t="shared" si="26"/>
        <v>0</v>
      </c>
      <c r="FN73" s="343">
        <f t="shared" si="26"/>
        <v>0</v>
      </c>
      <c r="FO73" s="343">
        <f t="shared" si="26"/>
        <v>0</v>
      </c>
      <c r="FP73" s="343">
        <f t="shared" si="26"/>
        <v>0</v>
      </c>
      <c r="FQ73" s="343">
        <f t="shared" si="26"/>
        <v>0</v>
      </c>
      <c r="FR73" s="343">
        <f t="shared" si="26"/>
        <v>0</v>
      </c>
      <c r="FS73" s="343">
        <f t="shared" si="26"/>
        <v>0</v>
      </c>
      <c r="FT73" s="343">
        <f t="shared" si="26"/>
        <v>0</v>
      </c>
      <c r="FU73" s="343">
        <f t="shared" si="26"/>
        <v>0</v>
      </c>
      <c r="FV73" s="343">
        <f t="shared" si="26"/>
        <v>0</v>
      </c>
      <c r="FW73" s="343">
        <f t="shared" si="26"/>
        <v>0</v>
      </c>
      <c r="FX73" s="343">
        <f t="shared" si="26"/>
        <v>0</v>
      </c>
      <c r="FY73" s="343">
        <f t="shared" si="26"/>
        <v>0</v>
      </c>
      <c r="FZ73" s="343">
        <f t="shared" si="26"/>
        <v>0</v>
      </c>
      <c r="GA73" s="343">
        <f t="shared" si="26"/>
        <v>0</v>
      </c>
      <c r="GB73" s="343">
        <f t="shared" si="26"/>
        <v>0</v>
      </c>
      <c r="GC73" s="343">
        <f t="shared" si="26"/>
        <v>824172.50000000012</v>
      </c>
      <c r="GD73" s="343">
        <f t="shared" si="26"/>
        <v>822799.29000000015</v>
      </c>
      <c r="GE73" s="343">
        <f t="shared" si="26"/>
        <v>819473.94000000018</v>
      </c>
      <c r="GF73" s="343">
        <f t="shared" si="26"/>
        <v>856802.75999999989</v>
      </c>
      <c r="GG73" s="343">
        <f t="shared" si="26"/>
        <v>853231.32999999984</v>
      </c>
      <c r="GH73" s="343">
        <f t="shared" si="26"/>
        <v>775310.01000000013</v>
      </c>
      <c r="GI73" s="343">
        <f t="shared" si="26"/>
        <v>774582.58999999973</v>
      </c>
      <c r="GJ73" s="343">
        <f t="shared" si="26"/>
        <v>741175.86999999988</v>
      </c>
      <c r="GK73" s="343">
        <f t="shared" si="26"/>
        <v>747235.06000000017</v>
      </c>
      <c r="GL73" s="343">
        <f t="shared" si="26"/>
        <v>741085.07000000007</v>
      </c>
      <c r="GM73" s="343">
        <f t="shared" si="26"/>
        <v>741322.42</v>
      </c>
      <c r="GN73" s="343">
        <f t="shared" si="26"/>
        <v>747716.71999999986</v>
      </c>
      <c r="GO73" s="343">
        <f t="shared" si="26"/>
        <v>58494.140000000007</v>
      </c>
      <c r="GP73" s="343">
        <f t="shared" ref="GP73:JA73" si="27">GP60+GP62+GP72</f>
        <v>59238.34</v>
      </c>
      <c r="GQ73" s="343">
        <f t="shared" si="27"/>
        <v>58167.44</v>
      </c>
      <c r="GR73" s="343">
        <f t="shared" si="27"/>
        <v>58762.579999999994</v>
      </c>
      <c r="GS73" s="343">
        <f t="shared" si="27"/>
        <v>57531.619999999995</v>
      </c>
      <c r="GT73" s="343">
        <f t="shared" si="27"/>
        <v>56462.409999999996</v>
      </c>
      <c r="GU73" s="343">
        <f t="shared" si="27"/>
        <v>55747.119999999995</v>
      </c>
      <c r="GV73" s="343">
        <f t="shared" si="27"/>
        <v>56046.219999999979</v>
      </c>
      <c r="GW73" s="343">
        <f t="shared" si="27"/>
        <v>60375.58</v>
      </c>
      <c r="GX73" s="343">
        <f t="shared" si="27"/>
        <v>55963.200000000012</v>
      </c>
      <c r="GY73" s="343">
        <f t="shared" si="27"/>
        <v>56365.760000000002</v>
      </c>
      <c r="GZ73" s="343">
        <f t="shared" si="27"/>
        <v>57701.109999999986</v>
      </c>
      <c r="HA73" s="343">
        <f t="shared" si="27"/>
        <v>18099.019999999997</v>
      </c>
      <c r="HB73" s="343">
        <f t="shared" si="27"/>
        <v>17296.240000000002</v>
      </c>
      <c r="HC73" s="343">
        <f t="shared" si="27"/>
        <v>17507.140000000003</v>
      </c>
      <c r="HD73" s="343">
        <f t="shared" si="27"/>
        <v>20128.249999999996</v>
      </c>
      <c r="HE73" s="343">
        <f t="shared" si="27"/>
        <v>18447.329999999998</v>
      </c>
      <c r="HF73" s="343">
        <f t="shared" si="27"/>
        <v>30257.890000000014</v>
      </c>
      <c r="HG73" s="343">
        <f t="shared" si="27"/>
        <v>32956.279999999992</v>
      </c>
      <c r="HH73" s="343">
        <f t="shared" si="27"/>
        <v>29220.059999999979</v>
      </c>
      <c r="HI73" s="343">
        <f t="shared" si="27"/>
        <v>29028.379999999994</v>
      </c>
      <c r="HJ73" s="343">
        <f t="shared" si="27"/>
        <v>24656.410000000011</v>
      </c>
      <c r="HK73" s="343">
        <f t="shared" si="27"/>
        <v>26056.46</v>
      </c>
      <c r="HL73" s="343">
        <f t="shared" si="27"/>
        <v>27201.539999999997</v>
      </c>
      <c r="HM73" s="343">
        <f t="shared" si="27"/>
        <v>0</v>
      </c>
      <c r="HN73" s="343">
        <f t="shared" si="27"/>
        <v>0</v>
      </c>
      <c r="HO73" s="343">
        <f t="shared" si="27"/>
        <v>0</v>
      </c>
      <c r="HP73" s="343">
        <f t="shared" si="27"/>
        <v>0</v>
      </c>
      <c r="HQ73" s="343">
        <f t="shared" si="27"/>
        <v>0</v>
      </c>
      <c r="HR73" s="343">
        <f t="shared" si="27"/>
        <v>0</v>
      </c>
      <c r="HS73" s="343">
        <f t="shared" si="27"/>
        <v>0</v>
      </c>
      <c r="HT73" s="343">
        <f t="shared" si="27"/>
        <v>0</v>
      </c>
      <c r="HU73" s="343">
        <f t="shared" si="27"/>
        <v>0</v>
      </c>
      <c r="HV73" s="343">
        <f t="shared" si="27"/>
        <v>0</v>
      </c>
      <c r="HW73" s="343">
        <f t="shared" si="27"/>
        <v>0</v>
      </c>
      <c r="HX73" s="343">
        <f t="shared" si="27"/>
        <v>0</v>
      </c>
      <c r="HY73" s="343">
        <f t="shared" si="27"/>
        <v>0</v>
      </c>
      <c r="HZ73" s="343">
        <f t="shared" si="27"/>
        <v>0</v>
      </c>
      <c r="IA73" s="343">
        <f t="shared" si="27"/>
        <v>0</v>
      </c>
      <c r="IB73" s="343">
        <f t="shared" si="27"/>
        <v>0</v>
      </c>
      <c r="IC73" s="343">
        <f t="shared" si="27"/>
        <v>0</v>
      </c>
      <c r="ID73" s="343">
        <f t="shared" si="27"/>
        <v>0</v>
      </c>
      <c r="IE73" s="343">
        <f t="shared" si="27"/>
        <v>0</v>
      </c>
      <c r="IF73" s="343">
        <f t="shared" si="27"/>
        <v>0</v>
      </c>
      <c r="IG73" s="343">
        <f t="shared" si="27"/>
        <v>0</v>
      </c>
      <c r="IH73" s="343">
        <f t="shared" si="27"/>
        <v>0</v>
      </c>
      <c r="II73" s="343">
        <f t="shared" si="27"/>
        <v>0</v>
      </c>
      <c r="IJ73" s="343">
        <f t="shared" si="27"/>
        <v>0</v>
      </c>
      <c r="IK73" s="343">
        <f t="shared" si="27"/>
        <v>0</v>
      </c>
      <c r="IL73" s="343">
        <f t="shared" si="27"/>
        <v>0</v>
      </c>
      <c r="IM73" s="343">
        <f t="shared" si="27"/>
        <v>0</v>
      </c>
      <c r="IN73" s="343">
        <f t="shared" si="27"/>
        <v>0</v>
      </c>
      <c r="IO73" s="343">
        <f t="shared" si="27"/>
        <v>0</v>
      </c>
      <c r="IP73" s="343">
        <f t="shared" si="27"/>
        <v>0</v>
      </c>
      <c r="IQ73" s="343">
        <f t="shared" si="27"/>
        <v>0</v>
      </c>
      <c r="IR73" s="343">
        <f t="shared" si="27"/>
        <v>0</v>
      </c>
      <c r="IS73" s="343">
        <f t="shared" si="27"/>
        <v>0</v>
      </c>
      <c r="IT73" s="343">
        <f t="shared" si="27"/>
        <v>0</v>
      </c>
      <c r="IU73" s="343">
        <f t="shared" si="27"/>
        <v>0</v>
      </c>
      <c r="IV73" s="343">
        <f t="shared" si="27"/>
        <v>0</v>
      </c>
      <c r="IW73" s="343">
        <f t="shared" si="27"/>
        <v>0</v>
      </c>
      <c r="IX73" s="343">
        <f t="shared" si="27"/>
        <v>0</v>
      </c>
      <c r="IY73" s="343">
        <f t="shared" si="27"/>
        <v>0</v>
      </c>
      <c r="IZ73" s="343">
        <f t="shared" si="27"/>
        <v>0</v>
      </c>
      <c r="JA73" s="343">
        <f t="shared" si="27"/>
        <v>0</v>
      </c>
      <c r="JB73" s="343">
        <f t="shared" ref="JB73:LM73" si="28">JB60+JB62+JB72</f>
        <v>0</v>
      </c>
      <c r="JC73" s="343">
        <f t="shared" si="28"/>
        <v>0</v>
      </c>
      <c r="JD73" s="343">
        <f t="shared" si="28"/>
        <v>0</v>
      </c>
      <c r="JE73" s="343">
        <f t="shared" si="28"/>
        <v>0</v>
      </c>
      <c r="JF73" s="343">
        <f t="shared" si="28"/>
        <v>0</v>
      </c>
      <c r="JG73" s="343">
        <f t="shared" si="28"/>
        <v>0</v>
      </c>
      <c r="JH73" s="343">
        <f t="shared" si="28"/>
        <v>0</v>
      </c>
      <c r="JI73" s="343">
        <f t="shared" si="28"/>
        <v>16946.410000000007</v>
      </c>
      <c r="JJ73" s="343">
        <f t="shared" si="28"/>
        <v>-1090.4499999999998</v>
      </c>
      <c r="JK73" s="343">
        <f t="shared" si="28"/>
        <v>-1104.32</v>
      </c>
      <c r="JL73" s="343">
        <f t="shared" si="28"/>
        <v>-1078.57</v>
      </c>
      <c r="JM73" s="343">
        <f t="shared" si="28"/>
        <v>-1089.5999999999999</v>
      </c>
      <c r="JN73" s="343">
        <f t="shared" si="28"/>
        <v>-1066.78</v>
      </c>
      <c r="JO73" s="343">
        <f t="shared" si="28"/>
        <v>-1071.9399999999998</v>
      </c>
      <c r="JP73" s="343">
        <f t="shared" si="28"/>
        <v>-1061.4100000000001</v>
      </c>
      <c r="JQ73" s="343">
        <f t="shared" si="28"/>
        <v>-1066.8999999999999</v>
      </c>
      <c r="JR73" s="343">
        <f t="shared" si="28"/>
        <v>-1151.9900000000002</v>
      </c>
      <c r="JS73" s="343">
        <f t="shared" si="28"/>
        <v>-1068.2099999999998</v>
      </c>
      <c r="JT73" s="343">
        <f t="shared" si="28"/>
        <v>-1075.96</v>
      </c>
      <c r="JU73" s="343">
        <f t="shared" si="28"/>
        <v>-963.65</v>
      </c>
      <c r="JV73" s="343">
        <f t="shared" si="28"/>
        <v>0</v>
      </c>
      <c r="JW73" s="343">
        <f t="shared" si="28"/>
        <v>0</v>
      </c>
      <c r="JX73" s="343">
        <f t="shared" si="28"/>
        <v>0</v>
      </c>
      <c r="JY73" s="343">
        <f t="shared" si="28"/>
        <v>0</v>
      </c>
      <c r="JZ73" s="343">
        <f t="shared" si="28"/>
        <v>0</v>
      </c>
      <c r="KA73" s="343">
        <f t="shared" si="28"/>
        <v>0</v>
      </c>
      <c r="KB73" s="343">
        <f t="shared" si="28"/>
        <v>0</v>
      </c>
      <c r="KC73" s="343">
        <f t="shared" si="28"/>
        <v>0</v>
      </c>
      <c r="KD73" s="343">
        <f t="shared" si="28"/>
        <v>0</v>
      </c>
      <c r="KE73" s="343">
        <f t="shared" si="28"/>
        <v>0</v>
      </c>
      <c r="KF73" s="343">
        <f t="shared" si="28"/>
        <v>0</v>
      </c>
      <c r="KG73" s="343">
        <f t="shared" si="28"/>
        <v>0</v>
      </c>
      <c r="KH73" s="343">
        <f t="shared" si="28"/>
        <v>0</v>
      </c>
      <c r="KI73" s="343">
        <f t="shared" si="28"/>
        <v>0</v>
      </c>
      <c r="KJ73" s="343">
        <f t="shared" si="28"/>
        <v>0</v>
      </c>
      <c r="KK73" s="343">
        <f t="shared" si="28"/>
        <v>0</v>
      </c>
      <c r="KL73" s="343">
        <f t="shared" si="28"/>
        <v>0</v>
      </c>
      <c r="KM73" s="343">
        <f t="shared" si="28"/>
        <v>0</v>
      </c>
      <c r="KN73" s="343">
        <f t="shared" si="28"/>
        <v>0</v>
      </c>
      <c r="KO73" s="343">
        <f t="shared" si="28"/>
        <v>0</v>
      </c>
      <c r="KP73" s="343">
        <f t="shared" si="28"/>
        <v>0</v>
      </c>
      <c r="KQ73" s="343">
        <f t="shared" si="28"/>
        <v>0</v>
      </c>
      <c r="KR73" s="343">
        <f t="shared" si="28"/>
        <v>0</v>
      </c>
      <c r="KS73" s="343">
        <f t="shared" si="28"/>
        <v>0</v>
      </c>
      <c r="KT73" s="343">
        <f t="shared" si="28"/>
        <v>0</v>
      </c>
      <c r="KU73" s="343">
        <f t="shared" si="28"/>
        <v>0</v>
      </c>
      <c r="KV73" s="343">
        <f t="shared" si="28"/>
        <v>0</v>
      </c>
      <c r="KW73" s="343">
        <f t="shared" si="28"/>
        <v>0</v>
      </c>
      <c r="KX73" s="343">
        <f t="shared" si="28"/>
        <v>0</v>
      </c>
      <c r="KY73" s="343">
        <f t="shared" si="28"/>
        <v>0</v>
      </c>
      <c r="KZ73" s="343">
        <f t="shared" si="28"/>
        <v>0</v>
      </c>
      <c r="LA73" s="343">
        <f t="shared" si="28"/>
        <v>0</v>
      </c>
      <c r="LB73" s="343">
        <f t="shared" si="28"/>
        <v>0</v>
      </c>
      <c r="LC73" s="343">
        <f t="shared" si="28"/>
        <v>0</v>
      </c>
      <c r="LD73" s="343">
        <f t="shared" si="28"/>
        <v>0</v>
      </c>
      <c r="LE73" s="343">
        <f t="shared" si="28"/>
        <v>0</v>
      </c>
      <c r="LF73" s="343">
        <f t="shared" si="28"/>
        <v>0</v>
      </c>
      <c r="LG73" s="343">
        <f t="shared" si="28"/>
        <v>0</v>
      </c>
      <c r="LH73" s="343">
        <f t="shared" si="28"/>
        <v>0</v>
      </c>
      <c r="LI73" s="343">
        <f t="shared" si="28"/>
        <v>0</v>
      </c>
      <c r="LJ73" s="343">
        <f t="shared" si="28"/>
        <v>0</v>
      </c>
      <c r="LK73" s="343">
        <f t="shared" si="28"/>
        <v>0</v>
      </c>
      <c r="LL73" s="343">
        <f t="shared" si="28"/>
        <v>0</v>
      </c>
      <c r="LM73" s="343">
        <f t="shared" si="28"/>
        <v>0</v>
      </c>
      <c r="LN73" s="343">
        <f t="shared" ref="LN73:NY73" si="29">LN60+LN62+LN72</f>
        <v>0</v>
      </c>
      <c r="LO73" s="343">
        <f t="shared" si="29"/>
        <v>0</v>
      </c>
      <c r="LP73" s="343">
        <f t="shared" si="29"/>
        <v>0</v>
      </c>
      <c r="LQ73" s="343">
        <f t="shared" si="29"/>
        <v>0</v>
      </c>
      <c r="LR73" s="343">
        <f t="shared" si="29"/>
        <v>0</v>
      </c>
      <c r="LS73" s="343">
        <f t="shared" si="29"/>
        <v>0</v>
      </c>
      <c r="LT73" s="343">
        <f t="shared" si="29"/>
        <v>0</v>
      </c>
      <c r="LU73" s="343">
        <f t="shared" si="29"/>
        <v>0</v>
      </c>
      <c r="LV73" s="343">
        <f t="shared" si="29"/>
        <v>0</v>
      </c>
      <c r="LW73" s="343">
        <f t="shared" si="29"/>
        <v>0</v>
      </c>
      <c r="LX73" s="343">
        <f t="shared" si="29"/>
        <v>0</v>
      </c>
      <c r="LY73" s="343">
        <f t="shared" si="29"/>
        <v>0</v>
      </c>
      <c r="LZ73" s="343">
        <f t="shared" si="29"/>
        <v>0</v>
      </c>
      <c r="MA73" s="343">
        <f t="shared" si="29"/>
        <v>0</v>
      </c>
      <c r="MB73" s="343">
        <f t="shared" si="29"/>
        <v>0</v>
      </c>
      <c r="MC73" s="343">
        <f t="shared" si="29"/>
        <v>0</v>
      </c>
      <c r="MD73" s="343">
        <f t="shared" si="29"/>
        <v>0</v>
      </c>
      <c r="ME73" s="343">
        <f t="shared" si="29"/>
        <v>0</v>
      </c>
      <c r="MF73" s="343">
        <f t="shared" si="29"/>
        <v>0</v>
      </c>
      <c r="MG73" s="343">
        <f t="shared" si="29"/>
        <v>0</v>
      </c>
      <c r="MH73" s="343">
        <f t="shared" si="29"/>
        <v>0</v>
      </c>
      <c r="MI73" s="343">
        <f t="shared" si="29"/>
        <v>0</v>
      </c>
      <c r="MJ73" s="343">
        <f t="shared" si="29"/>
        <v>0</v>
      </c>
      <c r="MK73" s="343">
        <f t="shared" si="29"/>
        <v>0</v>
      </c>
      <c r="ML73" s="343">
        <f t="shared" si="29"/>
        <v>0</v>
      </c>
      <c r="MM73" s="343">
        <f t="shared" si="29"/>
        <v>0</v>
      </c>
      <c r="MN73" s="343">
        <f t="shared" si="29"/>
        <v>0</v>
      </c>
      <c r="MO73" s="343">
        <f t="shared" si="29"/>
        <v>0</v>
      </c>
      <c r="MP73" s="343">
        <f t="shared" si="29"/>
        <v>1131.04</v>
      </c>
      <c r="MQ73" s="343">
        <f t="shared" si="29"/>
        <v>270.25</v>
      </c>
      <c r="MR73" s="343">
        <f t="shared" si="29"/>
        <v>0</v>
      </c>
      <c r="MS73" s="343">
        <f t="shared" si="29"/>
        <v>0</v>
      </c>
      <c r="MT73" s="343">
        <f t="shared" si="29"/>
        <v>0</v>
      </c>
      <c r="MU73" s="343">
        <f t="shared" si="29"/>
        <v>0</v>
      </c>
      <c r="MV73" s="343">
        <f t="shared" si="29"/>
        <v>106.41</v>
      </c>
      <c r="MW73" s="343">
        <f t="shared" si="29"/>
        <v>277.43</v>
      </c>
      <c r="MX73" s="343">
        <f t="shared" si="29"/>
        <v>824.69</v>
      </c>
      <c r="MY73" s="343">
        <f t="shared" si="29"/>
        <v>1398.55</v>
      </c>
      <c r="MZ73" s="343">
        <f t="shared" si="29"/>
        <v>1318.74</v>
      </c>
      <c r="NA73" s="343">
        <f t="shared" si="29"/>
        <v>1603.77</v>
      </c>
      <c r="NB73" s="343">
        <f t="shared" si="29"/>
        <v>0</v>
      </c>
      <c r="NC73" s="343">
        <f t="shared" si="29"/>
        <v>0</v>
      </c>
      <c r="ND73" s="343">
        <f t="shared" si="29"/>
        <v>0</v>
      </c>
      <c r="NE73" s="343">
        <f t="shared" si="29"/>
        <v>0</v>
      </c>
      <c r="NF73" s="343">
        <f t="shared" si="29"/>
        <v>0</v>
      </c>
      <c r="NG73" s="343">
        <f t="shared" si="29"/>
        <v>0</v>
      </c>
      <c r="NH73" s="343">
        <f t="shared" si="29"/>
        <v>0</v>
      </c>
      <c r="NI73" s="343">
        <f t="shared" si="29"/>
        <v>0</v>
      </c>
      <c r="NJ73" s="343">
        <f t="shared" si="29"/>
        <v>0</v>
      </c>
      <c r="NK73" s="343">
        <f t="shared" si="29"/>
        <v>0</v>
      </c>
      <c r="NL73" s="343">
        <f t="shared" si="29"/>
        <v>0</v>
      </c>
      <c r="NM73" s="343">
        <f t="shared" si="29"/>
        <v>0</v>
      </c>
      <c r="NN73" s="343">
        <f t="shared" si="29"/>
        <v>0</v>
      </c>
      <c r="NO73" s="343">
        <f t="shared" si="29"/>
        <v>0</v>
      </c>
      <c r="NP73" s="343">
        <f t="shared" si="29"/>
        <v>0</v>
      </c>
      <c r="NQ73" s="343">
        <f t="shared" si="29"/>
        <v>0</v>
      </c>
      <c r="NR73" s="343">
        <f t="shared" si="29"/>
        <v>0</v>
      </c>
      <c r="NS73" s="343">
        <f t="shared" si="29"/>
        <v>0</v>
      </c>
      <c r="NT73" s="343">
        <f t="shared" si="29"/>
        <v>0</v>
      </c>
      <c r="NU73" s="343">
        <f t="shared" si="29"/>
        <v>0</v>
      </c>
      <c r="NV73" s="343">
        <f t="shared" si="29"/>
        <v>0</v>
      </c>
      <c r="NW73" s="343">
        <f t="shared" si="29"/>
        <v>0</v>
      </c>
      <c r="NX73" s="343">
        <f t="shared" si="29"/>
        <v>0</v>
      </c>
      <c r="NY73" s="343">
        <f t="shared" si="29"/>
        <v>0</v>
      </c>
      <c r="NZ73" s="343">
        <f t="shared" ref="NZ73:OL73" si="30">NZ60+NZ62+NZ72</f>
        <v>0</v>
      </c>
      <c r="OA73" s="343">
        <f t="shared" si="30"/>
        <v>0</v>
      </c>
      <c r="OB73" s="343">
        <f t="shared" si="30"/>
        <v>0</v>
      </c>
      <c r="OC73" s="343">
        <f t="shared" si="30"/>
        <v>0</v>
      </c>
      <c r="OD73" s="343">
        <f t="shared" si="30"/>
        <v>0</v>
      </c>
      <c r="OE73" s="343">
        <f t="shared" si="30"/>
        <v>0</v>
      </c>
      <c r="OF73" s="343">
        <f t="shared" si="30"/>
        <v>0</v>
      </c>
      <c r="OG73" s="343">
        <f t="shared" si="30"/>
        <v>0</v>
      </c>
      <c r="OH73" s="343">
        <f t="shared" si="30"/>
        <v>0</v>
      </c>
      <c r="OI73" s="343">
        <f t="shared" si="30"/>
        <v>0</v>
      </c>
      <c r="OJ73" s="343">
        <f t="shared" si="30"/>
        <v>0</v>
      </c>
      <c r="OK73" s="343">
        <f t="shared" si="30"/>
        <v>0</v>
      </c>
      <c r="OL73" s="343">
        <f t="shared" si="30"/>
        <v>17467500.629999999</v>
      </c>
    </row>
    <row r="74" spans="1:402" ht="12.75" customHeight="1">
      <c r="GN74" s="283" t="s">
        <v>382</v>
      </c>
      <c r="GO74" s="283" t="s">
        <v>487</v>
      </c>
      <c r="GP74" s="283" t="s">
        <v>486</v>
      </c>
    </row>
    <row r="75" spans="1:402" ht="12.75" customHeight="1">
      <c r="GN75" s="332">
        <f>SUM(GC72:GN72)</f>
        <v>68433.53</v>
      </c>
      <c r="GO75" s="332">
        <f>+'Primary Sub'!O14</f>
        <v>57797.47</v>
      </c>
      <c r="GP75" s="332">
        <f>+GN75-GO75</f>
        <v>10636.059999999998</v>
      </c>
    </row>
    <row r="76" spans="1:402" ht="12.75" customHeight="1">
      <c r="GO76" s="332"/>
    </row>
    <row r="77" spans="1:402" ht="12.75" customHeight="1">
      <c r="GN77" s="332">
        <f>SUM(GC60:GN60)</f>
        <v>9360013.1900000013</v>
      </c>
      <c r="GO77" s="332"/>
    </row>
    <row r="78" spans="1:402" ht="12.75" customHeight="1">
      <c r="GN78" s="348">
        <f>SUM(GC62:GN62)</f>
        <v>16460.839999999997</v>
      </c>
    </row>
    <row r="79" spans="1:402" ht="12.75" customHeight="1">
      <c r="GN79" s="332">
        <f>SUM(GN77:GN78)</f>
        <v>9376474.0300000012</v>
      </c>
      <c r="GO79" s="332">
        <f>+'Primary Sub'!O15</f>
        <v>8181172.6900000013</v>
      </c>
      <c r="GP79" s="332">
        <f>+GN79-GO79</f>
        <v>1195301.3399999999</v>
      </c>
    </row>
  </sheetData>
  <pageMargins left="0.7" right="0.7" top="0.75" bottom="0.75" header="0.3" footer="0.3"/>
  <pageSetup scale="56" orientation="portrait" r:id="rId1"/>
  <headerFooter>
    <oddHeader>&amp;RDocket No 56165
Schedule H
&amp;A
Page &amp;P of &amp;N</oddHeader>
  </headerFooter>
  <rowBreaks count="1" manualBreakCount="1">
    <brk id="39" max="16383" man="1"/>
  </rowBreaks>
  <colBreaks count="2" manualBreakCount="2">
    <brk id="214" max="78" man="1"/>
    <brk id="279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DD71-4F14-40F9-9A1E-B7B998F189E3}">
  <dimension ref="C2:Q28"/>
  <sheetViews>
    <sheetView topLeftCell="A2" zoomScale="80" zoomScaleNormal="80" workbookViewId="0">
      <pane xSplit="3" ySplit="1" topLeftCell="D3" activePane="bottomRight" state="frozen"/>
      <selection activeCell="U32" sqref="U32"/>
      <selection pane="topRight" activeCell="U32" sqref="U32"/>
      <selection pane="bottomLeft" activeCell="U32" sqref="U32"/>
      <selection pane="bottomRight" activeCell="U32" sqref="U32"/>
    </sheetView>
  </sheetViews>
  <sheetFormatPr defaultColWidth="9.140625" defaultRowHeight="12.75"/>
  <cols>
    <col min="1" max="2" width="9.140625" style="283"/>
    <col min="3" max="3" width="25.7109375" style="283" customWidth="1"/>
    <col min="4" max="8" width="15.42578125" style="308" bestFit="1" customWidth="1"/>
    <col min="9" max="11" width="16.140625" style="308" bestFit="1" customWidth="1"/>
    <col min="12" max="15" width="15.42578125" style="308" bestFit="1" customWidth="1"/>
    <col min="16" max="16" width="16.5703125" style="308" bestFit="1" customWidth="1"/>
    <col min="17" max="16384" width="9.140625" style="283"/>
  </cols>
  <sheetData>
    <row r="2" spans="3:17" ht="15.75">
      <c r="C2" s="300" t="s">
        <v>332</v>
      </c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0"/>
    </row>
    <row r="3" spans="3:17" ht="15.75">
      <c r="C3" s="300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0"/>
    </row>
    <row r="4" spans="3:17" ht="16.5" thickBot="1">
      <c r="C4" s="300" t="s">
        <v>333</v>
      </c>
      <c r="D4" s="302" t="s">
        <v>334</v>
      </c>
      <c r="E4" s="302" t="s">
        <v>335</v>
      </c>
      <c r="F4" s="302" t="s">
        <v>336</v>
      </c>
      <c r="G4" s="302" t="s">
        <v>337</v>
      </c>
      <c r="H4" s="302" t="s">
        <v>338</v>
      </c>
      <c r="I4" s="302" t="s">
        <v>339</v>
      </c>
      <c r="J4" s="302" t="s">
        <v>340</v>
      </c>
      <c r="K4" s="302" t="s">
        <v>341</v>
      </c>
      <c r="L4" s="302" t="s">
        <v>342</v>
      </c>
      <c r="M4" s="302" t="s">
        <v>343</v>
      </c>
      <c r="N4" s="302" t="s">
        <v>344</v>
      </c>
      <c r="O4" s="302" t="s">
        <v>345</v>
      </c>
      <c r="P4" s="303" t="s">
        <v>346</v>
      </c>
      <c r="Q4" s="300"/>
    </row>
    <row r="5" spans="3:17" ht="15.75">
      <c r="C5" s="300" t="s">
        <v>347</v>
      </c>
      <c r="D5" s="301">
        <f>[8]TCRF!C6</f>
        <v>19778786.25</v>
      </c>
      <c r="E5" s="301">
        <f>[8]TCRF!D6</f>
        <v>15268849.49</v>
      </c>
      <c r="F5" s="301">
        <f>[8]TCRF!E6</f>
        <v>17769199.309999999</v>
      </c>
      <c r="G5" s="301">
        <f>[8]TCRF!F6</f>
        <v>19056997.289999999</v>
      </c>
      <c r="H5" s="301">
        <f>[8]TCRF!G6</f>
        <v>16772343.16</v>
      </c>
      <c r="I5" s="301">
        <f>[8]TCRF!H6</f>
        <v>9265821.6099999994</v>
      </c>
      <c r="J5" s="301">
        <f>[8]TCRF!I6</f>
        <v>9129504.8499999996</v>
      </c>
      <c r="K5" s="301">
        <f>[8]TCRF!J6</f>
        <v>9968296.459999999</v>
      </c>
      <c r="L5" s="301">
        <f>[8]TCRF!K6</f>
        <v>13466435.49</v>
      </c>
      <c r="M5" s="301">
        <f>[8]TCRF!L6</f>
        <v>17587943.239999998</v>
      </c>
      <c r="N5" s="301">
        <f>[8]TCRF!M6</f>
        <v>17764373.41</v>
      </c>
      <c r="O5" s="301">
        <f>[8]TCRF!N6</f>
        <v>29387811.98</v>
      </c>
      <c r="P5" s="301">
        <f t="shared" ref="P5:P12" si="0">SUM(D5:O5)</f>
        <v>195216362.53999996</v>
      </c>
      <c r="Q5" s="300"/>
    </row>
    <row r="6" spans="3:17" ht="15.75">
      <c r="C6" s="300" t="s">
        <v>348</v>
      </c>
      <c r="D6" s="301">
        <f>[8]TCRF!C24</f>
        <v>576127.74999999988</v>
      </c>
      <c r="E6" s="301">
        <f>[8]TCRF!D24</f>
        <v>510644.60000000003</v>
      </c>
      <c r="F6" s="301">
        <f>[8]TCRF!E24</f>
        <v>541487.17999999993</v>
      </c>
      <c r="G6" s="301">
        <f>[8]TCRF!F24</f>
        <v>547860.03</v>
      </c>
      <c r="H6" s="301">
        <f>[8]TCRF!G24</f>
        <v>501889.18999999994</v>
      </c>
      <c r="I6" s="301">
        <f>[8]TCRF!H24</f>
        <v>436120.97999999992</v>
      </c>
      <c r="J6" s="301">
        <f>[8]TCRF!I24</f>
        <v>433597.66000000009</v>
      </c>
      <c r="K6" s="301">
        <f>[8]TCRF!J24</f>
        <v>454260.1999999999</v>
      </c>
      <c r="L6" s="301">
        <f>[8]TCRF!K24</f>
        <v>519176</v>
      </c>
      <c r="M6" s="301">
        <f>[8]TCRF!L24</f>
        <v>605110.12</v>
      </c>
      <c r="N6" s="301">
        <f>[8]TCRF!M24</f>
        <v>625628.0399999998</v>
      </c>
      <c r="O6" s="301">
        <f>[8]TCRF!N24</f>
        <v>779361.19000000006</v>
      </c>
      <c r="P6" s="301">
        <f t="shared" si="0"/>
        <v>6531262.9400000004</v>
      </c>
      <c r="Q6" s="300"/>
    </row>
    <row r="7" spans="3:17" ht="15.75">
      <c r="C7" s="300" t="s">
        <v>349</v>
      </c>
      <c r="D7" s="301">
        <f>[8]TCRF!C37</f>
        <v>9483385.4699999988</v>
      </c>
      <c r="E7" s="301">
        <f>[8]TCRF!D37</f>
        <v>9272153.3499999996</v>
      </c>
      <c r="F7" s="301">
        <f>[8]TCRF!E37</f>
        <v>9652565.3300000001</v>
      </c>
      <c r="G7" s="301">
        <f>[8]TCRF!F37</f>
        <v>9795105.3300000001</v>
      </c>
      <c r="H7" s="301">
        <f>[8]TCRF!G37</f>
        <v>9799876.5</v>
      </c>
      <c r="I7" s="301">
        <f>[8]TCRF!H37</f>
        <v>8175564.9500000002</v>
      </c>
      <c r="J7" s="301">
        <f>[8]TCRF!I37</f>
        <v>7972782.1000000006</v>
      </c>
      <c r="K7" s="301">
        <f>[8]TCRF!J37</f>
        <v>7838483.2699999996</v>
      </c>
      <c r="L7" s="301">
        <f>[8]TCRF!K37</f>
        <v>8189189.7999999998</v>
      </c>
      <c r="M7" s="301">
        <f>[8]TCRF!L37</f>
        <v>8622737.3000000007</v>
      </c>
      <c r="N7" s="301">
        <f>[8]TCRF!M37</f>
        <v>8739031.2799999993</v>
      </c>
      <c r="O7" s="301">
        <f>[8]TCRF!N37</f>
        <v>9960236.9000000004</v>
      </c>
      <c r="P7" s="301">
        <f t="shared" si="0"/>
        <v>107501111.58</v>
      </c>
      <c r="Q7" s="300"/>
    </row>
    <row r="8" spans="3:17" ht="15.75">
      <c r="C8" s="300" t="s">
        <v>350</v>
      </c>
      <c r="D8" s="301">
        <f>[8]TCRF!C49</f>
        <v>1205209.19</v>
      </c>
      <c r="E8" s="301">
        <f>[8]TCRF!D49</f>
        <v>1229855.55</v>
      </c>
      <c r="F8" s="301">
        <f>[8]TCRF!E49</f>
        <v>1217503.8499999999</v>
      </c>
      <c r="G8" s="301">
        <f>[8]TCRF!F49</f>
        <v>1164326.4400000002</v>
      </c>
      <c r="H8" s="301">
        <f>[8]TCRF!G49</f>
        <v>1168928.4200000002</v>
      </c>
      <c r="I8" s="301">
        <f>[8]TCRF!H49</f>
        <v>1032633.31</v>
      </c>
      <c r="J8" s="301">
        <f>[8]TCRF!I49</f>
        <v>1023132.9700000001</v>
      </c>
      <c r="K8" s="301">
        <f>[8]TCRF!J49</f>
        <v>1033808.68</v>
      </c>
      <c r="L8" s="301">
        <f>[8]TCRF!K49</f>
        <v>1032318.63</v>
      </c>
      <c r="M8" s="301">
        <f>[8]TCRF!L49</f>
        <v>1054126.5</v>
      </c>
      <c r="N8" s="301">
        <f>[8]TCRF!M49</f>
        <v>1045083.13</v>
      </c>
      <c r="O8" s="301">
        <f>[8]TCRF!N49</f>
        <v>1119825.3900000001</v>
      </c>
      <c r="P8" s="301">
        <f t="shared" si="0"/>
        <v>13326752.060000002</v>
      </c>
      <c r="Q8" s="300"/>
    </row>
    <row r="9" spans="3:17" ht="15.75">
      <c r="C9" s="300" t="s">
        <v>351</v>
      </c>
      <c r="D9" s="301">
        <f>[8]TCRF!C57</f>
        <v>247722.08000000005</v>
      </c>
      <c r="E9" s="301">
        <f>[8]TCRF!D57</f>
        <v>253431.68999999997</v>
      </c>
      <c r="F9" s="301">
        <f>[8]TCRF!E57</f>
        <v>255759.17</v>
      </c>
      <c r="G9" s="301">
        <f>[8]TCRF!F57</f>
        <v>244578.62</v>
      </c>
      <c r="H9" s="301">
        <f>[8]TCRF!G57</f>
        <v>250137.16000000006</v>
      </c>
      <c r="I9" s="301">
        <f>[8]TCRF!H57</f>
        <v>193309.41</v>
      </c>
      <c r="J9" s="301">
        <f>[8]TCRF!I57</f>
        <v>202408.38000000003</v>
      </c>
      <c r="K9" s="301">
        <f>[8]TCRF!J57</f>
        <v>199857.05</v>
      </c>
      <c r="L9" s="301">
        <f>[8]TCRF!K57</f>
        <v>191418.41</v>
      </c>
      <c r="M9" s="301">
        <f>[8]TCRF!L57</f>
        <v>215573.33000000002</v>
      </c>
      <c r="N9" s="301">
        <f>[8]TCRF!M57</f>
        <v>196150.02000000002</v>
      </c>
      <c r="O9" s="301">
        <f>[8]TCRF!N57</f>
        <v>225968.59999999998</v>
      </c>
      <c r="P9" s="301">
        <f t="shared" si="0"/>
        <v>2676313.9200000004</v>
      </c>
      <c r="Q9" s="300"/>
    </row>
    <row r="10" spans="3:17" ht="15.75">
      <c r="C10" s="300" t="s">
        <v>352</v>
      </c>
      <c r="D10" s="301">
        <f>[8]TCRF!C67</f>
        <v>3542327.8200000008</v>
      </c>
      <c r="E10" s="301">
        <f>[8]TCRF!D67</f>
        <v>3615886.65</v>
      </c>
      <c r="F10" s="301">
        <f>[8]TCRF!E67</f>
        <v>3578452.3099999996</v>
      </c>
      <c r="G10" s="301">
        <f>[8]TCRF!F67</f>
        <v>3781982.82</v>
      </c>
      <c r="H10" s="301">
        <f>[8]TCRF!G67</f>
        <v>3774272.1899999995</v>
      </c>
      <c r="I10" s="301">
        <f>[8]TCRF!H67</f>
        <v>3399895.42</v>
      </c>
      <c r="J10" s="301">
        <f>[8]TCRF!I67</f>
        <v>3357916.45</v>
      </c>
      <c r="K10" s="301">
        <f>[8]TCRF!J67</f>
        <v>3473295.4</v>
      </c>
      <c r="L10" s="301">
        <f>[8]TCRF!K67</f>
        <v>3360421.4</v>
      </c>
      <c r="M10" s="301">
        <f>[8]TCRF!L67</f>
        <v>3356766.15</v>
      </c>
      <c r="N10" s="301">
        <f>[8]TCRF!M67</f>
        <v>3369983.99</v>
      </c>
      <c r="O10" s="301">
        <f>[8]TCRF!N67</f>
        <v>3153145.6400000006</v>
      </c>
      <c r="P10" s="301">
        <f t="shared" si="0"/>
        <v>41764346.240000002</v>
      </c>
      <c r="Q10" s="300"/>
    </row>
    <row r="11" spans="3:17" ht="15.75">
      <c r="C11" s="300" t="s">
        <v>353</v>
      </c>
      <c r="D11" s="301">
        <f>[8]TCRF!C82</f>
        <v>3776162.73</v>
      </c>
      <c r="E11" s="301">
        <f>[8]TCRF!D82</f>
        <v>4187674.21</v>
      </c>
      <c r="F11" s="301">
        <f>[8]TCRF!E82</f>
        <v>5181663.68</v>
      </c>
      <c r="G11" s="301">
        <f>[8]TCRF!F82</f>
        <v>5036705.9799999995</v>
      </c>
      <c r="H11" s="301">
        <f>[8]TCRF!G82</f>
        <v>5146320.8500000006</v>
      </c>
      <c r="I11" s="301">
        <f>[8]TCRF!H82</f>
        <v>5190555.46</v>
      </c>
      <c r="J11" s="301">
        <f>[8]TCRF!I82</f>
        <v>4146199.21</v>
      </c>
      <c r="K11" s="301">
        <f>[8]TCRF!J82</f>
        <v>4492324.8399999989</v>
      </c>
      <c r="L11" s="301">
        <f>[8]TCRF!K82</f>
        <v>3997931.4299999997</v>
      </c>
      <c r="M11" s="301">
        <f>[8]TCRF!L82</f>
        <v>4598256.8199999994</v>
      </c>
      <c r="N11" s="301">
        <f>[8]TCRF!M82</f>
        <v>3667785.27</v>
      </c>
      <c r="O11" s="301">
        <f>[8]TCRF!N82</f>
        <v>3067616.55</v>
      </c>
      <c r="P11" s="301">
        <f t="shared" si="0"/>
        <v>52489197.030000001</v>
      </c>
      <c r="Q11" s="300"/>
    </row>
    <row r="12" spans="3:17" ht="15.75">
      <c r="C12" s="304" t="s">
        <v>197</v>
      </c>
      <c r="D12" s="305">
        <f>[8]TCRF!C178</f>
        <v>204407.16000000003</v>
      </c>
      <c r="E12" s="305">
        <f>[8]TCRF!D178</f>
        <v>205263.47000000006</v>
      </c>
      <c r="F12" s="305">
        <f>[8]TCRF!E178</f>
        <v>203574.75000000003</v>
      </c>
      <c r="G12" s="305">
        <f>[8]TCRF!F178</f>
        <v>203967.19000000003</v>
      </c>
      <c r="H12" s="305">
        <f>[8]TCRF!G178</f>
        <v>203072.46999999991</v>
      </c>
      <c r="I12" s="305">
        <f>[8]TCRF!H178</f>
        <v>179343.31</v>
      </c>
      <c r="J12" s="305">
        <f>[8]TCRF!I178</f>
        <v>179135.76</v>
      </c>
      <c r="K12" s="305">
        <f>[8]TCRF!J178</f>
        <v>179038.86999999997</v>
      </c>
      <c r="L12" s="305">
        <f>[8]TCRF!K178</f>
        <v>178355.09999999995</v>
      </c>
      <c r="M12" s="305">
        <f>[8]TCRF!L178</f>
        <v>178865.31000000006</v>
      </c>
      <c r="N12" s="305">
        <f>[8]TCRF!M178</f>
        <v>177617.50000000003</v>
      </c>
      <c r="O12" s="305">
        <f>[8]TCRF!N178</f>
        <v>219296.10000000003</v>
      </c>
      <c r="P12" s="305">
        <f t="shared" si="0"/>
        <v>2311936.9899999998</v>
      </c>
      <c r="Q12" s="300"/>
    </row>
    <row r="13" spans="3:17" ht="15.75">
      <c r="C13" s="300" t="s">
        <v>354</v>
      </c>
      <c r="D13" s="301">
        <f>SUM(D5:D12)</f>
        <v>38814128.449999996</v>
      </c>
      <c r="E13" s="301">
        <f t="shared" ref="E13:P13" si="1">SUM(E5:E12)</f>
        <v>34543759.009999998</v>
      </c>
      <c r="F13" s="301">
        <f t="shared" si="1"/>
        <v>38400205.579999998</v>
      </c>
      <c r="G13" s="301">
        <f t="shared" si="1"/>
        <v>39831523.699999996</v>
      </c>
      <c r="H13" s="301">
        <f t="shared" si="1"/>
        <v>37616839.940000005</v>
      </c>
      <c r="I13" s="301">
        <f t="shared" si="1"/>
        <v>27873244.449999999</v>
      </c>
      <c r="J13" s="301">
        <f t="shared" si="1"/>
        <v>26444677.379999999</v>
      </c>
      <c r="K13" s="301">
        <f t="shared" si="1"/>
        <v>27639364.77</v>
      </c>
      <c r="L13" s="301">
        <f t="shared" si="1"/>
        <v>30935246.259999998</v>
      </c>
      <c r="M13" s="301">
        <f t="shared" si="1"/>
        <v>36219378.769999996</v>
      </c>
      <c r="N13" s="301">
        <f t="shared" si="1"/>
        <v>35585652.640000001</v>
      </c>
      <c r="O13" s="301">
        <f t="shared" si="1"/>
        <v>47913262.350000001</v>
      </c>
      <c r="P13" s="301">
        <f t="shared" si="1"/>
        <v>421817283.29999995</v>
      </c>
      <c r="Q13" s="300"/>
    </row>
    <row r="14" spans="3:17" ht="15.75">
      <c r="C14" s="300"/>
      <c r="D14" s="301"/>
      <c r="E14" s="301"/>
      <c r="F14" s="301"/>
      <c r="G14" s="301"/>
      <c r="H14" s="301"/>
      <c r="I14" s="301"/>
      <c r="J14" s="301"/>
      <c r="K14" s="301"/>
      <c r="L14" s="301"/>
      <c r="M14" s="301"/>
      <c r="N14" s="301"/>
      <c r="O14" s="301"/>
      <c r="P14" s="301"/>
      <c r="Q14" s="300"/>
    </row>
    <row r="15" spans="3:17" ht="15.75">
      <c r="C15" s="300"/>
      <c r="D15" s="301"/>
      <c r="E15" s="301"/>
      <c r="F15" s="301"/>
      <c r="G15" s="301"/>
      <c r="H15" s="301"/>
      <c r="I15" s="301"/>
      <c r="J15" s="301"/>
      <c r="K15" s="301"/>
      <c r="L15" s="301"/>
      <c r="M15" s="301"/>
      <c r="N15" s="301"/>
      <c r="O15" s="301"/>
      <c r="P15" s="301"/>
      <c r="Q15" s="300"/>
    </row>
    <row r="16" spans="3:17" ht="16.5" thickBot="1">
      <c r="C16" s="300" t="s">
        <v>89</v>
      </c>
      <c r="D16" s="302" t="s">
        <v>334</v>
      </c>
      <c r="E16" s="302" t="s">
        <v>335</v>
      </c>
      <c r="F16" s="302" t="s">
        <v>336</v>
      </c>
      <c r="G16" s="302" t="s">
        <v>337</v>
      </c>
      <c r="H16" s="302" t="s">
        <v>338</v>
      </c>
      <c r="I16" s="302" t="s">
        <v>339</v>
      </c>
      <c r="J16" s="302" t="s">
        <v>340</v>
      </c>
      <c r="K16" s="302" t="s">
        <v>341</v>
      </c>
      <c r="L16" s="302" t="s">
        <v>342</v>
      </c>
      <c r="M16" s="302" t="s">
        <v>343</v>
      </c>
      <c r="N16" s="302" t="s">
        <v>344</v>
      </c>
      <c r="O16" s="302" t="s">
        <v>345</v>
      </c>
      <c r="P16" s="303" t="s">
        <v>346</v>
      </c>
      <c r="Q16" s="300"/>
    </row>
    <row r="17" spans="3:17" ht="15.75">
      <c r="C17" s="300" t="s">
        <v>347</v>
      </c>
      <c r="D17" s="301">
        <f>[8]DCRF!C6</f>
        <v>4714064.53</v>
      </c>
      <c r="E17" s="301">
        <f>[8]DCRF!D6</f>
        <v>3639169.05</v>
      </c>
      <c r="F17" s="301">
        <f>[8]DCRF!E6</f>
        <v>4235083.08</v>
      </c>
      <c r="G17" s="301">
        <f>[8]DCRF!F6</f>
        <v>4542016.88</v>
      </c>
      <c r="H17" s="301">
        <f>[8]DCRF!G6</f>
        <v>3997489.71</v>
      </c>
      <c r="I17" s="301">
        <f>[8]DCRF!H6</f>
        <v>3669588.97</v>
      </c>
      <c r="J17" s="301">
        <f>[8]DCRF!I6</f>
        <v>3615906.31</v>
      </c>
      <c r="K17" s="301">
        <f>[8]DCRF!J6</f>
        <v>3948107.02</v>
      </c>
      <c r="L17" s="301">
        <f>[8]DCRF!K6</f>
        <v>5333622.41</v>
      </c>
      <c r="M17" s="301">
        <f>[8]DCRF!L6</f>
        <v>6966030.29</v>
      </c>
      <c r="N17" s="301">
        <f>[8]DCRF!M6</f>
        <v>7035888.0899999999</v>
      </c>
      <c r="O17" s="301">
        <f>[8]DCRF!N6</f>
        <v>8916675.2199999988</v>
      </c>
      <c r="P17" s="301">
        <f t="shared" ref="P17:P24" si="2">SUM(D17:O17)</f>
        <v>60613641.559999987</v>
      </c>
      <c r="Q17" s="300"/>
    </row>
    <row r="18" spans="3:17" ht="15.75">
      <c r="C18" s="300" t="s">
        <v>348</v>
      </c>
      <c r="D18" s="301">
        <f>[8]DCRF!C20</f>
        <v>468233.27</v>
      </c>
      <c r="E18" s="301">
        <f>[8]DCRF!D20</f>
        <v>414834.99999999994</v>
      </c>
      <c r="F18" s="301">
        <f>[8]DCRF!E20</f>
        <v>439852.85</v>
      </c>
      <c r="G18" s="301">
        <f>[8]DCRF!F20</f>
        <v>445035.80999999994</v>
      </c>
      <c r="H18" s="301">
        <f>[8]DCRF!G20</f>
        <v>407692.77</v>
      </c>
      <c r="I18" s="301">
        <f>[8]DCRF!H20</f>
        <v>401516.41000000003</v>
      </c>
      <c r="J18" s="301">
        <f>[8]DCRF!I20</f>
        <v>399289.76999999996</v>
      </c>
      <c r="K18" s="301">
        <f>[8]DCRF!J20</f>
        <v>418294.37</v>
      </c>
      <c r="L18" s="301">
        <f>[8]DCRF!K20</f>
        <v>478098.57000000007</v>
      </c>
      <c r="M18" s="301">
        <f>[8]DCRF!L20</f>
        <v>557233.61</v>
      </c>
      <c r="N18" s="301">
        <f>[8]DCRF!M20</f>
        <v>576128.60000000009</v>
      </c>
      <c r="O18" s="301">
        <f>[8]DCRF!N20</f>
        <v>775892.56999999983</v>
      </c>
      <c r="P18" s="301">
        <f t="shared" si="2"/>
        <v>5782103.6000000015</v>
      </c>
      <c r="Q18" s="300"/>
    </row>
    <row r="19" spans="3:17" ht="15.75">
      <c r="C19" s="300" t="s">
        <v>349</v>
      </c>
      <c r="D19" s="301">
        <f>[8]DCRF!C33</f>
        <v>2103207.2399999998</v>
      </c>
      <c r="E19" s="301">
        <f>[8]DCRF!D33</f>
        <v>2056239.41</v>
      </c>
      <c r="F19" s="301">
        <f>[8]DCRF!E33</f>
        <v>2140216.0099999998</v>
      </c>
      <c r="G19" s="301">
        <f>[8]DCRF!F33</f>
        <v>2171755.64</v>
      </c>
      <c r="H19" s="301">
        <f>[8]DCRF!G33</f>
        <v>2173898.0100000002</v>
      </c>
      <c r="I19" s="301">
        <f>[8]DCRF!H33</f>
        <v>2139677.94</v>
      </c>
      <c r="J19" s="301">
        <f>[8]DCRF!I33</f>
        <v>2085594.66</v>
      </c>
      <c r="K19" s="301">
        <f>[8]DCRF!J33</f>
        <v>2050894.17</v>
      </c>
      <c r="L19" s="301">
        <f>[8]DCRF!K33</f>
        <v>2142832.7599999998</v>
      </c>
      <c r="M19" s="301">
        <f>[8]DCRF!L33</f>
        <v>2256185.2999999998</v>
      </c>
      <c r="N19" s="301">
        <f>[8]DCRF!M33</f>
        <v>2286867.5499999998</v>
      </c>
      <c r="O19" s="301">
        <f>[8]DCRF!N33</f>
        <v>3004839.6799999997</v>
      </c>
      <c r="P19" s="301">
        <f t="shared" si="2"/>
        <v>26612208.369999997</v>
      </c>
      <c r="Q19" s="300"/>
    </row>
    <row r="20" spans="3:17" ht="15.75">
      <c r="C20" s="300" t="s">
        <v>350</v>
      </c>
      <c r="D20" s="301">
        <f>[8]DCRF!C45</f>
        <v>285754.12</v>
      </c>
      <c r="E20" s="301">
        <f>[8]DCRF!D45</f>
        <v>279476.64</v>
      </c>
      <c r="F20" s="301">
        <f>[8]DCRF!E45</f>
        <v>273007.06999999995</v>
      </c>
      <c r="G20" s="301">
        <f>[8]DCRF!F45</f>
        <v>260993.68999999997</v>
      </c>
      <c r="H20" s="301">
        <f>[8]DCRF!G45</f>
        <v>250808.97</v>
      </c>
      <c r="I20" s="301">
        <f>[8]DCRF!H45</f>
        <v>258876.06</v>
      </c>
      <c r="J20" s="301">
        <f>[8]DCRF!I45</f>
        <v>259582.53</v>
      </c>
      <c r="K20" s="301">
        <f>[8]DCRF!J45</f>
        <v>265658.23</v>
      </c>
      <c r="L20" s="301">
        <f>[8]DCRF!K45</f>
        <v>279875.15999999997</v>
      </c>
      <c r="M20" s="301">
        <f>[8]DCRF!L45</f>
        <v>295562.40999999997</v>
      </c>
      <c r="N20" s="301">
        <f>[8]DCRF!M45</f>
        <v>312981.28000000003</v>
      </c>
      <c r="O20" s="301">
        <f>[8]DCRF!N45</f>
        <v>420103.43</v>
      </c>
      <c r="P20" s="301">
        <f t="shared" si="2"/>
        <v>3442679.5900000003</v>
      </c>
      <c r="Q20" s="300"/>
    </row>
    <row r="21" spans="3:17" ht="15.75">
      <c r="C21" s="300" t="s">
        <v>351</v>
      </c>
      <c r="D21" s="301">
        <f>[8]DCRF!C164</f>
        <v>32152.940000000002</v>
      </c>
      <c r="E21" s="301">
        <f>[8]DCRF!D164</f>
        <v>33482.15</v>
      </c>
      <c r="F21" s="301">
        <f>[8]DCRF!E164</f>
        <v>33841.530000000006</v>
      </c>
      <c r="G21" s="301">
        <f>[8]DCRF!F164</f>
        <v>32568.199999999997</v>
      </c>
      <c r="H21" s="301">
        <f>[8]DCRF!G164</f>
        <v>33385.67</v>
      </c>
      <c r="I21" s="301">
        <f>[8]DCRF!H164</f>
        <v>35986.6</v>
      </c>
      <c r="J21" s="301">
        <f>[8]DCRF!I164</f>
        <v>37099.06</v>
      </c>
      <c r="K21" s="301">
        <f>[8]DCRF!J164</f>
        <v>37858.370000000003</v>
      </c>
      <c r="L21" s="301">
        <f>[8]DCRF!K164</f>
        <v>34879.75</v>
      </c>
      <c r="M21" s="301">
        <f>[8]DCRF!L164</f>
        <v>38556.909999999996</v>
      </c>
      <c r="N21" s="301">
        <f>[8]DCRF!M164</f>
        <v>35642.769999999997</v>
      </c>
      <c r="O21" s="301">
        <f>[8]DCRF!N164</f>
        <v>46967</v>
      </c>
      <c r="P21" s="301">
        <f t="shared" si="2"/>
        <v>432420.95</v>
      </c>
      <c r="Q21" s="300"/>
    </row>
    <row r="22" spans="3:17" ht="15.75">
      <c r="C22" s="300" t="s">
        <v>352</v>
      </c>
      <c r="D22" s="301">
        <f>[8]DCRF!C174</f>
        <v>481160.46</v>
      </c>
      <c r="E22" s="301">
        <f>[8]DCRF!D174</f>
        <v>467270.18</v>
      </c>
      <c r="F22" s="301">
        <f>[8]DCRF!E174</f>
        <v>470037.69</v>
      </c>
      <c r="G22" s="301">
        <f>[8]DCRF!F174</f>
        <v>446025.22000000003</v>
      </c>
      <c r="H22" s="301">
        <f>[8]DCRF!G174</f>
        <v>458696.66000000003</v>
      </c>
      <c r="I22" s="301">
        <f>[8]DCRF!H174</f>
        <v>483025.06000000006</v>
      </c>
      <c r="J22" s="301">
        <f>[8]DCRF!I174</f>
        <v>457189.55999999994</v>
      </c>
      <c r="K22" s="301">
        <f>[8]DCRF!J174</f>
        <v>488349.85</v>
      </c>
      <c r="L22" s="301">
        <f>[8]DCRF!K174</f>
        <v>490382.59999999986</v>
      </c>
      <c r="M22" s="301">
        <f>[8]DCRF!L174</f>
        <v>497853.98000000004</v>
      </c>
      <c r="N22" s="301">
        <f>[8]DCRF!M174</f>
        <v>497772.30999999994</v>
      </c>
      <c r="O22" s="301">
        <f>[8]DCRF!N174</f>
        <v>633188.81999999995</v>
      </c>
      <c r="P22" s="301">
        <f t="shared" si="2"/>
        <v>5870952.3900000006</v>
      </c>
      <c r="Q22" s="300"/>
    </row>
    <row r="23" spans="3:17" ht="15.75">
      <c r="C23" s="300" t="s">
        <v>355</v>
      </c>
      <c r="D23" s="301">
        <f>[8]DCRF!C154</f>
        <v>5640.3099999999995</v>
      </c>
      <c r="E23" s="301">
        <f>[8]DCRF!D154</f>
        <v>6333.47</v>
      </c>
      <c r="F23" s="301">
        <f>[8]DCRF!E154</f>
        <v>6624.1699999999992</v>
      </c>
      <c r="G23" s="301">
        <f>[8]DCRF!F154</f>
        <v>6404.170000000001</v>
      </c>
      <c r="H23" s="301">
        <f>[8]DCRF!G154</f>
        <v>6298.59</v>
      </c>
      <c r="I23" s="301">
        <f>[8]DCRF!H154</f>
        <v>7699.1899999999978</v>
      </c>
      <c r="J23" s="301">
        <f>[8]DCRF!I154</f>
        <v>6091.6100000000006</v>
      </c>
      <c r="K23" s="301">
        <f>[8]DCRF!J154</f>
        <v>7945.7699999999995</v>
      </c>
      <c r="L23" s="301">
        <f>[8]DCRF!K154</f>
        <v>6761.1500000000005</v>
      </c>
      <c r="M23" s="301">
        <f>[8]DCRF!L154</f>
        <v>7427.99</v>
      </c>
      <c r="N23" s="301">
        <f>[8]DCRF!M154</f>
        <v>6786.48</v>
      </c>
      <c r="O23" s="301">
        <f>[8]DCRF!N154</f>
        <v>6701.06</v>
      </c>
      <c r="P23" s="301">
        <f t="shared" si="2"/>
        <v>80713.959999999992</v>
      </c>
      <c r="Q23" s="300"/>
    </row>
    <row r="24" spans="3:17" ht="15.75">
      <c r="C24" s="304" t="s">
        <v>197</v>
      </c>
      <c r="D24" s="305">
        <f>[8]DCRF!C137</f>
        <v>165981.79000000004</v>
      </c>
      <c r="E24" s="305">
        <f>[8]DCRF!D137</f>
        <v>166675.81000000003</v>
      </c>
      <c r="F24" s="305">
        <f>[8]DCRF!E137</f>
        <v>165292.60999999999</v>
      </c>
      <c r="G24" s="305">
        <f>[8]DCRF!F137</f>
        <v>165615.14999999997</v>
      </c>
      <c r="H24" s="305">
        <f>[8]DCRF!G137</f>
        <v>164896.01999999999</v>
      </c>
      <c r="I24" s="305">
        <f>[8]DCRF!H137</f>
        <v>165166.1</v>
      </c>
      <c r="J24" s="305">
        <f>[8]DCRF!I137</f>
        <v>164954.85000000003</v>
      </c>
      <c r="K24" s="305">
        <f>[8]DCRF!J137</f>
        <v>164864.99000000005</v>
      </c>
      <c r="L24" s="305">
        <f>[8]DCRF!K137</f>
        <v>164235.83000000002</v>
      </c>
      <c r="M24" s="305">
        <f>[8]DCRF!L137</f>
        <v>164705.25999999995</v>
      </c>
      <c r="N24" s="305">
        <f>[8]DCRF!M137</f>
        <v>163556.50000000006</v>
      </c>
      <c r="O24" s="305">
        <f>[8]DCRF!N137</f>
        <v>217198.56</v>
      </c>
      <c r="P24" s="305">
        <f t="shared" si="2"/>
        <v>2033143.4700000002</v>
      </c>
      <c r="Q24" s="300"/>
    </row>
    <row r="25" spans="3:17" ht="15.75">
      <c r="C25" s="300" t="s">
        <v>356</v>
      </c>
      <c r="D25" s="301">
        <f>SUM(D17:D24)</f>
        <v>8256194.6600000011</v>
      </c>
      <c r="E25" s="301">
        <f t="shared" ref="E25:P25" si="3">SUM(E17:E24)</f>
        <v>7063481.709999999</v>
      </c>
      <c r="F25" s="301">
        <f t="shared" si="3"/>
        <v>7763955.0100000007</v>
      </c>
      <c r="G25" s="301">
        <f t="shared" si="3"/>
        <v>8070414.7600000007</v>
      </c>
      <c r="H25" s="301">
        <f t="shared" si="3"/>
        <v>7493166.3999999994</v>
      </c>
      <c r="I25" s="301">
        <f t="shared" si="3"/>
        <v>7161536.3299999991</v>
      </c>
      <c r="J25" s="301">
        <f t="shared" si="3"/>
        <v>7025708.3499999996</v>
      </c>
      <c r="K25" s="301">
        <f t="shared" si="3"/>
        <v>7381972.7699999986</v>
      </c>
      <c r="L25" s="301">
        <f t="shared" si="3"/>
        <v>8930688.2300000004</v>
      </c>
      <c r="M25" s="301">
        <f t="shared" si="3"/>
        <v>10783555.75</v>
      </c>
      <c r="N25" s="301">
        <f t="shared" si="3"/>
        <v>10915623.579999998</v>
      </c>
      <c r="O25" s="301">
        <f t="shared" si="3"/>
        <v>14021566.34</v>
      </c>
      <c r="P25" s="301">
        <f t="shared" si="3"/>
        <v>104867863.88999999</v>
      </c>
      <c r="Q25" s="300"/>
    </row>
    <row r="28" spans="3:17" ht="16.5" thickBot="1">
      <c r="C28" s="306" t="s">
        <v>357</v>
      </c>
      <c r="D28" s="307">
        <f>D13+D25</f>
        <v>47070323.109999999</v>
      </c>
      <c r="E28" s="307">
        <f t="shared" ref="E28:P28" si="4">E13+E25</f>
        <v>41607240.719999999</v>
      </c>
      <c r="F28" s="307">
        <f t="shared" si="4"/>
        <v>46164160.589999996</v>
      </c>
      <c r="G28" s="307">
        <f t="shared" si="4"/>
        <v>47901938.459999993</v>
      </c>
      <c r="H28" s="307">
        <f t="shared" si="4"/>
        <v>45110006.340000004</v>
      </c>
      <c r="I28" s="307">
        <f t="shared" si="4"/>
        <v>35034780.780000001</v>
      </c>
      <c r="J28" s="307">
        <f t="shared" si="4"/>
        <v>33470385.729999997</v>
      </c>
      <c r="K28" s="307">
        <f t="shared" si="4"/>
        <v>35021337.539999999</v>
      </c>
      <c r="L28" s="307">
        <f t="shared" si="4"/>
        <v>39865934.489999995</v>
      </c>
      <c r="M28" s="307">
        <f t="shared" si="4"/>
        <v>47002934.519999996</v>
      </c>
      <c r="N28" s="307">
        <f t="shared" si="4"/>
        <v>46501276.219999999</v>
      </c>
      <c r="O28" s="307">
        <f t="shared" si="4"/>
        <v>61934828.689999998</v>
      </c>
      <c r="P28" s="307">
        <f t="shared" si="4"/>
        <v>526685147.18999994</v>
      </c>
    </row>
  </sheetData>
  <pageMargins left="0.7" right="0.7" top="0.75" bottom="0.75" header="0.3" footer="0.3"/>
  <pageSetup scale="56" orientation="portrait" r:id="rId1"/>
  <headerFooter>
    <oddHeader>&amp;RDocket No 56165
Schedule H
&amp;A
Page &amp;P of &amp;N</oddHeader>
  </headerFooter>
  <colBreaks count="1" manualBreakCount="1">
    <brk id="9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EC75-7FA3-4DE3-897A-8425E3344208}">
  <dimension ref="A1:O117"/>
  <sheetViews>
    <sheetView zoomScaleNormal="100" workbookViewId="0">
      <selection activeCell="U32" sqref="U32"/>
    </sheetView>
  </sheetViews>
  <sheetFormatPr defaultColWidth="9.28515625" defaultRowHeight="12.75"/>
  <cols>
    <col min="1" max="2" width="1.7109375" style="237" customWidth="1"/>
    <col min="3" max="3" width="10.7109375" style="238" customWidth="1"/>
    <col min="4" max="5" width="40" style="237" customWidth="1"/>
    <col min="6" max="8" width="1.7109375" style="237" customWidth="1"/>
    <col min="9" max="9" width="10.7109375" style="237" customWidth="1"/>
    <col min="10" max="10" width="40" style="237" customWidth="1"/>
    <col min="11" max="12" width="1.7109375" style="237" customWidth="1"/>
    <col min="13" max="16384" width="9.28515625" style="237"/>
  </cols>
  <sheetData>
    <row r="1" spans="1:14" ht="12.6" customHeight="1" thickBot="1"/>
    <row r="2" spans="1:14" ht="12.6" customHeight="1">
      <c r="B2" s="239"/>
      <c r="C2" s="240"/>
      <c r="D2" s="241"/>
      <c r="E2" s="241"/>
      <c r="F2" s="242"/>
      <c r="H2" s="243"/>
      <c r="I2" s="244"/>
      <c r="J2" s="244" t="s">
        <v>170</v>
      </c>
      <c r="K2" s="242"/>
    </row>
    <row r="3" spans="1:14" ht="12.6" customHeight="1">
      <c r="A3" s="238"/>
      <c r="B3" s="245"/>
      <c r="C3" s="246" t="s">
        <v>171</v>
      </c>
      <c r="D3" s="247" t="s">
        <v>172</v>
      </c>
      <c r="E3" s="248" t="s">
        <v>170</v>
      </c>
      <c r="F3" s="249"/>
      <c r="H3" s="250"/>
      <c r="I3" s="251" t="s">
        <v>173</v>
      </c>
      <c r="J3" s="252" t="s">
        <v>170</v>
      </c>
      <c r="K3" s="253"/>
    </row>
    <row r="4" spans="1:14" ht="12.6" customHeight="1">
      <c r="A4" s="238"/>
      <c r="B4" s="245"/>
      <c r="C4" s="254"/>
      <c r="D4" s="254"/>
      <c r="E4" s="254"/>
      <c r="F4" s="249"/>
      <c r="H4" s="250"/>
      <c r="K4" s="253"/>
    </row>
    <row r="5" spans="1:14" ht="12.6" customHeight="1">
      <c r="B5" s="255"/>
      <c r="C5" s="238">
        <v>820</v>
      </c>
      <c r="D5" s="237" t="s">
        <v>174</v>
      </c>
      <c r="E5" s="237" t="str">
        <f>J5</f>
        <v>RESIDENTIAL SERVICE</v>
      </c>
      <c r="F5" s="253"/>
      <c r="H5" s="250"/>
      <c r="I5" s="237" t="s">
        <v>175</v>
      </c>
      <c r="J5" s="4" t="s">
        <v>17</v>
      </c>
      <c r="K5" s="253"/>
      <c r="M5" s="237" t="s">
        <v>176</v>
      </c>
    </row>
    <row r="6" spans="1:14" ht="12.6" customHeight="1">
      <c r="B6" s="255"/>
      <c r="C6" s="238">
        <v>822</v>
      </c>
      <c r="D6" s="237" t="s">
        <v>177</v>
      </c>
      <c r="E6" s="237" t="str">
        <f>E5</f>
        <v>RESIDENTIAL SERVICE</v>
      </c>
      <c r="F6" s="253"/>
      <c r="H6" s="250"/>
      <c r="I6" s="237" t="s">
        <v>178</v>
      </c>
      <c r="J6" s="4" t="s">
        <v>20</v>
      </c>
      <c r="K6" s="253"/>
    </row>
    <row r="7" spans="1:14" ht="12.6" customHeight="1">
      <c r="B7" s="255"/>
      <c r="C7" s="238">
        <v>823</v>
      </c>
      <c r="D7" s="237" t="s">
        <v>179</v>
      </c>
      <c r="E7" s="237" t="str">
        <f>E5</f>
        <v>RESIDENTIAL SERVICE</v>
      </c>
      <c r="F7" s="253"/>
      <c r="H7" s="250"/>
      <c r="I7" s="237" t="s">
        <v>180</v>
      </c>
      <c r="J7" s="4" t="s">
        <v>84</v>
      </c>
      <c r="K7" s="253"/>
    </row>
    <row r="8" spans="1:14" ht="12.6" customHeight="1">
      <c r="B8" s="255"/>
      <c r="C8" s="238">
        <v>824</v>
      </c>
      <c r="D8" s="237" t="s">
        <v>181</v>
      </c>
      <c r="E8" s="237" t="str">
        <f>J6</f>
        <v>SECONDARY &lt; 10 kW</v>
      </c>
      <c r="F8" s="253"/>
      <c r="H8" s="250"/>
      <c r="I8" s="237" t="s">
        <v>182</v>
      </c>
      <c r="J8" s="4" t="s">
        <v>85</v>
      </c>
      <c r="K8" s="253"/>
      <c r="N8" s="256"/>
    </row>
    <row r="9" spans="1:14" ht="12.6" customHeight="1">
      <c r="B9" s="255"/>
      <c r="C9" s="238">
        <v>825</v>
      </c>
      <c r="D9" s="237" t="s">
        <v>183</v>
      </c>
      <c r="E9" s="237" t="str">
        <f>E8</f>
        <v>SECONDARY &lt; 10 kW</v>
      </c>
      <c r="F9" s="253"/>
      <c r="H9" s="250"/>
      <c r="I9" s="237" t="s">
        <v>184</v>
      </c>
      <c r="J9" s="4" t="s">
        <v>82</v>
      </c>
      <c r="K9" s="253"/>
      <c r="N9" s="256"/>
    </row>
    <row r="10" spans="1:14" ht="12.6" customHeight="1">
      <c r="B10" s="255"/>
      <c r="C10" s="238">
        <v>826</v>
      </c>
      <c r="D10" s="237" t="s">
        <v>185</v>
      </c>
      <c r="E10" s="237" t="str">
        <f>E8</f>
        <v>SECONDARY &lt; 10 kW</v>
      </c>
      <c r="F10" s="253"/>
      <c r="H10" s="250"/>
      <c r="I10" s="237" t="s">
        <v>186</v>
      </c>
      <c r="J10" s="4" t="s">
        <v>83</v>
      </c>
      <c r="K10" s="253"/>
      <c r="N10" s="256"/>
    </row>
    <row r="11" spans="1:14" ht="12.6" customHeight="1">
      <c r="B11" s="255"/>
      <c r="C11" s="238">
        <v>827</v>
      </c>
      <c r="D11" s="237" t="s">
        <v>187</v>
      </c>
      <c r="E11" s="237" t="str">
        <f>E8</f>
        <v>SECONDARY &lt; 10 kW</v>
      </c>
      <c r="F11" s="253"/>
      <c r="H11" s="250"/>
      <c r="I11" s="237" t="s">
        <v>188</v>
      </c>
      <c r="J11" s="4" t="s">
        <v>148</v>
      </c>
      <c r="K11" s="253"/>
      <c r="N11" s="256"/>
    </row>
    <row r="12" spans="1:14" ht="12.6" customHeight="1">
      <c r="B12" s="255"/>
      <c r="C12" s="238">
        <v>828</v>
      </c>
      <c r="D12" s="237" t="s">
        <v>189</v>
      </c>
      <c r="E12" s="237" t="str">
        <f>E8</f>
        <v>SECONDARY &lt; 10 kW</v>
      </c>
      <c r="F12" s="253"/>
      <c r="H12" s="250"/>
      <c r="I12" s="237" t="s">
        <v>190</v>
      </c>
      <c r="J12" s="4" t="s">
        <v>149</v>
      </c>
      <c r="K12" s="253"/>
      <c r="N12" s="256"/>
    </row>
    <row r="13" spans="1:14" ht="12.6" customHeight="1">
      <c r="B13" s="255"/>
      <c r="C13" s="257">
        <v>829</v>
      </c>
      <c r="D13" s="237" t="s">
        <v>191</v>
      </c>
      <c r="E13" s="237" t="str">
        <f>E8</f>
        <v>SECONDARY &lt; 10 kW</v>
      </c>
      <c r="F13" s="253"/>
      <c r="H13" s="250"/>
      <c r="I13" s="237" t="s">
        <v>192</v>
      </c>
      <c r="J13" s="237" t="s">
        <v>193</v>
      </c>
      <c r="K13" s="253"/>
      <c r="N13" s="256"/>
    </row>
    <row r="14" spans="1:14" ht="12.6" customHeight="1">
      <c r="B14" s="255"/>
      <c r="C14" s="238">
        <v>830</v>
      </c>
      <c r="D14" s="237" t="s">
        <v>194</v>
      </c>
      <c r="E14" s="237" t="str">
        <f>J7</f>
        <v>SECONDARY &gt; 10 kW NCP</v>
      </c>
      <c r="F14" s="253"/>
      <c r="H14" s="250"/>
      <c r="I14" s="237" t="s">
        <v>195</v>
      </c>
      <c r="J14" s="49" t="s">
        <v>86</v>
      </c>
      <c r="K14" s="253"/>
    </row>
    <row r="15" spans="1:14" ht="12.6" customHeight="1">
      <c r="B15" s="255"/>
      <c r="C15" s="238">
        <v>831</v>
      </c>
      <c r="D15" s="237" t="s">
        <v>196</v>
      </c>
      <c r="E15" s="237" t="str">
        <f>E14</f>
        <v>SECONDARY &gt; 10 kW NCP</v>
      </c>
      <c r="F15" s="253"/>
      <c r="H15" s="250"/>
      <c r="I15" s="237" t="s">
        <v>197</v>
      </c>
      <c r="J15" s="4" t="s">
        <v>21</v>
      </c>
      <c r="K15" s="253"/>
    </row>
    <row r="16" spans="1:14" ht="12.6" customHeight="1" thickBot="1">
      <c r="B16" s="255"/>
      <c r="C16" s="238">
        <v>833</v>
      </c>
      <c r="D16" s="237" t="s">
        <v>198</v>
      </c>
      <c r="E16" s="237" t="str">
        <f>E14</f>
        <v>SECONDARY &gt; 10 kW NCP</v>
      </c>
      <c r="F16" s="253"/>
      <c r="H16" s="258"/>
      <c r="I16" s="259"/>
      <c r="J16" s="260"/>
      <c r="K16" s="261"/>
    </row>
    <row r="17" spans="2:11" ht="12.6" customHeight="1">
      <c r="B17" s="255"/>
      <c r="C17" s="238">
        <v>834</v>
      </c>
      <c r="D17" s="237" t="s">
        <v>199</v>
      </c>
      <c r="E17" s="237" t="str">
        <f>J8</f>
        <v>SECONDARY &gt; 10 kW 4CP</v>
      </c>
      <c r="F17" s="253"/>
      <c r="J17" s="256"/>
    </row>
    <row r="18" spans="2:11" ht="12.6" customHeight="1">
      <c r="B18" s="255"/>
      <c r="C18" s="238">
        <v>835</v>
      </c>
      <c r="D18" s="237" t="s">
        <v>200</v>
      </c>
      <c r="E18" s="237" t="str">
        <f>E17</f>
        <v>SECONDARY &gt; 10 kW 4CP</v>
      </c>
      <c r="F18" s="253"/>
      <c r="J18" s="256"/>
    </row>
    <row r="19" spans="2:11" ht="12.6" customHeight="1">
      <c r="B19" s="255"/>
      <c r="C19" s="238">
        <v>836</v>
      </c>
      <c r="D19" s="237" t="s">
        <v>201</v>
      </c>
      <c r="E19" s="237" t="str">
        <f>E14</f>
        <v>SECONDARY &gt; 10 kW NCP</v>
      </c>
      <c r="F19" s="253"/>
      <c r="J19" s="256"/>
    </row>
    <row r="20" spans="2:11" ht="12.6" customHeight="1">
      <c r="B20" s="255"/>
      <c r="C20" s="238">
        <v>837</v>
      </c>
      <c r="D20" s="237" t="s">
        <v>202</v>
      </c>
      <c r="E20" s="237" t="str">
        <f>E17</f>
        <v>SECONDARY &gt; 10 kW 4CP</v>
      </c>
      <c r="F20" s="253"/>
      <c r="J20" s="256"/>
    </row>
    <row r="21" spans="2:11" ht="12.6" customHeight="1">
      <c r="B21" s="255"/>
      <c r="C21" s="238">
        <v>838</v>
      </c>
      <c r="D21" s="237" t="s">
        <v>203</v>
      </c>
      <c r="E21" s="237" t="str">
        <f>E19</f>
        <v>SECONDARY &gt; 10 kW NCP</v>
      </c>
      <c r="F21" s="253"/>
      <c r="J21" s="256"/>
    </row>
    <row r="22" spans="2:11" ht="12.6" customHeight="1">
      <c r="B22" s="255"/>
      <c r="C22" s="238">
        <v>839</v>
      </c>
      <c r="D22" s="237" t="s">
        <v>204</v>
      </c>
      <c r="E22" s="237" t="str">
        <f>E20</f>
        <v>SECONDARY &gt; 10 kW 4CP</v>
      </c>
      <c r="F22" s="253"/>
      <c r="J22" s="256"/>
    </row>
    <row r="23" spans="2:11" ht="12.6" customHeight="1">
      <c r="B23" s="255"/>
      <c r="C23" s="238">
        <v>841</v>
      </c>
      <c r="D23" s="237" t="s">
        <v>205</v>
      </c>
      <c r="E23" s="237" t="str">
        <f>J9</f>
        <v>PRIMARY NCP</v>
      </c>
      <c r="F23" s="253"/>
      <c r="J23" s="256"/>
    </row>
    <row r="24" spans="2:11" ht="12.6" customHeight="1">
      <c r="B24" s="255"/>
      <c r="C24" s="238">
        <v>842</v>
      </c>
      <c r="D24" s="237" t="s">
        <v>206</v>
      </c>
      <c r="E24" s="237" t="str">
        <f>J10</f>
        <v>PRIMARY 4CP</v>
      </c>
      <c r="F24" s="253"/>
      <c r="J24" s="256"/>
    </row>
    <row r="25" spans="2:11" ht="12.6" customHeight="1">
      <c r="B25" s="255"/>
      <c r="C25" s="238">
        <v>844</v>
      </c>
      <c r="D25" s="237" t="s">
        <v>207</v>
      </c>
      <c r="E25" s="237" t="str">
        <f>J9</f>
        <v>PRIMARY NCP</v>
      </c>
      <c r="F25" s="253"/>
      <c r="J25" s="256"/>
    </row>
    <row r="26" spans="2:11" ht="12.6" customHeight="1">
      <c r="B26" s="255"/>
      <c r="C26" s="238">
        <v>845</v>
      </c>
      <c r="D26" s="237" t="s">
        <v>208</v>
      </c>
      <c r="E26" s="237" t="str">
        <f>J10</f>
        <v>PRIMARY 4CP</v>
      </c>
      <c r="F26" s="253"/>
      <c r="J26" s="256"/>
    </row>
    <row r="27" spans="2:11" ht="12.6" customHeight="1">
      <c r="B27" s="255"/>
      <c r="C27" s="238">
        <v>847</v>
      </c>
      <c r="D27" s="237" t="s">
        <v>209</v>
      </c>
      <c r="E27" s="237" t="str">
        <f>J10</f>
        <v>PRIMARY 4CP</v>
      </c>
      <c r="F27" s="253"/>
      <c r="J27" s="256"/>
    </row>
    <row r="28" spans="2:11" ht="12.6" customHeight="1">
      <c r="B28" s="255"/>
      <c r="C28" s="238">
        <v>848</v>
      </c>
      <c r="D28" s="237" t="s">
        <v>210</v>
      </c>
      <c r="E28" s="237" t="str">
        <f>J9</f>
        <v>PRIMARY NCP</v>
      </c>
      <c r="F28" s="253"/>
      <c r="J28" s="256"/>
    </row>
    <row r="29" spans="2:11" ht="12.6" customHeight="1">
      <c r="B29" s="255"/>
      <c r="C29" s="238">
        <v>849</v>
      </c>
      <c r="D29" s="237" t="s">
        <v>211</v>
      </c>
      <c r="E29" s="237" t="str">
        <f>J10</f>
        <v>PRIMARY 4CP</v>
      </c>
      <c r="F29" s="253"/>
      <c r="J29" s="256"/>
      <c r="K29" s="256"/>
    </row>
    <row r="30" spans="2:11" ht="12.6" customHeight="1">
      <c r="B30" s="255"/>
      <c r="C30" s="238">
        <v>850</v>
      </c>
      <c r="D30" s="237" t="s">
        <v>212</v>
      </c>
      <c r="E30" s="237" t="str">
        <f>J6</f>
        <v>SECONDARY &lt; 10 kW</v>
      </c>
      <c r="F30" s="253"/>
      <c r="J30" s="256"/>
      <c r="K30" s="256"/>
    </row>
    <row r="31" spans="2:11" ht="12.6" customHeight="1">
      <c r="B31" s="255"/>
      <c r="C31" s="238">
        <v>851</v>
      </c>
      <c r="D31" s="237" t="s">
        <v>213</v>
      </c>
      <c r="E31" s="237" t="str">
        <f>J6</f>
        <v>SECONDARY &lt; 10 kW</v>
      </c>
      <c r="F31" s="253"/>
      <c r="J31" s="256"/>
      <c r="K31" s="256"/>
    </row>
    <row r="32" spans="2:11" ht="12.6" customHeight="1">
      <c r="B32" s="255"/>
      <c r="C32" s="238">
        <v>852</v>
      </c>
      <c r="D32" s="237" t="s">
        <v>214</v>
      </c>
      <c r="E32" s="237" t="str">
        <f>J6</f>
        <v>SECONDARY &lt; 10 kW</v>
      </c>
      <c r="F32" s="253"/>
      <c r="J32" s="256"/>
      <c r="K32" s="256"/>
    </row>
    <row r="33" spans="2:15" ht="12.6" customHeight="1">
      <c r="B33" s="255"/>
      <c r="C33" s="238">
        <v>853</v>
      </c>
      <c r="D33" s="237" t="s">
        <v>215</v>
      </c>
      <c r="E33" s="237" t="str">
        <f>J8</f>
        <v>SECONDARY &gt; 10 kW 4CP</v>
      </c>
      <c r="F33" s="253"/>
      <c r="J33" s="256"/>
      <c r="K33" s="256"/>
    </row>
    <row r="34" spans="2:15" ht="12.6" customHeight="1">
      <c r="B34" s="255"/>
      <c r="C34" s="238">
        <v>855</v>
      </c>
      <c r="D34" s="237" t="s">
        <v>216</v>
      </c>
      <c r="E34" s="237" t="str">
        <f>J7</f>
        <v>SECONDARY &gt; 10 kW NCP</v>
      </c>
      <c r="F34" s="253"/>
      <c r="J34" s="256"/>
      <c r="K34" s="256"/>
    </row>
    <row r="35" spans="2:15" ht="12.6" customHeight="1">
      <c r="B35" s="255"/>
      <c r="C35" s="238">
        <v>856</v>
      </c>
      <c r="D35" s="237" t="s">
        <v>217</v>
      </c>
      <c r="E35" s="237" t="str">
        <f>J8</f>
        <v>SECONDARY &gt; 10 kW 4CP</v>
      </c>
      <c r="F35" s="253"/>
      <c r="J35" s="256"/>
      <c r="K35" s="256"/>
    </row>
    <row r="36" spans="2:15" ht="12.6" customHeight="1">
      <c r="B36" s="255"/>
      <c r="C36" s="238">
        <v>857</v>
      </c>
      <c r="D36" s="237" t="s">
        <v>218</v>
      </c>
      <c r="E36" s="237" t="str">
        <f>J7</f>
        <v>SECONDARY &gt; 10 kW NCP</v>
      </c>
      <c r="F36" s="253"/>
      <c r="J36" s="256"/>
      <c r="K36" s="256"/>
      <c r="N36" s="256"/>
      <c r="O36" s="256"/>
    </row>
    <row r="37" spans="2:15" ht="12.6" customHeight="1">
      <c r="B37" s="255"/>
      <c r="C37" s="238">
        <v>858</v>
      </c>
      <c r="D37" s="237" t="s">
        <v>219</v>
      </c>
      <c r="E37" s="237" t="str">
        <f>J8</f>
        <v>SECONDARY &gt; 10 kW 4CP</v>
      </c>
      <c r="F37" s="253"/>
      <c r="J37" s="256"/>
      <c r="K37" s="256"/>
      <c r="N37" s="256"/>
      <c r="O37" s="256"/>
    </row>
    <row r="38" spans="2:15" ht="12.6" customHeight="1">
      <c r="B38" s="255"/>
      <c r="C38" s="238">
        <v>860</v>
      </c>
      <c r="D38" s="237" t="s">
        <v>220</v>
      </c>
      <c r="E38" s="237" t="str">
        <f>J14</f>
        <v xml:space="preserve">TRANSMISSION </v>
      </c>
      <c r="F38" s="253"/>
      <c r="J38" s="256"/>
      <c r="K38" s="256"/>
      <c r="N38" s="256"/>
      <c r="O38" s="256"/>
    </row>
    <row r="39" spans="2:15" ht="12.6" customHeight="1">
      <c r="B39" s="255"/>
      <c r="C39" s="238">
        <v>861</v>
      </c>
      <c r="D39" s="237" t="s">
        <v>221</v>
      </c>
      <c r="E39" s="237" t="str">
        <f>$E$38</f>
        <v xml:space="preserve">TRANSMISSION </v>
      </c>
      <c r="F39" s="253"/>
      <c r="H39" s="262"/>
      <c r="I39" s="262"/>
      <c r="J39" s="262"/>
      <c r="N39" s="256"/>
      <c r="O39" s="256"/>
    </row>
    <row r="40" spans="2:15" ht="12.6" customHeight="1">
      <c r="B40" s="255"/>
      <c r="C40" s="238">
        <v>862</v>
      </c>
      <c r="D40" s="237" t="s">
        <v>222</v>
      </c>
      <c r="E40" s="237" t="str">
        <f t="shared" ref="E40:E48" si="0">$E$38</f>
        <v xml:space="preserve">TRANSMISSION </v>
      </c>
      <c r="F40" s="253"/>
      <c r="I40" s="262"/>
      <c r="J40" s="262"/>
      <c r="N40" s="256"/>
      <c r="O40" s="256"/>
    </row>
    <row r="41" spans="2:15" ht="12.6" customHeight="1">
      <c r="B41" s="255"/>
      <c r="C41" s="238">
        <v>863</v>
      </c>
      <c r="D41" s="237" t="s">
        <v>223</v>
      </c>
      <c r="E41" s="237" t="str">
        <f t="shared" si="0"/>
        <v xml:space="preserve">TRANSMISSION </v>
      </c>
      <c r="F41" s="253"/>
      <c r="I41" s="262"/>
      <c r="J41" s="262"/>
      <c r="N41" s="256"/>
      <c r="O41" s="256"/>
    </row>
    <row r="42" spans="2:15" ht="12.6" customHeight="1">
      <c r="B42" s="255"/>
      <c r="C42" s="238">
        <v>866</v>
      </c>
      <c r="D42" s="237" t="s">
        <v>224</v>
      </c>
      <c r="E42" s="237" t="str">
        <f t="shared" si="0"/>
        <v xml:space="preserve">TRANSMISSION </v>
      </c>
      <c r="F42" s="253"/>
      <c r="I42" s="262"/>
      <c r="J42" s="262"/>
      <c r="N42" s="256"/>
      <c r="O42" s="256"/>
    </row>
    <row r="43" spans="2:15" ht="12.6" customHeight="1">
      <c r="B43" s="255"/>
      <c r="C43" s="238">
        <v>870</v>
      </c>
      <c r="D43" s="237" t="s">
        <v>225</v>
      </c>
      <c r="E43" s="237" t="str">
        <f t="shared" si="0"/>
        <v xml:space="preserve">TRANSMISSION </v>
      </c>
      <c r="F43" s="253"/>
      <c r="I43" s="262"/>
      <c r="J43" s="262"/>
      <c r="N43" s="256"/>
      <c r="O43" s="256"/>
    </row>
    <row r="44" spans="2:15" ht="12.6" customHeight="1">
      <c r="B44" s="255"/>
      <c r="C44" s="238">
        <v>871</v>
      </c>
      <c r="D44" s="237" t="s">
        <v>226</v>
      </c>
      <c r="E44" s="237" t="str">
        <f t="shared" si="0"/>
        <v xml:space="preserve">TRANSMISSION </v>
      </c>
      <c r="F44" s="253"/>
      <c r="I44" s="262"/>
      <c r="J44" s="262"/>
      <c r="N44" s="256"/>
      <c r="O44" s="256"/>
    </row>
    <row r="45" spans="2:15" ht="12.6" customHeight="1">
      <c r="B45" s="255"/>
      <c r="C45" s="238">
        <v>872</v>
      </c>
      <c r="D45" s="237" t="s">
        <v>227</v>
      </c>
      <c r="E45" s="237" t="str">
        <f t="shared" si="0"/>
        <v xml:space="preserve">TRANSMISSION </v>
      </c>
      <c r="F45" s="253"/>
      <c r="I45" s="262"/>
      <c r="J45" s="262"/>
      <c r="N45" s="256"/>
      <c r="O45" s="256"/>
    </row>
    <row r="46" spans="2:15" ht="12.6" customHeight="1">
      <c r="B46" s="255"/>
      <c r="C46" s="238">
        <v>873</v>
      </c>
      <c r="D46" s="237" t="s">
        <v>228</v>
      </c>
      <c r="E46" s="237" t="str">
        <f t="shared" si="0"/>
        <v xml:space="preserve">TRANSMISSION </v>
      </c>
      <c r="F46" s="253"/>
      <c r="I46" s="262"/>
      <c r="J46" s="262"/>
      <c r="N46" s="256"/>
      <c r="O46" s="256"/>
    </row>
    <row r="47" spans="2:15" ht="12.6" customHeight="1">
      <c r="B47" s="255"/>
      <c r="C47" s="238">
        <v>874</v>
      </c>
      <c r="D47" s="237" t="s">
        <v>229</v>
      </c>
      <c r="E47" s="237" t="str">
        <f t="shared" si="0"/>
        <v xml:space="preserve">TRANSMISSION </v>
      </c>
      <c r="F47" s="253"/>
      <c r="I47" s="262"/>
      <c r="J47" s="262"/>
      <c r="N47" s="256"/>
      <c r="O47" s="256"/>
    </row>
    <row r="48" spans="2:15" ht="12.6" customHeight="1">
      <c r="B48" s="255"/>
      <c r="C48" s="238">
        <v>875</v>
      </c>
      <c r="D48" s="237" t="s">
        <v>230</v>
      </c>
      <c r="E48" s="237" t="str">
        <f t="shared" si="0"/>
        <v xml:space="preserve">TRANSMISSION </v>
      </c>
      <c r="F48" s="253"/>
      <c r="I48" s="262"/>
      <c r="J48" s="262"/>
      <c r="N48" s="256"/>
      <c r="O48" s="256"/>
    </row>
    <row r="49" spans="2:15" ht="12.6" customHeight="1">
      <c r="B49" s="255"/>
      <c r="C49" s="238">
        <v>881</v>
      </c>
      <c r="D49" s="237" t="s">
        <v>231</v>
      </c>
      <c r="E49" s="237" t="str">
        <f>J7</f>
        <v>SECONDARY &gt; 10 kW NCP</v>
      </c>
      <c r="F49" s="253"/>
      <c r="I49" s="262"/>
      <c r="J49" s="262"/>
      <c r="N49" s="256"/>
      <c r="O49" s="256"/>
    </row>
    <row r="50" spans="2:15" ht="12.6" customHeight="1">
      <c r="B50" s="255"/>
      <c r="C50" s="238">
        <v>882</v>
      </c>
      <c r="D50" s="237" t="s">
        <v>232</v>
      </c>
      <c r="E50" s="237" t="str">
        <f>J8</f>
        <v>SECONDARY &gt; 10 kW 4CP</v>
      </c>
      <c r="F50" s="253"/>
      <c r="I50" s="262"/>
      <c r="J50" s="262"/>
      <c r="N50" s="256"/>
      <c r="O50" s="256"/>
    </row>
    <row r="51" spans="2:15" ht="12.6" customHeight="1">
      <c r="B51" s="255"/>
      <c r="C51" s="238">
        <v>885</v>
      </c>
      <c r="D51" s="237" t="s">
        <v>233</v>
      </c>
      <c r="E51" s="237" t="str">
        <f>J9</f>
        <v>PRIMARY NCP</v>
      </c>
      <c r="F51" s="253"/>
      <c r="I51" s="262"/>
      <c r="J51" s="262"/>
      <c r="N51" s="256"/>
      <c r="O51" s="256"/>
    </row>
    <row r="52" spans="2:15" ht="12.6" customHeight="1">
      <c r="B52" s="255"/>
      <c r="C52" s="238">
        <v>886</v>
      </c>
      <c r="D52" s="237" t="s">
        <v>234</v>
      </c>
      <c r="E52" s="237" t="str">
        <f>J10</f>
        <v>PRIMARY 4CP</v>
      </c>
      <c r="F52" s="253"/>
      <c r="I52" s="262"/>
      <c r="J52" s="262"/>
      <c r="N52" s="256"/>
      <c r="O52" s="256"/>
    </row>
    <row r="53" spans="2:15" ht="12.6" customHeight="1">
      <c r="B53" s="255"/>
      <c r="C53" s="238">
        <v>901</v>
      </c>
      <c r="D53" s="237" t="s">
        <v>235</v>
      </c>
      <c r="E53" s="237" t="str">
        <f>$J$15</f>
        <v>LIGHTING</v>
      </c>
      <c r="F53" s="253"/>
      <c r="I53" s="262"/>
      <c r="J53" s="262"/>
      <c r="N53" s="256"/>
      <c r="O53" s="256"/>
    </row>
    <row r="54" spans="2:15" ht="12.6" customHeight="1">
      <c r="B54" s="255"/>
      <c r="C54" s="238">
        <v>902</v>
      </c>
      <c r="D54" s="237" t="s">
        <v>236</v>
      </c>
      <c r="E54" s="237" t="str">
        <f t="shared" ref="E54:E108" si="1">$J$15</f>
        <v>LIGHTING</v>
      </c>
      <c r="F54" s="253"/>
      <c r="I54" s="262"/>
      <c r="J54" s="262"/>
      <c r="N54" s="256"/>
      <c r="O54" s="256"/>
    </row>
    <row r="55" spans="2:15" ht="12.6" customHeight="1">
      <c r="B55" s="255"/>
      <c r="C55" s="238">
        <v>903</v>
      </c>
      <c r="D55" s="237" t="s">
        <v>237</v>
      </c>
      <c r="E55" s="237" t="str">
        <f t="shared" si="1"/>
        <v>LIGHTING</v>
      </c>
      <c r="F55" s="253"/>
      <c r="I55" s="262"/>
      <c r="J55" s="262"/>
      <c r="N55" s="256"/>
      <c r="O55" s="256"/>
    </row>
    <row r="56" spans="2:15" ht="12.6" customHeight="1">
      <c r="B56" s="255"/>
      <c r="C56" s="238">
        <v>904</v>
      </c>
      <c r="D56" s="237" t="s">
        <v>238</v>
      </c>
      <c r="E56" s="237" t="str">
        <f t="shared" si="1"/>
        <v>LIGHTING</v>
      </c>
      <c r="F56" s="253"/>
      <c r="I56" s="262"/>
      <c r="J56" s="262"/>
      <c r="N56" s="256"/>
      <c r="O56" s="256"/>
    </row>
    <row r="57" spans="2:15" ht="12.6" customHeight="1">
      <c r="B57" s="255"/>
      <c r="C57" s="257">
        <v>905</v>
      </c>
      <c r="D57" s="237" t="s">
        <v>239</v>
      </c>
      <c r="E57" s="237" t="str">
        <f t="shared" si="1"/>
        <v>LIGHTING</v>
      </c>
      <c r="F57" s="253"/>
      <c r="I57" s="262"/>
      <c r="J57" s="262"/>
      <c r="N57" s="256"/>
      <c r="O57" s="256"/>
    </row>
    <row r="58" spans="2:15" ht="12.6" customHeight="1">
      <c r="B58" s="255"/>
      <c r="C58" s="257">
        <v>906</v>
      </c>
      <c r="D58" s="237" t="s">
        <v>240</v>
      </c>
      <c r="E58" s="237" t="str">
        <f t="shared" si="1"/>
        <v>LIGHTING</v>
      </c>
      <c r="F58" s="253"/>
      <c r="I58" s="262"/>
      <c r="J58" s="262"/>
      <c r="N58" s="256"/>
      <c r="O58" s="256"/>
    </row>
    <row r="59" spans="2:15" ht="12.6" customHeight="1">
      <c r="B59" s="255"/>
      <c r="C59" s="257">
        <v>907</v>
      </c>
      <c r="D59" s="237" t="s">
        <v>241</v>
      </c>
      <c r="E59" s="237" t="str">
        <f t="shared" si="1"/>
        <v>LIGHTING</v>
      </c>
      <c r="F59" s="253"/>
      <c r="I59" s="262"/>
      <c r="J59" s="262"/>
      <c r="N59" s="256"/>
      <c r="O59" s="256"/>
    </row>
    <row r="60" spans="2:15" ht="12.6" customHeight="1">
      <c r="B60" s="255"/>
      <c r="C60" s="257">
        <v>908</v>
      </c>
      <c r="D60" s="237" t="s">
        <v>242</v>
      </c>
      <c r="E60" s="237" t="str">
        <f t="shared" si="1"/>
        <v>LIGHTING</v>
      </c>
      <c r="F60" s="253"/>
      <c r="I60" s="262"/>
      <c r="J60" s="262"/>
      <c r="N60" s="256"/>
      <c r="O60" s="256"/>
    </row>
    <row r="61" spans="2:15" ht="12.6" customHeight="1">
      <c r="B61" s="255"/>
      <c r="C61" s="257">
        <v>909</v>
      </c>
      <c r="D61" s="237" t="s">
        <v>243</v>
      </c>
      <c r="E61" s="237" t="str">
        <f t="shared" si="1"/>
        <v>LIGHTING</v>
      </c>
      <c r="F61" s="253"/>
      <c r="I61" s="262"/>
      <c r="J61" s="262"/>
      <c r="N61" s="256"/>
      <c r="O61" s="256"/>
    </row>
    <row r="62" spans="2:15" ht="12.6" customHeight="1">
      <c r="B62" s="255"/>
      <c r="C62" s="257">
        <v>910</v>
      </c>
      <c r="D62" s="237" t="s">
        <v>244</v>
      </c>
      <c r="E62" s="237" t="str">
        <f t="shared" si="1"/>
        <v>LIGHTING</v>
      </c>
      <c r="F62" s="253"/>
      <c r="I62" s="262"/>
      <c r="J62" s="262"/>
      <c r="N62" s="256"/>
      <c r="O62" s="256"/>
    </row>
    <row r="63" spans="2:15" ht="12.6" customHeight="1">
      <c r="B63" s="255"/>
      <c r="C63" s="257">
        <v>911</v>
      </c>
      <c r="D63" s="237" t="s">
        <v>245</v>
      </c>
      <c r="E63" s="237" t="str">
        <f t="shared" si="1"/>
        <v>LIGHTING</v>
      </c>
      <c r="F63" s="253"/>
      <c r="I63" s="262"/>
      <c r="J63" s="262"/>
      <c r="N63" s="256"/>
      <c r="O63" s="256"/>
    </row>
    <row r="64" spans="2:15" ht="12.6" customHeight="1">
      <c r="B64" s="255"/>
      <c r="C64" s="257">
        <v>912</v>
      </c>
      <c r="D64" s="237" t="s">
        <v>246</v>
      </c>
      <c r="E64" s="237" t="str">
        <f t="shared" si="1"/>
        <v>LIGHTING</v>
      </c>
      <c r="F64" s="253"/>
      <c r="I64" s="262"/>
      <c r="J64" s="262"/>
      <c r="N64" s="256"/>
      <c r="O64" s="256"/>
    </row>
    <row r="65" spans="2:15" ht="12.6" customHeight="1">
      <c r="B65" s="255"/>
      <c r="C65" s="257">
        <v>913</v>
      </c>
      <c r="D65" s="237" t="s">
        <v>247</v>
      </c>
      <c r="E65" s="237" t="str">
        <f t="shared" si="1"/>
        <v>LIGHTING</v>
      </c>
      <c r="F65" s="253"/>
      <c r="I65" s="262"/>
      <c r="J65" s="262"/>
      <c r="N65" s="256"/>
      <c r="O65" s="256"/>
    </row>
    <row r="66" spans="2:15" ht="12.6" customHeight="1">
      <c r="B66" s="255"/>
      <c r="C66" s="257">
        <v>914</v>
      </c>
      <c r="D66" s="237" t="s">
        <v>248</v>
      </c>
      <c r="E66" s="237" t="str">
        <f t="shared" si="1"/>
        <v>LIGHTING</v>
      </c>
      <c r="F66" s="253"/>
      <c r="I66" s="262"/>
      <c r="J66" s="262"/>
      <c r="N66" s="256"/>
      <c r="O66" s="256"/>
    </row>
    <row r="67" spans="2:15" ht="12.6" customHeight="1">
      <c r="B67" s="255"/>
      <c r="C67" s="257">
        <v>915</v>
      </c>
      <c r="D67" s="237" t="s">
        <v>249</v>
      </c>
      <c r="E67" s="237" t="str">
        <f t="shared" si="1"/>
        <v>LIGHTING</v>
      </c>
      <c r="F67" s="253"/>
      <c r="I67" s="262"/>
      <c r="J67" s="262"/>
      <c r="N67" s="256"/>
      <c r="O67" s="256"/>
    </row>
    <row r="68" spans="2:15" ht="12.6" customHeight="1">
      <c r="B68" s="255"/>
      <c r="C68" s="257">
        <v>916</v>
      </c>
      <c r="D68" s="237" t="s">
        <v>250</v>
      </c>
      <c r="E68" s="237" t="str">
        <f t="shared" si="1"/>
        <v>LIGHTING</v>
      </c>
      <c r="F68" s="253"/>
      <c r="I68" s="262"/>
      <c r="J68" s="262"/>
      <c r="N68" s="256"/>
      <c r="O68" s="256"/>
    </row>
    <row r="69" spans="2:15" ht="12.6" customHeight="1">
      <c r="B69" s="255"/>
      <c r="C69" s="257">
        <v>918</v>
      </c>
      <c r="D69" s="237" t="s">
        <v>251</v>
      </c>
      <c r="E69" s="237" t="str">
        <f t="shared" si="1"/>
        <v>LIGHTING</v>
      </c>
      <c r="F69" s="253"/>
      <c r="I69" s="262"/>
      <c r="J69" s="262"/>
      <c r="N69" s="256"/>
      <c r="O69" s="256"/>
    </row>
    <row r="70" spans="2:15" ht="12.6" customHeight="1">
      <c r="B70" s="255"/>
      <c r="C70" s="257">
        <v>919</v>
      </c>
      <c r="D70" s="237" t="s">
        <v>252</v>
      </c>
      <c r="E70" s="237" t="str">
        <f t="shared" si="1"/>
        <v>LIGHTING</v>
      </c>
      <c r="F70" s="253"/>
      <c r="I70" s="262"/>
      <c r="J70" s="262"/>
      <c r="N70" s="256"/>
      <c r="O70" s="256"/>
    </row>
    <row r="71" spans="2:15" ht="12.6" customHeight="1">
      <c r="B71" s="255"/>
      <c r="C71" s="257">
        <v>920</v>
      </c>
      <c r="D71" s="237" t="s">
        <v>253</v>
      </c>
      <c r="E71" s="237" t="str">
        <f t="shared" si="1"/>
        <v>LIGHTING</v>
      </c>
      <c r="F71" s="253"/>
      <c r="I71" s="262"/>
      <c r="J71" s="262"/>
      <c r="N71" s="256"/>
      <c r="O71" s="256"/>
    </row>
    <row r="72" spans="2:15" ht="12.6" customHeight="1">
      <c r="B72" s="255"/>
      <c r="C72" s="238">
        <v>921</v>
      </c>
      <c r="D72" s="237" t="s">
        <v>254</v>
      </c>
      <c r="E72" s="237" t="str">
        <f t="shared" si="1"/>
        <v>LIGHTING</v>
      </c>
      <c r="F72" s="253"/>
      <c r="I72" s="262"/>
      <c r="J72" s="262"/>
      <c r="N72" s="256"/>
      <c r="O72" s="256"/>
    </row>
    <row r="73" spans="2:15" ht="12.6" customHeight="1">
      <c r="B73" s="255"/>
      <c r="C73" s="238">
        <v>922</v>
      </c>
      <c r="D73" s="237" t="s">
        <v>255</v>
      </c>
      <c r="E73" s="237" t="str">
        <f t="shared" si="1"/>
        <v>LIGHTING</v>
      </c>
      <c r="F73" s="253"/>
      <c r="I73" s="262"/>
      <c r="J73" s="262"/>
      <c r="N73" s="256"/>
      <c r="O73" s="256"/>
    </row>
    <row r="74" spans="2:15" ht="12.6" customHeight="1">
      <c r="B74" s="255"/>
      <c r="C74" s="238">
        <v>923</v>
      </c>
      <c r="D74" s="237" t="s">
        <v>256</v>
      </c>
      <c r="E74" s="237" t="str">
        <f t="shared" si="1"/>
        <v>LIGHTING</v>
      </c>
      <c r="F74" s="253"/>
      <c r="I74" s="262"/>
      <c r="J74" s="262"/>
      <c r="N74" s="256"/>
      <c r="O74" s="256"/>
    </row>
    <row r="75" spans="2:15" ht="12.6" customHeight="1">
      <c r="B75" s="255"/>
      <c r="C75" s="238">
        <v>927</v>
      </c>
      <c r="D75" s="237" t="s">
        <v>257</v>
      </c>
      <c r="E75" s="237" t="str">
        <f t="shared" si="1"/>
        <v>LIGHTING</v>
      </c>
      <c r="F75" s="253"/>
      <c r="I75" s="262"/>
      <c r="J75" s="262"/>
      <c r="N75" s="256"/>
      <c r="O75" s="256"/>
    </row>
    <row r="76" spans="2:15" ht="12.6" customHeight="1">
      <c r="B76" s="255"/>
      <c r="C76" s="238">
        <v>931</v>
      </c>
      <c r="D76" s="237" t="s">
        <v>258</v>
      </c>
      <c r="E76" s="237" t="str">
        <f t="shared" si="1"/>
        <v>LIGHTING</v>
      </c>
      <c r="F76" s="253"/>
      <c r="I76" s="262"/>
      <c r="J76" s="262"/>
      <c r="N76" s="256"/>
      <c r="O76" s="256"/>
    </row>
    <row r="77" spans="2:15" ht="12.6" customHeight="1">
      <c r="B77" s="255"/>
      <c r="C77" s="238">
        <v>932</v>
      </c>
      <c r="D77" s="237" t="s">
        <v>259</v>
      </c>
      <c r="E77" s="237" t="str">
        <f t="shared" si="1"/>
        <v>LIGHTING</v>
      </c>
      <c r="F77" s="253"/>
      <c r="I77" s="262"/>
      <c r="J77" s="262"/>
      <c r="N77" s="256"/>
      <c r="O77" s="256"/>
    </row>
    <row r="78" spans="2:15" ht="12.6" customHeight="1">
      <c r="B78" s="255"/>
      <c r="C78" s="238">
        <v>935</v>
      </c>
      <c r="D78" s="237" t="s">
        <v>260</v>
      </c>
      <c r="E78" s="237" t="str">
        <f t="shared" si="1"/>
        <v>LIGHTING</v>
      </c>
      <c r="F78" s="253"/>
      <c r="I78" s="262"/>
      <c r="J78" s="262"/>
      <c r="N78" s="256"/>
      <c r="O78" s="256"/>
    </row>
    <row r="79" spans="2:15" ht="12.6" customHeight="1">
      <c r="B79" s="255"/>
      <c r="C79" s="238">
        <v>940</v>
      </c>
      <c r="D79" s="237" t="s">
        <v>261</v>
      </c>
      <c r="E79" s="237" t="str">
        <f t="shared" si="1"/>
        <v>LIGHTING</v>
      </c>
      <c r="F79" s="253"/>
      <c r="I79" s="262"/>
      <c r="J79" s="262"/>
      <c r="N79" s="256"/>
      <c r="O79" s="256"/>
    </row>
    <row r="80" spans="2:15" ht="12.6" customHeight="1">
      <c r="B80" s="255"/>
      <c r="C80" s="238">
        <v>941</v>
      </c>
      <c r="D80" s="237" t="s">
        <v>262</v>
      </c>
      <c r="E80" s="237" t="str">
        <f t="shared" si="1"/>
        <v>LIGHTING</v>
      </c>
      <c r="F80" s="253"/>
      <c r="I80" s="262"/>
      <c r="J80" s="262"/>
      <c r="N80" s="256"/>
      <c r="O80" s="256"/>
    </row>
    <row r="81" spans="2:15" ht="12.6" customHeight="1">
      <c r="B81" s="255"/>
      <c r="C81" s="238">
        <v>942</v>
      </c>
      <c r="D81" s="237" t="s">
        <v>263</v>
      </c>
      <c r="E81" s="237" t="str">
        <f t="shared" si="1"/>
        <v>LIGHTING</v>
      </c>
      <c r="F81" s="253"/>
      <c r="I81" s="262"/>
      <c r="J81" s="262"/>
      <c r="N81" s="256"/>
      <c r="O81" s="256"/>
    </row>
    <row r="82" spans="2:15" ht="12.6" customHeight="1">
      <c r="B82" s="255"/>
      <c r="C82" s="238">
        <v>944</v>
      </c>
      <c r="D82" s="237" t="s">
        <v>264</v>
      </c>
      <c r="E82" s="237" t="str">
        <f t="shared" si="1"/>
        <v>LIGHTING</v>
      </c>
      <c r="F82" s="253"/>
      <c r="I82" s="262"/>
      <c r="J82" s="262"/>
      <c r="N82" s="256"/>
      <c r="O82" s="256"/>
    </row>
    <row r="83" spans="2:15" ht="12.6" customHeight="1">
      <c r="B83" s="255"/>
      <c r="C83" s="238">
        <v>945</v>
      </c>
      <c r="D83" s="237" t="s">
        <v>265</v>
      </c>
      <c r="E83" s="237" t="str">
        <f t="shared" si="1"/>
        <v>LIGHTING</v>
      </c>
      <c r="F83" s="253"/>
      <c r="I83" s="262"/>
      <c r="J83" s="262"/>
      <c r="N83" s="256"/>
      <c r="O83" s="256"/>
    </row>
    <row r="84" spans="2:15" ht="12.6" customHeight="1">
      <c r="B84" s="255"/>
      <c r="C84" s="238">
        <v>946</v>
      </c>
      <c r="D84" s="237" t="s">
        <v>266</v>
      </c>
      <c r="E84" s="237" t="str">
        <f t="shared" si="1"/>
        <v>LIGHTING</v>
      </c>
      <c r="F84" s="253"/>
      <c r="I84" s="262"/>
      <c r="J84" s="262"/>
      <c r="N84" s="256"/>
      <c r="O84" s="256"/>
    </row>
    <row r="85" spans="2:15" ht="12.6" customHeight="1">
      <c r="B85" s="255"/>
      <c r="C85" s="238">
        <v>947</v>
      </c>
      <c r="D85" s="237" t="s">
        <v>267</v>
      </c>
      <c r="E85" s="237" t="str">
        <f t="shared" si="1"/>
        <v>LIGHTING</v>
      </c>
      <c r="F85" s="253"/>
      <c r="I85" s="262"/>
      <c r="J85" s="262"/>
      <c r="N85" s="256"/>
      <c r="O85" s="256"/>
    </row>
    <row r="86" spans="2:15" ht="12.6" customHeight="1">
      <c r="B86" s="255"/>
      <c r="C86" s="238">
        <v>949</v>
      </c>
      <c r="D86" s="237" t="s">
        <v>268</v>
      </c>
      <c r="E86" s="237" t="str">
        <f t="shared" si="1"/>
        <v>LIGHTING</v>
      </c>
      <c r="F86" s="253"/>
      <c r="I86" s="262"/>
      <c r="J86" s="262"/>
      <c r="N86" s="256"/>
      <c r="O86" s="256"/>
    </row>
    <row r="87" spans="2:15" ht="12.6" customHeight="1">
      <c r="B87" s="255"/>
      <c r="C87" s="238">
        <v>955</v>
      </c>
      <c r="D87" s="237" t="s">
        <v>269</v>
      </c>
      <c r="E87" s="237" t="str">
        <f t="shared" si="1"/>
        <v>LIGHTING</v>
      </c>
      <c r="F87" s="253"/>
      <c r="I87" s="262"/>
      <c r="J87" s="262"/>
      <c r="N87" s="256"/>
      <c r="O87" s="256"/>
    </row>
    <row r="88" spans="2:15" ht="12.6" customHeight="1">
      <c r="B88" s="255"/>
      <c r="C88" s="238">
        <v>959</v>
      </c>
      <c r="D88" s="237" t="s">
        <v>270</v>
      </c>
      <c r="E88" s="237" t="str">
        <f t="shared" si="1"/>
        <v>LIGHTING</v>
      </c>
      <c r="F88" s="253"/>
      <c r="I88" s="262"/>
      <c r="J88" s="262"/>
      <c r="N88" s="256"/>
      <c r="O88" s="256"/>
    </row>
    <row r="89" spans="2:15" ht="12.6" customHeight="1">
      <c r="B89" s="255"/>
      <c r="C89" s="238">
        <v>960</v>
      </c>
      <c r="D89" s="237" t="s">
        <v>271</v>
      </c>
      <c r="E89" s="237" t="str">
        <f t="shared" si="1"/>
        <v>LIGHTING</v>
      </c>
      <c r="F89" s="253"/>
      <c r="I89" s="262"/>
      <c r="J89" s="262"/>
      <c r="N89" s="256"/>
      <c r="O89" s="256"/>
    </row>
    <row r="90" spans="2:15" ht="12.6" customHeight="1">
      <c r="B90" s="255"/>
      <c r="C90" s="238">
        <v>961</v>
      </c>
      <c r="D90" s="237" t="s">
        <v>272</v>
      </c>
      <c r="E90" s="237" t="str">
        <f t="shared" si="1"/>
        <v>LIGHTING</v>
      </c>
      <c r="F90" s="253"/>
      <c r="I90" s="262"/>
      <c r="J90" s="262"/>
      <c r="N90" s="256"/>
      <c r="O90" s="256"/>
    </row>
    <row r="91" spans="2:15" ht="12.6" customHeight="1">
      <c r="B91" s="255"/>
      <c r="C91" s="238">
        <v>962</v>
      </c>
      <c r="D91" s="237" t="s">
        <v>273</v>
      </c>
      <c r="E91" s="237" t="str">
        <f t="shared" si="1"/>
        <v>LIGHTING</v>
      </c>
      <c r="F91" s="253"/>
      <c r="I91" s="262"/>
      <c r="J91" s="262"/>
      <c r="N91" s="256"/>
      <c r="O91" s="256"/>
    </row>
    <row r="92" spans="2:15" ht="12.6" customHeight="1">
      <c r="B92" s="255"/>
      <c r="C92" s="238">
        <v>965</v>
      </c>
      <c r="D92" s="237" t="s">
        <v>274</v>
      </c>
      <c r="E92" s="237" t="str">
        <f t="shared" si="1"/>
        <v>LIGHTING</v>
      </c>
      <c r="F92" s="253"/>
      <c r="I92" s="262"/>
      <c r="J92" s="262"/>
      <c r="N92" s="256"/>
      <c r="O92" s="256"/>
    </row>
    <row r="93" spans="2:15" ht="12.6" customHeight="1">
      <c r="B93" s="255"/>
      <c r="C93" s="238">
        <v>966</v>
      </c>
      <c r="D93" s="237" t="s">
        <v>275</v>
      </c>
      <c r="E93" s="237" t="str">
        <f t="shared" si="1"/>
        <v>LIGHTING</v>
      </c>
      <c r="F93" s="253"/>
      <c r="I93" s="262"/>
      <c r="J93" s="262"/>
      <c r="N93" s="256"/>
      <c r="O93" s="256"/>
    </row>
    <row r="94" spans="2:15" ht="12.6" customHeight="1">
      <c r="B94" s="255"/>
      <c r="C94" s="238">
        <v>976</v>
      </c>
      <c r="D94" s="237" t="s">
        <v>276</v>
      </c>
      <c r="E94" s="237" t="str">
        <f t="shared" si="1"/>
        <v>LIGHTING</v>
      </c>
      <c r="F94" s="253"/>
      <c r="I94" s="262"/>
      <c r="J94" s="262"/>
      <c r="N94" s="256"/>
      <c r="O94" s="256"/>
    </row>
    <row r="95" spans="2:15" ht="12.6" customHeight="1">
      <c r="B95" s="255"/>
      <c r="C95" s="238">
        <v>977</v>
      </c>
      <c r="D95" s="237" t="s">
        <v>277</v>
      </c>
      <c r="E95" s="237" t="str">
        <f t="shared" si="1"/>
        <v>LIGHTING</v>
      </c>
      <c r="F95" s="253"/>
      <c r="I95" s="262"/>
      <c r="J95" s="262"/>
      <c r="N95" s="256"/>
    </row>
    <row r="96" spans="2:15" ht="12.6" customHeight="1">
      <c r="B96" s="255"/>
      <c r="C96" s="238">
        <v>978</v>
      </c>
      <c r="D96" s="237" t="s">
        <v>278</v>
      </c>
      <c r="E96" s="237" t="str">
        <f t="shared" si="1"/>
        <v>LIGHTING</v>
      </c>
      <c r="F96" s="253"/>
      <c r="I96" s="262"/>
      <c r="J96" s="262"/>
      <c r="N96" s="256"/>
    </row>
    <row r="97" spans="2:14" ht="12.6" customHeight="1">
      <c r="B97" s="255"/>
      <c r="C97" s="238">
        <v>980</v>
      </c>
      <c r="D97" s="237" t="s">
        <v>279</v>
      </c>
      <c r="E97" s="237" t="str">
        <f t="shared" si="1"/>
        <v>LIGHTING</v>
      </c>
      <c r="F97" s="253"/>
      <c r="I97" s="262"/>
      <c r="J97" s="262"/>
      <c r="N97" s="256"/>
    </row>
    <row r="98" spans="2:14" ht="12.6" customHeight="1">
      <c r="B98" s="255"/>
      <c r="C98" s="238">
        <v>981</v>
      </c>
      <c r="D98" s="237" t="s">
        <v>280</v>
      </c>
      <c r="E98" s="237" t="str">
        <f t="shared" si="1"/>
        <v>LIGHTING</v>
      </c>
      <c r="F98" s="253"/>
      <c r="I98" s="262"/>
      <c r="J98" s="262"/>
      <c r="N98" s="256"/>
    </row>
    <row r="99" spans="2:14" ht="12.6" customHeight="1">
      <c r="B99" s="255"/>
      <c r="C99" s="238">
        <v>982</v>
      </c>
      <c r="D99" s="237" t="s">
        <v>281</v>
      </c>
      <c r="E99" s="237" t="str">
        <f t="shared" si="1"/>
        <v>LIGHTING</v>
      </c>
      <c r="F99" s="253"/>
      <c r="I99" s="262"/>
      <c r="J99" s="262"/>
      <c r="N99" s="256"/>
    </row>
    <row r="100" spans="2:14" ht="12.6" customHeight="1">
      <c r="B100" s="255"/>
      <c r="C100" s="238">
        <v>983</v>
      </c>
      <c r="D100" s="237" t="s">
        <v>282</v>
      </c>
      <c r="E100" s="237" t="str">
        <f t="shared" si="1"/>
        <v>LIGHTING</v>
      </c>
      <c r="F100" s="253"/>
      <c r="I100" s="262"/>
      <c r="J100" s="262"/>
      <c r="N100" s="256"/>
    </row>
    <row r="101" spans="2:14" ht="12.6" customHeight="1">
      <c r="B101" s="255"/>
      <c r="C101" s="238">
        <v>985</v>
      </c>
      <c r="D101" s="237" t="s">
        <v>283</v>
      </c>
      <c r="E101" s="237" t="str">
        <f t="shared" si="1"/>
        <v>LIGHTING</v>
      </c>
      <c r="F101" s="253"/>
      <c r="I101" s="262"/>
      <c r="J101" s="262"/>
      <c r="N101" s="256"/>
    </row>
    <row r="102" spans="2:14" ht="12.6" customHeight="1">
      <c r="B102" s="255"/>
      <c r="C102" s="263">
        <v>989</v>
      </c>
      <c r="D102" s="264" t="s">
        <v>284</v>
      </c>
      <c r="E102" s="237" t="str">
        <f t="shared" si="1"/>
        <v>LIGHTING</v>
      </c>
      <c r="F102" s="253"/>
      <c r="I102" s="262"/>
      <c r="J102" s="262"/>
      <c r="N102" s="256"/>
    </row>
    <row r="103" spans="2:14" ht="12.6" customHeight="1">
      <c r="B103" s="255"/>
      <c r="C103" s="238">
        <v>990</v>
      </c>
      <c r="D103" s="237" t="s">
        <v>285</v>
      </c>
      <c r="E103" s="237" t="str">
        <f t="shared" si="1"/>
        <v>LIGHTING</v>
      </c>
      <c r="F103" s="253"/>
      <c r="I103" s="262"/>
      <c r="J103" s="262"/>
      <c r="N103" s="256"/>
    </row>
    <row r="104" spans="2:14" ht="12.6" customHeight="1">
      <c r="B104" s="255"/>
      <c r="C104" s="238">
        <v>991</v>
      </c>
      <c r="D104" s="237" t="s">
        <v>286</v>
      </c>
      <c r="E104" s="237" t="str">
        <f t="shared" si="1"/>
        <v>LIGHTING</v>
      </c>
      <c r="F104" s="253"/>
      <c r="I104" s="262"/>
      <c r="J104" s="262"/>
      <c r="N104" s="256"/>
    </row>
    <row r="105" spans="2:14" ht="12.6" customHeight="1">
      <c r="B105" s="255"/>
      <c r="C105" s="238">
        <v>992</v>
      </c>
      <c r="D105" s="237" t="s">
        <v>287</v>
      </c>
      <c r="E105" s="237" t="str">
        <f t="shared" si="1"/>
        <v>LIGHTING</v>
      </c>
      <c r="F105" s="253"/>
      <c r="I105" s="262"/>
      <c r="J105" s="262"/>
      <c r="N105" s="256"/>
    </row>
    <row r="106" spans="2:14" ht="12.6" customHeight="1">
      <c r="B106" s="255"/>
      <c r="C106" s="238">
        <v>993</v>
      </c>
      <c r="D106" s="237" t="s">
        <v>288</v>
      </c>
      <c r="E106" s="237" t="str">
        <f t="shared" si="1"/>
        <v>LIGHTING</v>
      </c>
      <c r="F106" s="253"/>
      <c r="I106" s="262"/>
      <c r="J106" s="262"/>
    </row>
    <row r="107" spans="2:14" ht="12.6" customHeight="1">
      <c r="B107" s="255"/>
      <c r="C107" s="238">
        <v>994</v>
      </c>
      <c r="D107" s="237" t="s">
        <v>289</v>
      </c>
      <c r="E107" s="237" t="str">
        <f t="shared" si="1"/>
        <v>LIGHTING</v>
      </c>
      <c r="F107" s="253"/>
      <c r="I107" s="262"/>
      <c r="J107" s="262"/>
    </row>
    <row r="108" spans="2:14" ht="12.6" customHeight="1">
      <c r="B108" s="255"/>
      <c r="C108" s="263">
        <v>787</v>
      </c>
      <c r="D108" s="264" t="s">
        <v>290</v>
      </c>
      <c r="E108" s="237" t="str">
        <f t="shared" si="1"/>
        <v>LIGHTING</v>
      </c>
      <c r="F108" s="253"/>
      <c r="I108" s="262"/>
      <c r="J108" s="262"/>
    </row>
    <row r="109" spans="2:14" ht="12.6" customHeight="1">
      <c r="B109" s="255"/>
      <c r="C109" s="238">
        <v>1000</v>
      </c>
      <c r="D109" s="237" t="s">
        <v>291</v>
      </c>
      <c r="E109" s="237" t="str">
        <f>J11</f>
        <v>PRIMARY SUB NCP</v>
      </c>
      <c r="F109" s="253"/>
    </row>
    <row r="110" spans="2:14" ht="12.6" customHeight="1">
      <c r="B110" s="255"/>
      <c r="C110" s="238">
        <v>1001</v>
      </c>
      <c r="D110" s="237" t="s">
        <v>292</v>
      </c>
      <c r="E110" s="237" t="str">
        <f>J12</f>
        <v>PRIMARY SUB 4CP</v>
      </c>
      <c r="F110" s="253"/>
    </row>
    <row r="111" spans="2:14" ht="12.6" customHeight="1">
      <c r="B111" s="255"/>
      <c r="C111" s="238">
        <v>1002</v>
      </c>
      <c r="D111" s="237" t="s">
        <v>193</v>
      </c>
      <c r="E111" s="237" t="str">
        <f>J13</f>
        <v>Battery Storage</v>
      </c>
      <c r="F111" s="253"/>
    </row>
    <row r="112" spans="2:14" ht="12.6" customHeight="1">
      <c r="B112" s="255"/>
      <c r="C112" s="238" t="s">
        <v>293</v>
      </c>
      <c r="D112" s="237" t="s">
        <v>294</v>
      </c>
      <c r="E112" s="237" t="s">
        <v>294</v>
      </c>
      <c r="F112" s="253"/>
    </row>
    <row r="113" spans="2:6" ht="12.6" customHeight="1">
      <c r="B113" s="255"/>
      <c r="C113" s="238" t="s">
        <v>295</v>
      </c>
      <c r="D113" s="237" t="s">
        <v>296</v>
      </c>
      <c r="E113" s="237" t="s">
        <v>296</v>
      </c>
      <c r="F113" s="253"/>
    </row>
    <row r="114" spans="2:6" ht="12.6" customHeight="1">
      <c r="B114" s="255"/>
      <c r="C114" s="238" t="s">
        <v>297</v>
      </c>
      <c r="D114" s="237" t="s">
        <v>298</v>
      </c>
      <c r="E114" s="237" t="s">
        <v>298</v>
      </c>
      <c r="F114" s="253"/>
    </row>
    <row r="115" spans="2:6" ht="12.6" customHeight="1">
      <c r="B115" s="255"/>
      <c r="F115" s="253"/>
    </row>
    <row r="116" spans="2:6" ht="12.6" customHeight="1">
      <c r="B116" s="255"/>
      <c r="F116" s="253"/>
    </row>
    <row r="117" spans="2:6" ht="12.6" customHeight="1" thickBot="1">
      <c r="B117" s="265"/>
      <c r="C117" s="266"/>
      <c r="D117" s="259"/>
      <c r="E117" s="259"/>
      <c r="F117" s="261"/>
    </row>
  </sheetData>
  <pageMargins left="0.7" right="0.7" top="0.75" bottom="0.75" header="0.3" footer="0.3"/>
  <pageSetup scale="56" orientation="portrait" r:id="rId1"/>
  <headerFooter>
    <oddHeader>&amp;RDocket No 56165
Schedule H
&amp;A
Page &amp;P of &amp;N</oddHeader>
  </headerFooter>
  <rowBreaks count="1" manualBreakCount="1">
    <brk id="60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dXNlclNlbGVjdGVkIj48ZWxlbWVudCB1aWQ9IjUwYzMxODI0LTA3ODAtNDkxMC04N2QxLWVhYWZmZDE4MmQ0MiIgdmFsdWU9IiIgeG1sbnM9Imh0dHA6Ly93d3cuYm9sZG9uamFtZXMuY29tLzIwMDgvMDEvc2llL2ludGVybmFsL2xhYmVsIiAvPjwvc2lzbD48VXNlck5hbWU+Q09SUFxzMjkzNDQ2PC9Vc2VyTmFtZT48RGF0ZVRpbWU+MTIvMTMvMjAyMyA1OjA3OjIyIFBNPC9EYXRlVGltZT48TGFiZWxTdHJpbmc+QUVQIEludGVybmFsPC9MYWJlbFN0cmluZz48L2l0ZW0+PC9sYWJlbEhpc3Rvcnk+</Value>
</WrappedLabelHistory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userSelected">
  <element uid="50c31824-0780-4910-87d1-eaaffd182d42" value=""/>
</sisl>
</file>

<file path=customXml/itemProps1.xml><?xml version="1.0" encoding="utf-8"?>
<ds:datastoreItem xmlns:ds="http://schemas.openxmlformats.org/officeDocument/2006/customXml" ds:itemID="{BE111032-2F23-4AE2-9719-CB62E8D33FD1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C95112CB-EA72-414B-850A-C8CDFB3CE6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040523-5304-4b09-b6d4-64a124c994e2"/>
    <ds:schemaRef ds:uri="5b640fb8-5a34-41c1-9307-1b790ff29a8b"/>
    <ds:schemaRef ds:uri="51831b8d-857f-44dd-949b-652450d1a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DE5A43-63DF-4BF7-BAF3-E7A2A886554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0DB45FC-6550-4267-B0B7-F24C95B48A1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22</vt:i4>
      </vt:variant>
    </vt:vector>
  </HeadingPairs>
  <TitlesOfParts>
    <vt:vector size="38" baseType="lpstr">
      <vt:lpstr>II-H-1</vt:lpstr>
      <vt:lpstr>II-H-1.1</vt:lpstr>
      <vt:lpstr>II-H-1.2</vt:lpstr>
      <vt:lpstr>II-H-1.3</vt:lpstr>
      <vt:lpstr>Sch II-H-1.5</vt:lpstr>
      <vt:lpstr>II-H-3.1-3</vt:lpstr>
      <vt:lpstr>II-H-4.1 Monthly</vt:lpstr>
      <vt:lpstr>II-H-4.1 Functions</vt:lpstr>
      <vt:lpstr>II-H-4.1 Tran kW</vt:lpstr>
      <vt:lpstr>II-H-4.1 Dist kW</vt:lpstr>
      <vt:lpstr>Sch II-H-4.2</vt:lpstr>
      <vt:lpstr>Primary Sub</vt:lpstr>
      <vt:lpstr>Riders</vt:lpstr>
      <vt:lpstr>Prm Sb Rev Rider</vt:lpstr>
      <vt:lpstr>TCRF and DCRF Rider Revenues</vt:lpstr>
      <vt:lpstr>Tariff Mapping</vt:lpstr>
      <vt:lpstr>H_Rate_Class</vt:lpstr>
      <vt:lpstr>'II-H-1.2'!Print_Area</vt:lpstr>
      <vt:lpstr>'II-H-3.1-3'!Print_Area</vt:lpstr>
      <vt:lpstr>'II-H-4.1 Dist kW'!Print_Area</vt:lpstr>
      <vt:lpstr>'II-H-4.1 Functions'!Print_Area</vt:lpstr>
      <vt:lpstr>'II-H-4.1 Monthly'!Print_Area</vt:lpstr>
      <vt:lpstr>'II-H-4.1 Tran kW'!Print_Area</vt:lpstr>
      <vt:lpstr>'Primary Sub'!Print_Area</vt:lpstr>
      <vt:lpstr>Riders!Print_Area</vt:lpstr>
      <vt:lpstr>'Sch II-H-1.5'!Print_Area</vt:lpstr>
      <vt:lpstr>'Sch II-H-4.2'!Print_Area</vt:lpstr>
      <vt:lpstr>'II-H-1.2'!Print_Titles</vt:lpstr>
      <vt:lpstr>'II-H-3.1-3'!Print_Titles</vt:lpstr>
      <vt:lpstr>'II-H-4.1 Dist kW'!Print_Titles</vt:lpstr>
      <vt:lpstr>'II-H-4.1 Functions'!Print_Titles</vt:lpstr>
      <vt:lpstr>'II-H-4.1 Monthly'!Print_Titles</vt:lpstr>
      <vt:lpstr>'II-H-4.1 Tran kW'!Print_Titles</vt:lpstr>
      <vt:lpstr>'Primary Sub'!Print_Titles</vt:lpstr>
      <vt:lpstr>'Prm Sb Rev Rider'!Print_Titles</vt:lpstr>
      <vt:lpstr>Riders!Print_Titles</vt:lpstr>
      <vt:lpstr>'Tariff Mapping'!Print_Titles</vt:lpstr>
      <vt:lpstr>'TCRF and DCRF Rider Revenues'!Print_Titles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RFP DOCKET 13369</dc:title>
  <dc:subject>UNADJUSTED DATA</dc:subject>
  <dc:creator>NANCY NAPOLITANO</dc:creator>
  <cp:keywords>AEP Internal</cp:keywords>
  <cp:lastModifiedBy>s254353</cp:lastModifiedBy>
  <cp:lastPrinted>2024-02-27T11:57:11Z</cp:lastPrinted>
  <dcterms:created xsi:type="dcterms:W3CDTF">1998-02-17T23:06:04Z</dcterms:created>
  <dcterms:modified xsi:type="dcterms:W3CDTF">2024-02-27T11:57:37Z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1259519d-4d08-439c-b662-b5d13aa63e14</vt:lpwstr>
  </property>
  <property fmtid="{D5CDD505-2E9C-101B-9397-08002B2CF9AE}" pid="3" name="bjSaver">
    <vt:lpwstr>s0CFOxPpaCrub5jyFhmO+1P/cuv0nSox</vt:lpwstr>
  </property>
  <property fmtid="{D5CDD505-2E9C-101B-9397-08002B2CF9AE}" pid="4" name="bjDocumentSecurityLabel">
    <vt:lpwstr>AEP Internal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policy="e9c0b8d7-bdb4-4fd3-b62a-f50327aaefce" origin="userSelected" xmlns="http://www.boldonj</vt:lpwstr>
  </property>
  <property fmtid="{D5CDD505-2E9C-101B-9397-08002B2CF9AE}" pid="6" name="bjDocumentLabelXML-0">
    <vt:lpwstr>ames.com/2008/01/sie/internal/label"&gt;&lt;element uid="50c31824-0780-4910-87d1-eaaffd182d42" value="" /&gt;&lt;/sisl&gt;</vt:lpwstr>
  </property>
  <property fmtid="{D5CDD505-2E9C-101B-9397-08002B2CF9AE}" pid="7" name="MSIP_Label_69f43042-6bda-44b2-91eb-eca3d3d484f4_SiteId">
    <vt:lpwstr>15f3c881-6b03-4ff6-8559-77bf5177818f</vt:lpwstr>
  </property>
  <property fmtid="{D5CDD505-2E9C-101B-9397-08002B2CF9AE}" pid="8" name="MSIP_Label_69f43042-6bda-44b2-91eb-eca3d3d484f4_Name">
    <vt:lpwstr>AEP Internal</vt:lpwstr>
  </property>
  <property fmtid="{D5CDD505-2E9C-101B-9397-08002B2CF9AE}" pid="9" name="MSIP_Label_69f43042-6bda-44b2-91eb-eca3d3d484f4_Enabled">
    <vt:lpwstr>true</vt:lpwstr>
  </property>
  <property fmtid="{D5CDD505-2E9C-101B-9397-08002B2CF9AE}" pid="10" name="bjClsUserRVM">
    <vt:lpwstr>[]</vt:lpwstr>
  </property>
  <property fmtid="{D5CDD505-2E9C-101B-9397-08002B2CF9AE}" pid="11" name="bjLabelHistoryID">
    <vt:lpwstr>{BE111032-2F23-4AE2-9719-CB62E8D33FD1}</vt:lpwstr>
  </property>
</Properties>
</file>